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" sheetId="1" r:id="rId3"/>
    <sheet state="visible" name="PRO AA" sheetId="2" r:id="rId4"/>
    <sheet state="visible" name="WOMENS A" sheetId="3" r:id="rId5"/>
    <sheet state="visible" name="WOMENS AA" sheetId="4" r:id="rId6"/>
    <sheet state="visible" name="MENS PRO  AA" sheetId="5" r:id="rId7"/>
    <sheet state="visible" name="WOMENS A  AA" sheetId="6" r:id="rId8"/>
  </sheets>
  <definedNames>
    <definedName hidden="1" localSheetId="5" name="_xlnm._FilterDatabase">'WOMENS A  AA'!$A$2:$L$455</definedName>
    <definedName hidden="1" localSheetId="4" name="_xlnm._FilterDatabase">'MENS PRO  AA'!$A$2:$L$1203</definedName>
    <definedName hidden="1" localSheetId="5" name="Z_57002AEC_EAE8_4F31_B498_A9FB2FFDC169_.wvu.FilterData">'WOMENS A  AA'!$A$1:$J$333</definedName>
  </definedNames>
  <calcPr/>
  <customWorkbookViews>
    <customWorkbookView activeSheetId="0" maximized="1" tabRatio="600" windowHeight="0" windowWidth="0" guid="{57002AEC-EAE8-4F31-B498-A9FB2FFDC169}" name="Filter 1"/>
  </customWorkbookViews>
</workbook>
</file>

<file path=xl/sharedStrings.xml><?xml version="1.0" encoding="utf-8"?>
<sst xmlns="http://schemas.openxmlformats.org/spreadsheetml/2006/main" count="12688" uniqueCount="3124">
  <si>
    <t>WOMENS A</t>
  </si>
  <si>
    <t>PRO AA</t>
  </si>
  <si>
    <t>PRO</t>
  </si>
  <si>
    <t>WOMENS AA</t>
  </si>
  <si>
    <t>Pro / Pro AA</t>
  </si>
  <si>
    <t>LAST</t>
  </si>
  <si>
    <t>FIRST</t>
  </si>
  <si>
    <t>CITY</t>
  </si>
  <si>
    <t>STATE</t>
  </si>
  <si>
    <t>COUNTRY</t>
  </si>
  <si>
    <t>EVENT</t>
  </si>
  <si>
    <t>PLACE</t>
  </si>
  <si>
    <t>LOCATION</t>
  </si>
  <si>
    <t>ON LIST</t>
  </si>
  <si>
    <t>OFF AA LIST</t>
  </si>
  <si>
    <t>OFF PRO LIST</t>
  </si>
  <si>
    <t>LEVEL</t>
  </si>
  <si>
    <t>Abboud</t>
  </si>
  <si>
    <t>Michael</t>
  </si>
  <si>
    <t>Drums</t>
  </si>
  <si>
    <t>PA</t>
  </si>
  <si>
    <t>USA</t>
  </si>
  <si>
    <t>Pro/AA Top Gun Triples</t>
  </si>
  <si>
    <t>3rd</t>
  </si>
  <si>
    <t>Known Ability</t>
  </si>
  <si>
    <t>Abe</t>
  </si>
  <si>
    <t>Shigeya</t>
  </si>
  <si>
    <t>UNK</t>
  </si>
  <si>
    <t>Japan</t>
  </si>
  <si>
    <t>DL</t>
  </si>
  <si>
    <t>30th</t>
  </si>
  <si>
    <t>Adams</t>
  </si>
  <si>
    <t>Gary</t>
  </si>
  <si>
    <t>Dearborn</t>
  </si>
  <si>
    <t>MI</t>
  </si>
  <si>
    <t>Men Doubles Cricket</t>
  </si>
  <si>
    <t>1st</t>
  </si>
  <si>
    <t>Indiana BS 34</t>
  </si>
  <si>
    <t>Martin</t>
  </si>
  <si>
    <t>England</t>
  </si>
  <si>
    <t>PDC Merit Ranking</t>
  </si>
  <si>
    <t>40th</t>
  </si>
  <si>
    <t>Tim</t>
  </si>
  <si>
    <t>Ruskin</t>
  </si>
  <si>
    <t>FL</t>
  </si>
  <si>
    <t>Pro Doubles</t>
  </si>
  <si>
    <t>2nd</t>
  </si>
  <si>
    <t>FL Regional 33</t>
  </si>
  <si>
    <t>Agcaoili</t>
  </si>
  <si>
    <t>Reyn</t>
  </si>
  <si>
    <t>44th</t>
  </si>
  <si>
    <t>Dl 2018</t>
  </si>
  <si>
    <t>Ahlers</t>
  </si>
  <si>
    <t>Gabriel</t>
  </si>
  <si>
    <t>Louisville</t>
  </si>
  <si>
    <t>NE</t>
  </si>
  <si>
    <t>Men Doubles 501</t>
  </si>
  <si>
    <t>Nebraska BS 34</t>
  </si>
  <si>
    <t>Ahmad</t>
  </si>
  <si>
    <t>Kamarudin</t>
  </si>
  <si>
    <t>Singapore</t>
  </si>
  <si>
    <t>81st</t>
  </si>
  <si>
    <t>Aizono</t>
  </si>
  <si>
    <t>Hideki</t>
  </si>
  <si>
    <t>25th</t>
  </si>
  <si>
    <t>DL 2018</t>
  </si>
  <si>
    <t>Ajiki</t>
  </si>
  <si>
    <t>Kenichi</t>
  </si>
  <si>
    <t>Ajodha</t>
  </si>
  <si>
    <t>Khadar</t>
  </si>
  <si>
    <t>Canada</t>
  </si>
  <si>
    <t>Pro/Am Cricket</t>
  </si>
  <si>
    <t>NY Regional 33</t>
  </si>
  <si>
    <t>Akamatsu</t>
  </si>
  <si>
    <t>Daisuke</t>
  </si>
  <si>
    <t>Alegria</t>
  </si>
  <si>
    <t>Mike</t>
  </si>
  <si>
    <t>Kingsville</t>
  </si>
  <si>
    <t>TX</t>
  </si>
  <si>
    <t>Mens Doubles</t>
  </si>
  <si>
    <t>TX Regional 33</t>
  </si>
  <si>
    <t>Allebach</t>
  </si>
  <si>
    <t>Kevin</t>
  </si>
  <si>
    <t>Lansdale</t>
  </si>
  <si>
    <t>Pro Mens Doubles</t>
  </si>
  <si>
    <t>NY Regional 32</t>
  </si>
  <si>
    <t>Allen</t>
  </si>
  <si>
    <t>Andrew</t>
  </si>
  <si>
    <t>Sumter</t>
  </si>
  <si>
    <t>SC</t>
  </si>
  <si>
    <t>Mens Cricket Doubles</t>
  </si>
  <si>
    <t>Alliss</t>
  </si>
  <si>
    <t>Craig</t>
  </si>
  <si>
    <t>Lafayette</t>
  </si>
  <si>
    <t>IN</t>
  </si>
  <si>
    <t>Mixed Triples 701</t>
  </si>
  <si>
    <t>Almeida</t>
  </si>
  <si>
    <t>Virgil</t>
  </si>
  <si>
    <t>Port St. Lucie</t>
  </si>
  <si>
    <t>Mens Singles</t>
  </si>
  <si>
    <t>Florida Regional 32</t>
  </si>
  <si>
    <t>Alvarado</t>
  </si>
  <si>
    <t>George</t>
  </si>
  <si>
    <t>ADO 2016</t>
  </si>
  <si>
    <t>45th</t>
  </si>
  <si>
    <t>Alverson</t>
  </si>
  <si>
    <t>Timothy</t>
  </si>
  <si>
    <t>Pell City</t>
  </si>
  <si>
    <t>AL</t>
  </si>
  <si>
    <t>Pro Doubles 501</t>
  </si>
  <si>
    <t>Georgia BS 34</t>
  </si>
  <si>
    <t>Amin</t>
  </si>
  <si>
    <t>Abdul</t>
  </si>
  <si>
    <t>Malaysia</t>
  </si>
  <si>
    <t>28th</t>
  </si>
  <si>
    <t>Ammerman</t>
  </si>
  <si>
    <t>James</t>
  </si>
  <si>
    <t>Charlotte</t>
  </si>
  <si>
    <t>NC</t>
  </si>
  <si>
    <t>Tennessee BS 34</t>
  </si>
  <si>
    <t>Jason</t>
  </si>
  <si>
    <t>New Brownfels</t>
  </si>
  <si>
    <t>Andersen</t>
  </si>
  <si>
    <t>Kennet</t>
  </si>
  <si>
    <t>DENMARK</t>
  </si>
  <si>
    <t>TopGun Non Pro Triples</t>
  </si>
  <si>
    <t>BullShooter 34 Finals</t>
  </si>
  <si>
    <t>Anderson</t>
  </si>
  <si>
    <t>Adam</t>
  </si>
  <si>
    <t>Waterloo</t>
  </si>
  <si>
    <t>NY</t>
  </si>
  <si>
    <t>Charles "Chip"</t>
  </si>
  <si>
    <t>Rolette</t>
  </si>
  <si>
    <t>ND</t>
  </si>
  <si>
    <t>Top Gun Singles</t>
  </si>
  <si>
    <t>BS 33 Finals</t>
  </si>
  <si>
    <t>Scotland</t>
  </si>
  <si>
    <t>4th</t>
  </si>
  <si>
    <t>Kyle</t>
  </si>
  <si>
    <t>Australia</t>
  </si>
  <si>
    <t>22th</t>
  </si>
  <si>
    <t>Richard</t>
  </si>
  <si>
    <t>Houlton</t>
  </si>
  <si>
    <t>WI</t>
  </si>
  <si>
    <t>Top Gun Triples</t>
  </si>
  <si>
    <t>Robert</t>
  </si>
  <si>
    <t>Indianapolis</t>
  </si>
  <si>
    <t>IN Regional 32</t>
  </si>
  <si>
    <t>Little Suamico</t>
  </si>
  <si>
    <t>BullShooter 31</t>
  </si>
  <si>
    <t>Scott</t>
  </si>
  <si>
    <t>Erie</t>
  </si>
  <si>
    <t>New York BS 34</t>
  </si>
  <si>
    <t>Anderson, Jr.</t>
  </si>
  <si>
    <t>William</t>
  </si>
  <si>
    <t>ADO 2018</t>
  </si>
  <si>
    <t>20th</t>
  </si>
  <si>
    <t>Ang</t>
  </si>
  <si>
    <t>River</t>
  </si>
  <si>
    <t>41st</t>
  </si>
  <si>
    <t>Antonio</t>
  </si>
  <si>
    <t>Jose</t>
  </si>
  <si>
    <t>Spain</t>
  </si>
  <si>
    <t>94th</t>
  </si>
  <si>
    <t>Arceno</t>
  </si>
  <si>
    <t>Prussian</t>
  </si>
  <si>
    <t>Philippines</t>
  </si>
  <si>
    <t>10th</t>
  </si>
  <si>
    <t>Archibald</t>
  </si>
  <si>
    <t>David</t>
  </si>
  <si>
    <t>Myrtle Beach</t>
  </si>
  <si>
    <t>South Carolina BS 34</t>
  </si>
  <si>
    <t>Arimany</t>
  </si>
  <si>
    <t>Josef</t>
  </si>
  <si>
    <t>Top Gun AA Singles</t>
  </si>
  <si>
    <t>Aromy</t>
  </si>
  <si>
    <t>Donovan</t>
  </si>
  <si>
    <t>Metairie</t>
  </si>
  <si>
    <t>LA</t>
  </si>
  <si>
    <t>Men 501 Doubles</t>
  </si>
  <si>
    <t>Arreola, Jr.</t>
  </si>
  <si>
    <t>Ramon</t>
  </si>
  <si>
    <t>Mesa</t>
  </si>
  <si>
    <t>AZ</t>
  </si>
  <si>
    <t>NV Regional 32</t>
  </si>
  <si>
    <t>Artut</t>
  </si>
  <si>
    <t>Jyhan</t>
  </si>
  <si>
    <t>Germany</t>
  </si>
  <si>
    <t>59th</t>
  </si>
  <si>
    <t>Asato</t>
  </si>
  <si>
    <t>Brandon</t>
  </si>
  <si>
    <t>Jacksonville</t>
  </si>
  <si>
    <t>TopGun A/AA Triples</t>
  </si>
  <si>
    <t>Ashton</t>
  </si>
  <si>
    <t>Lisa</t>
  </si>
  <si>
    <t>76th</t>
  </si>
  <si>
    <t>Aspinall</t>
  </si>
  <si>
    <t>Nathan</t>
  </si>
  <si>
    <t>97th</t>
  </si>
  <si>
    <t>Attapol</t>
  </si>
  <si>
    <t>Thailand</t>
  </si>
  <si>
    <t>47th</t>
  </si>
  <si>
    <t>Auckland</t>
  </si>
  <si>
    <t>Darrin</t>
  </si>
  <si>
    <t>Genoa City</t>
  </si>
  <si>
    <t>Pro 501 Singles</t>
  </si>
  <si>
    <t>5th/6th</t>
  </si>
  <si>
    <t>BullShooter 32</t>
  </si>
  <si>
    <t>Austin</t>
  </si>
  <si>
    <t>Reace</t>
  </si>
  <si>
    <t>St. Cloud</t>
  </si>
  <si>
    <t>GA Regional 33</t>
  </si>
  <si>
    <t>Baer</t>
  </si>
  <si>
    <t>Baggish</t>
  </si>
  <si>
    <t>Daniel</t>
  </si>
  <si>
    <t>Lakeland</t>
  </si>
  <si>
    <t>Baier</t>
  </si>
  <si>
    <t>Travis</t>
  </si>
  <si>
    <t>Grand Island</t>
  </si>
  <si>
    <t>Bailey</t>
  </si>
  <si>
    <t>Anthony</t>
  </si>
  <si>
    <t>Lexington</t>
  </si>
  <si>
    <t>OH</t>
  </si>
  <si>
    <t>Dan</t>
  </si>
  <si>
    <t>CA</t>
  </si>
  <si>
    <t>CA Regional 33</t>
  </si>
  <si>
    <t>Baker</t>
  </si>
  <si>
    <t>Ryan</t>
  </si>
  <si>
    <t>Pittsburgh</t>
  </si>
  <si>
    <t>PA Regional 32</t>
  </si>
  <si>
    <t>Ball</t>
  </si>
  <si>
    <t>Charles</t>
  </si>
  <si>
    <t>Mingo Junction</t>
  </si>
  <si>
    <t>Pennsylvania BS 34</t>
  </si>
  <si>
    <t>Barkley, Sr.</t>
  </si>
  <si>
    <t>Emory (Rookie)</t>
  </si>
  <si>
    <t>Dalzell</t>
  </si>
  <si>
    <t>SC Regional 32</t>
  </si>
  <si>
    <t>Barlow</t>
  </si>
  <si>
    <t>Jayson</t>
  </si>
  <si>
    <t>CANADA</t>
  </si>
  <si>
    <t>Ohio BS 34</t>
  </si>
  <si>
    <t>Barr</t>
  </si>
  <si>
    <t>San Antonio</t>
  </si>
  <si>
    <t>TX Regional 32</t>
  </si>
  <si>
    <t>Barry</t>
  </si>
  <si>
    <t>Avery</t>
  </si>
  <si>
    <t>11th</t>
  </si>
  <si>
    <t>Barth</t>
  </si>
  <si>
    <t>Dennis</t>
  </si>
  <si>
    <t>Amherst</t>
  </si>
  <si>
    <t>Wisconsin BS 34</t>
  </si>
  <si>
    <t>Bartow</t>
  </si>
  <si>
    <t>Josh</t>
  </si>
  <si>
    <t>Oshkosh</t>
  </si>
  <si>
    <t>WI Regional 32</t>
  </si>
  <si>
    <t>Bastien</t>
  </si>
  <si>
    <t>New Port Richey</t>
  </si>
  <si>
    <t>TN Regional 32</t>
  </si>
  <si>
    <t>Baugh</t>
  </si>
  <si>
    <t>Thomas</t>
  </si>
  <si>
    <t>34th</t>
  </si>
  <si>
    <t>Baxter</t>
  </si>
  <si>
    <t>Ronnie</t>
  </si>
  <si>
    <t>50th</t>
  </si>
  <si>
    <t>Beard</t>
  </si>
  <si>
    <t>John</t>
  </si>
  <si>
    <t>Land o Lakes</t>
  </si>
  <si>
    <t>Beaton</t>
  </si>
  <si>
    <t>Steve</t>
  </si>
  <si>
    <t>24th</t>
  </si>
  <si>
    <t>Beauchamp</t>
  </si>
  <si>
    <t>Corey</t>
  </si>
  <si>
    <t>Greenwood</t>
  </si>
  <si>
    <t>Beaudette</t>
  </si>
  <si>
    <t>Christopher</t>
  </si>
  <si>
    <t>Peru</t>
  </si>
  <si>
    <t>Beebe</t>
  </si>
  <si>
    <t>Derek</t>
  </si>
  <si>
    <t>Beecroft</t>
  </si>
  <si>
    <t>Joey</t>
  </si>
  <si>
    <t>Crystal Lake</t>
  </si>
  <si>
    <t>IL</t>
  </si>
  <si>
    <t>Beijleveld</t>
  </si>
  <si>
    <t>Ferry</t>
  </si>
  <si>
    <t>Netherlands</t>
  </si>
  <si>
    <t>Pro Cricket Singles</t>
  </si>
  <si>
    <t>Off AA List</t>
  </si>
  <si>
    <t>Bell</t>
  </si>
  <si>
    <t>Bill</t>
  </si>
  <si>
    <t>ADO 2014</t>
  </si>
  <si>
    <t>16th</t>
  </si>
  <si>
    <t>Beltz</t>
  </si>
  <si>
    <t>Ben</t>
  </si>
  <si>
    <t>Fairfield</t>
  </si>
  <si>
    <t>IN Regional 33</t>
  </si>
  <si>
    <t>Beneke</t>
  </si>
  <si>
    <t>Dion</t>
  </si>
  <si>
    <t>Mandan</t>
  </si>
  <si>
    <t>Bennett</t>
  </si>
  <si>
    <t>Akron</t>
  </si>
  <si>
    <t>Taylor</t>
  </si>
  <si>
    <t>Rochester</t>
  </si>
  <si>
    <t>Bennington</t>
  </si>
  <si>
    <t>Sean</t>
  </si>
  <si>
    <t>Benson</t>
  </si>
  <si>
    <t>Dominick</t>
  </si>
  <si>
    <t>Harbor Creek</t>
  </si>
  <si>
    <t>Bernard</t>
  </si>
  <si>
    <t>Loves Park</t>
  </si>
  <si>
    <t>Bertell</t>
  </si>
  <si>
    <t>Tom</t>
  </si>
  <si>
    <t>Iowa City</t>
  </si>
  <si>
    <t>IA</t>
  </si>
  <si>
    <t>Mens Singles Cricket</t>
  </si>
  <si>
    <t>Beyer</t>
  </si>
  <si>
    <t>Bartlett</t>
  </si>
  <si>
    <t>TN</t>
  </si>
  <si>
    <t>Bice</t>
  </si>
  <si>
    <t>Crest Hill</t>
  </si>
  <si>
    <t>Biever</t>
  </si>
  <si>
    <t>Joshua</t>
  </si>
  <si>
    <t>Vermillion</t>
  </si>
  <si>
    <t>SD</t>
  </si>
  <si>
    <t>NE Regional 33</t>
  </si>
  <si>
    <t>Bilger</t>
  </si>
  <si>
    <t>Levi</t>
  </si>
  <si>
    <t>McVeytown</t>
  </si>
  <si>
    <t>PA Regional 33</t>
  </si>
  <si>
    <t>Bingham</t>
  </si>
  <si>
    <t>Dave</t>
  </si>
  <si>
    <t>SC Regional 33</t>
  </si>
  <si>
    <t>Biot</t>
  </si>
  <si>
    <t>Cyril</t>
  </si>
  <si>
    <t>France</t>
  </si>
  <si>
    <t>31st</t>
  </si>
  <si>
    <t>Bivens</t>
  </si>
  <si>
    <t>Chad</t>
  </si>
  <si>
    <t>Springfield</t>
  </si>
  <si>
    <t>OH Regional 33</t>
  </si>
  <si>
    <t>Blackburn</t>
  </si>
  <si>
    <t>Mathew</t>
  </si>
  <si>
    <t>Follansbee</t>
  </si>
  <si>
    <t>WV</t>
  </si>
  <si>
    <t>OH Regional 32</t>
  </si>
  <si>
    <t>Blackledge</t>
  </si>
  <si>
    <t>Eric</t>
  </si>
  <si>
    <t>St. Louis</t>
  </si>
  <si>
    <t>MO</t>
  </si>
  <si>
    <t>Top Gun Pro/AA Singles</t>
  </si>
  <si>
    <t>Blake</t>
  </si>
  <si>
    <t>Brian</t>
  </si>
  <si>
    <t>Hope Mills</t>
  </si>
  <si>
    <t>Terry</t>
  </si>
  <si>
    <t>Cary</t>
  </si>
  <si>
    <t>Blanchard III</t>
  </si>
  <si>
    <t>Aurora</t>
  </si>
  <si>
    <t>Blasel</t>
  </si>
  <si>
    <t>Jeremy</t>
  </si>
  <si>
    <t>Stesonville</t>
  </si>
  <si>
    <t>Men Cricket Doubles</t>
  </si>
  <si>
    <t>Bobzien</t>
  </si>
  <si>
    <t>Aric</t>
  </si>
  <si>
    <t>Janesville</t>
  </si>
  <si>
    <t>Men Singles Cricket</t>
  </si>
  <si>
    <t>Bogas</t>
  </si>
  <si>
    <t>Les</t>
  </si>
  <si>
    <t>Pro Cricket Doubles</t>
  </si>
  <si>
    <t>Bolduc</t>
  </si>
  <si>
    <t>Paul</t>
  </si>
  <si>
    <t>NAPDA 2018</t>
  </si>
  <si>
    <t>Bomba</t>
  </si>
  <si>
    <t>Nasir</t>
  </si>
  <si>
    <t>61st</t>
  </si>
  <si>
    <t>Bong Woo</t>
  </si>
  <si>
    <t>Kim</t>
  </si>
  <si>
    <t>Korea</t>
  </si>
  <si>
    <t>Bonk</t>
  </si>
  <si>
    <t>Lenny</t>
  </si>
  <si>
    <t>Mishawaka</t>
  </si>
  <si>
    <t>Known Pro</t>
  </si>
  <si>
    <t>Borland</t>
  </si>
  <si>
    <t>Evansville</t>
  </si>
  <si>
    <t>Pro Singles Cricket</t>
  </si>
  <si>
    <t>Borrelli</t>
  </si>
  <si>
    <t>Lyons</t>
  </si>
  <si>
    <t>Bouffard</t>
  </si>
  <si>
    <t>Elzear</t>
  </si>
  <si>
    <t>Concord</t>
  </si>
  <si>
    <t>NH</t>
  </si>
  <si>
    <t>Boulton</t>
  </si>
  <si>
    <t>Andy</t>
  </si>
  <si>
    <t>78th</t>
  </si>
  <si>
    <t>Bourne</t>
  </si>
  <si>
    <t>Ralph</t>
  </si>
  <si>
    <t>Bower</t>
  </si>
  <si>
    <t>Orlando</t>
  </si>
  <si>
    <t>Florida BS 34</t>
  </si>
  <si>
    <t>Bowles</t>
  </si>
  <si>
    <t>48th</t>
  </si>
  <si>
    <t>Bowsell</t>
  </si>
  <si>
    <t>Winter Haven</t>
  </si>
  <si>
    <t>Boyd</t>
  </si>
  <si>
    <t>Hamilton</t>
  </si>
  <si>
    <t>Bozzetti</t>
  </si>
  <si>
    <t>New York</t>
  </si>
  <si>
    <t>Bradley</t>
  </si>
  <si>
    <t>Clarksville</t>
  </si>
  <si>
    <t>NAPDA 2017</t>
  </si>
  <si>
    <t>13th</t>
  </si>
  <si>
    <t>Brant</t>
  </si>
  <si>
    <t>Alexander</t>
  </si>
  <si>
    <t>Braughler</t>
  </si>
  <si>
    <t>Bob</t>
  </si>
  <si>
    <t>Buffalo</t>
  </si>
  <si>
    <t>Brenneman</t>
  </si>
  <si>
    <t>Shawn</t>
  </si>
  <si>
    <t>22nd</t>
  </si>
  <si>
    <t>Brewer</t>
  </si>
  <si>
    <t>Olathe</t>
  </si>
  <si>
    <t>KS</t>
  </si>
  <si>
    <t>Mixed Triples</t>
  </si>
  <si>
    <t>Bright</t>
  </si>
  <si>
    <t>Randy</t>
  </si>
  <si>
    <t>Boaz</t>
  </si>
  <si>
    <t>TN Regional 33</t>
  </si>
  <si>
    <t>Brock</t>
  </si>
  <si>
    <t>Fulton</t>
  </si>
  <si>
    <t>MS</t>
  </si>
  <si>
    <t>Broomhead</t>
  </si>
  <si>
    <t>Brousseau</t>
  </si>
  <si>
    <t>Chuck</t>
  </si>
  <si>
    <t>39th</t>
  </si>
  <si>
    <t>Brown</t>
  </si>
  <si>
    <t>Texas BS 34</t>
  </si>
  <si>
    <t>Keegan</t>
  </si>
  <si>
    <t>12th</t>
  </si>
  <si>
    <t>Browning</t>
  </si>
  <si>
    <t>John (Jay)</t>
  </si>
  <si>
    <t>Broyles</t>
  </si>
  <si>
    <t>Niles</t>
  </si>
  <si>
    <t>Pro Singles X01</t>
  </si>
  <si>
    <t>Bruguier</t>
  </si>
  <si>
    <t>Willard</t>
  </si>
  <si>
    <t>Wagner</t>
  </si>
  <si>
    <t>ADO 2017</t>
  </si>
  <si>
    <t>Brunello</t>
  </si>
  <si>
    <t>Cody</t>
  </si>
  <si>
    <t>Kenosha</t>
  </si>
  <si>
    <t>Buboltz</t>
  </si>
  <si>
    <t>Trevor</t>
  </si>
  <si>
    <t>Tinley Park</t>
  </si>
  <si>
    <t>Buchanan</t>
  </si>
  <si>
    <t>Buckley</t>
  </si>
  <si>
    <t>Urbane</t>
  </si>
  <si>
    <t>Bugg</t>
  </si>
  <si>
    <t>Lloyd</t>
  </si>
  <si>
    <t>Dalton</t>
  </si>
  <si>
    <t>GA</t>
  </si>
  <si>
    <t>Buie</t>
  </si>
  <si>
    <t>Haines City</t>
  </si>
  <si>
    <t>Bumgarner</t>
  </si>
  <si>
    <t>Todd</t>
  </si>
  <si>
    <t>Bunnenburg</t>
  </si>
  <si>
    <t>Conway</t>
  </si>
  <si>
    <t>Bunting</t>
  </si>
  <si>
    <t>Stephen</t>
  </si>
  <si>
    <t>21th</t>
  </si>
  <si>
    <t>Buntrock</t>
  </si>
  <si>
    <t>Bryan</t>
  </si>
  <si>
    <t>Fort Atkinson</t>
  </si>
  <si>
    <t>Top Gun A/AA Triples</t>
  </si>
  <si>
    <t>Buntz</t>
  </si>
  <si>
    <t>Stowe</t>
  </si>
  <si>
    <t>Burgio</t>
  </si>
  <si>
    <t>Vincent</t>
  </si>
  <si>
    <t>Greenfield</t>
  </si>
  <si>
    <t>Burk</t>
  </si>
  <si>
    <t>Battle Creek</t>
  </si>
  <si>
    <t>Burke</t>
  </si>
  <si>
    <t>Oswego</t>
  </si>
  <si>
    <t>Pro/AA Cricket Luck</t>
  </si>
  <si>
    <t>Burkey</t>
  </si>
  <si>
    <t>Del</t>
  </si>
  <si>
    <t>Forsyth</t>
  </si>
  <si>
    <t>Burnett</t>
  </si>
  <si>
    <t>Richie</t>
  </si>
  <si>
    <t>Wales</t>
  </si>
  <si>
    <t>60th</t>
  </si>
  <si>
    <t>Sacramento</t>
  </si>
  <si>
    <t>Burns</t>
  </si>
  <si>
    <t>Staten Island</t>
  </si>
  <si>
    <t>Burrows</t>
  </si>
  <si>
    <t>Tyler</t>
  </si>
  <si>
    <t>DesMoines</t>
  </si>
  <si>
    <t>Mixed 701 Triples</t>
  </si>
  <si>
    <t>Burt</t>
  </si>
  <si>
    <t>29th</t>
  </si>
  <si>
    <t>Bush</t>
  </si>
  <si>
    <t>Longwood</t>
  </si>
  <si>
    <t>Butler</t>
  </si>
  <si>
    <t>Cole</t>
  </si>
  <si>
    <t>Pearland</t>
  </si>
  <si>
    <t>Larry</t>
  </si>
  <si>
    <t>Fairborn</t>
  </si>
  <si>
    <t>Cabrera</t>
  </si>
  <si>
    <t>Salvador</t>
  </si>
  <si>
    <t>European Bullshooter XXV</t>
  </si>
  <si>
    <t>Calderon</t>
  </si>
  <si>
    <t>Carlos</t>
  </si>
  <si>
    <t>Caldwell</t>
  </si>
  <si>
    <t>Roanoake</t>
  </si>
  <si>
    <t>VA</t>
  </si>
  <si>
    <t>Calzada</t>
  </si>
  <si>
    <t>Houston</t>
  </si>
  <si>
    <t>Cameron</t>
  </si>
  <si>
    <t>Campbell</t>
  </si>
  <si>
    <t>Chris</t>
  </si>
  <si>
    <t>Gadsden</t>
  </si>
  <si>
    <t>Lyle</t>
  </si>
  <si>
    <t>Williamsburg</t>
  </si>
  <si>
    <t>Campos</t>
  </si>
  <si>
    <t>Jesse</t>
  </si>
  <si>
    <t>Rockford</t>
  </si>
  <si>
    <t>Canque</t>
  </si>
  <si>
    <t>Americo</t>
  </si>
  <si>
    <t>Las Vegas</t>
  </si>
  <si>
    <t>NV</t>
  </si>
  <si>
    <t>Caris</t>
  </si>
  <si>
    <t>Magnus</t>
  </si>
  <si>
    <t>Sweden</t>
  </si>
  <si>
    <t>91st</t>
  </si>
  <si>
    <t>Carpenter</t>
  </si>
  <si>
    <t>Bryant</t>
  </si>
  <si>
    <t>Jeffery</t>
  </si>
  <si>
    <t>Ashland</t>
  </si>
  <si>
    <t>Carr</t>
  </si>
  <si>
    <t>Justin</t>
  </si>
  <si>
    <t>Princeton</t>
  </si>
  <si>
    <t>Pro Doubles Cricket</t>
  </si>
  <si>
    <t>Carter</t>
  </si>
  <si>
    <t>Tolleson</t>
  </si>
  <si>
    <t>Roger</t>
  </si>
  <si>
    <t>Auburn</t>
  </si>
  <si>
    <t>49th</t>
  </si>
  <si>
    <t>Carver</t>
  </si>
  <si>
    <t>Ray</t>
  </si>
  <si>
    <t>North Aurora</t>
  </si>
  <si>
    <t>Case</t>
  </si>
  <si>
    <t>Porter</t>
  </si>
  <si>
    <t>Castillo</t>
  </si>
  <si>
    <t>Alberto</t>
  </si>
  <si>
    <t>Pasadena</t>
  </si>
  <si>
    <t>Caven</t>
  </si>
  <si>
    <t>Jamie</t>
  </si>
  <si>
    <t>Chaney</t>
  </si>
  <si>
    <t>Joe</t>
  </si>
  <si>
    <t>Harrison</t>
  </si>
  <si>
    <t>Pro AA Luck</t>
  </si>
  <si>
    <t>Chavez</t>
  </si>
  <si>
    <t>Corona</t>
  </si>
  <si>
    <t>Cheng</t>
  </si>
  <si>
    <t>Weikun</t>
  </si>
  <si>
    <t>TAIWAN</t>
  </si>
  <si>
    <t>Chichester</t>
  </si>
  <si>
    <t>Chin</t>
  </si>
  <si>
    <t>Desmond</t>
  </si>
  <si>
    <t>Chinn</t>
  </si>
  <si>
    <t>Jonah</t>
  </si>
  <si>
    <t>Sioux City</t>
  </si>
  <si>
    <t>Chisnall</t>
  </si>
  <si>
    <t>7th</t>
  </si>
  <si>
    <t>Chmielak</t>
  </si>
  <si>
    <t>Joel</t>
  </si>
  <si>
    <t>Streamwood</t>
  </si>
  <si>
    <t>Choong</t>
  </si>
  <si>
    <t>58th</t>
  </si>
  <si>
    <t>Chorba</t>
  </si>
  <si>
    <t>35th</t>
  </si>
  <si>
    <t>Chornyak</t>
  </si>
  <si>
    <t>Matthew</t>
  </si>
  <si>
    <t>Overland Park</t>
  </si>
  <si>
    <t>NE Regional 32</t>
  </si>
  <si>
    <t>Chou</t>
  </si>
  <si>
    <t>Momo</t>
  </si>
  <si>
    <t>Taiwan</t>
  </si>
  <si>
    <t>68th</t>
  </si>
  <si>
    <t>Chua</t>
  </si>
  <si>
    <t>Wilfred</t>
  </si>
  <si>
    <t>Chuang</t>
  </si>
  <si>
    <t>Lee Chao</t>
  </si>
  <si>
    <t>Clack</t>
  </si>
  <si>
    <t>Cygnet</t>
  </si>
  <si>
    <t>Clark</t>
  </si>
  <si>
    <t>Dearborn Hts</t>
  </si>
  <si>
    <t>Matt</t>
  </si>
  <si>
    <t>99th</t>
  </si>
  <si>
    <t>Claude</t>
  </si>
  <si>
    <t>Judlin</t>
  </si>
  <si>
    <t>Clauwers</t>
  </si>
  <si>
    <t>Alain</t>
  </si>
  <si>
    <t>Clayton</t>
  </si>
  <si>
    <t>Jonny</t>
  </si>
  <si>
    <t>Coffie</t>
  </si>
  <si>
    <t>Theodore</t>
  </si>
  <si>
    <t>Watertown</t>
  </si>
  <si>
    <t>Cogar</t>
  </si>
  <si>
    <t>Dallas</t>
  </si>
  <si>
    <t>Cohee</t>
  </si>
  <si>
    <t>Monticello</t>
  </si>
  <si>
    <t>Coldiron</t>
  </si>
  <si>
    <t>Rob</t>
  </si>
  <si>
    <t>Hilliard</t>
  </si>
  <si>
    <t>Garion</t>
  </si>
  <si>
    <t>Chillicothe</t>
  </si>
  <si>
    <t>Colston</t>
  </si>
  <si>
    <t>Cedar Bluff</t>
  </si>
  <si>
    <t>Nathaniel</t>
  </si>
  <si>
    <t>Comer</t>
  </si>
  <si>
    <t>Clarence</t>
  </si>
  <si>
    <t>Herrin</t>
  </si>
  <si>
    <t>Connell</t>
  </si>
  <si>
    <t>Liverpool</t>
  </si>
  <si>
    <t>Pro 501 Doubles</t>
  </si>
  <si>
    <t>N. Syracuse</t>
  </si>
  <si>
    <t>Connor</t>
  </si>
  <si>
    <t>Dillon</t>
  </si>
  <si>
    <t>Baytown</t>
  </si>
  <si>
    <t>Cook</t>
  </si>
  <si>
    <t>South Bend</t>
  </si>
  <si>
    <t>Pro Doubles X01</t>
  </si>
  <si>
    <t>Patrick</t>
  </si>
  <si>
    <t>Corbett</t>
  </si>
  <si>
    <t>Tory</t>
  </si>
  <si>
    <t>New London</t>
  </si>
  <si>
    <t>Cortez</t>
  </si>
  <si>
    <t>Doug</t>
  </si>
  <si>
    <t>East Moline</t>
  </si>
  <si>
    <t>Top Gun Mixed Triples</t>
  </si>
  <si>
    <t>Cotton</t>
  </si>
  <si>
    <t>Hardin</t>
  </si>
  <si>
    <t>KY</t>
  </si>
  <si>
    <t>Pro Singles</t>
  </si>
  <si>
    <t>Courtright</t>
  </si>
  <si>
    <t>Airville</t>
  </si>
  <si>
    <t>Cox</t>
  </si>
  <si>
    <t>Charleston</t>
  </si>
  <si>
    <t>Joseph</t>
  </si>
  <si>
    <t>Phildelphia</t>
  </si>
  <si>
    <t>Crans</t>
  </si>
  <si>
    <t>Crescini</t>
  </si>
  <si>
    <t>Croker</t>
  </si>
  <si>
    <t>Omaha</t>
  </si>
  <si>
    <t>Cronin</t>
  </si>
  <si>
    <t>Mark</t>
  </si>
  <si>
    <t>Crosby</t>
  </si>
  <si>
    <t>Cross</t>
  </si>
  <si>
    <t>Crouch</t>
  </si>
  <si>
    <t>Cabrin</t>
  </si>
  <si>
    <t>Crow</t>
  </si>
  <si>
    <t>Ronald</t>
  </si>
  <si>
    <t>Streator</t>
  </si>
  <si>
    <t>Crowder</t>
  </si>
  <si>
    <t>Florence</t>
  </si>
  <si>
    <t>Cullen</t>
  </si>
  <si>
    <t>18th</t>
  </si>
  <si>
    <t>Shannon</t>
  </si>
  <si>
    <t>Curtin</t>
  </si>
  <si>
    <t>Chelmsford</t>
  </si>
  <si>
    <t>MA</t>
  </si>
  <si>
    <t>Czipo</t>
  </si>
  <si>
    <t>Daams</t>
  </si>
  <si>
    <t>Racine</t>
  </si>
  <si>
    <t>Daminski</t>
  </si>
  <si>
    <t>Jeff</t>
  </si>
  <si>
    <t>West Seneca</t>
  </si>
  <si>
    <t>Damore</t>
  </si>
  <si>
    <t>Jim</t>
  </si>
  <si>
    <t>Palatine</t>
  </si>
  <si>
    <t>Daniels</t>
  </si>
  <si>
    <t>Cold Spring</t>
  </si>
  <si>
    <t>Davenport</t>
  </si>
  <si>
    <t>Bobby</t>
  </si>
  <si>
    <t>Cape Girardeau</t>
  </si>
  <si>
    <t>Davey</t>
  </si>
  <si>
    <t>Tucker</t>
  </si>
  <si>
    <t>Ft. Lauderdale</t>
  </si>
  <si>
    <t>Davies Jr</t>
  </si>
  <si>
    <t>Deatsville</t>
  </si>
  <si>
    <t>GA Regional 32</t>
  </si>
  <si>
    <t>Davis</t>
  </si>
  <si>
    <t>Brett</t>
  </si>
  <si>
    <t>Parrish</t>
  </si>
  <si>
    <t>Mixed Cricket</t>
  </si>
  <si>
    <t>Valrico</t>
  </si>
  <si>
    <t>JT</t>
  </si>
  <si>
    <t>Kody</t>
  </si>
  <si>
    <t>Von Ormy</t>
  </si>
  <si>
    <t>Littlestown</t>
  </si>
  <si>
    <t>de Breede</t>
  </si>
  <si>
    <t>79th</t>
  </si>
  <si>
    <t>De Graaf</t>
  </si>
  <si>
    <t>Jeffrey</t>
  </si>
  <si>
    <t>77th</t>
  </si>
  <si>
    <t>de Vos</t>
  </si>
  <si>
    <t>Geert</t>
  </si>
  <si>
    <t>Belgium</t>
  </si>
  <si>
    <t>73rd</t>
  </si>
  <si>
    <t>de Zwaan</t>
  </si>
  <si>
    <t>Decker</t>
  </si>
  <si>
    <t>Deicher</t>
  </si>
  <si>
    <t>Green Bay</t>
  </si>
  <si>
    <t>Dekker</t>
  </si>
  <si>
    <t>Cor</t>
  </si>
  <si>
    <t>Norway</t>
  </si>
  <si>
    <t>Top Gun Pro/AA Triples</t>
  </si>
  <si>
    <t>Jan</t>
  </si>
  <si>
    <t>Delacruz</t>
  </si>
  <si>
    <t>Reu</t>
  </si>
  <si>
    <t>Delfino</t>
  </si>
  <si>
    <t>Duluth</t>
  </si>
  <si>
    <t>Pro AA 501 Doubles</t>
  </si>
  <si>
    <t>Dellarocca</t>
  </si>
  <si>
    <t>Delp</t>
  </si>
  <si>
    <t>Dement</t>
  </si>
  <si>
    <t>Rich</t>
  </si>
  <si>
    <t>Off AA list</t>
  </si>
  <si>
    <t>Denkovich</t>
  </si>
  <si>
    <t>Danniel</t>
  </si>
  <si>
    <t>Monaca</t>
  </si>
  <si>
    <t>Dennard</t>
  </si>
  <si>
    <t>Chandler</t>
  </si>
  <si>
    <t>Macon</t>
  </si>
  <si>
    <t>Mixed Doubles Cricket</t>
  </si>
  <si>
    <t>DeRemer</t>
  </si>
  <si>
    <t>Centreville</t>
  </si>
  <si>
    <t>33rd</t>
  </si>
  <si>
    <t>Dersch</t>
  </si>
  <si>
    <t>Benjamin</t>
  </si>
  <si>
    <t>TopGun Pro A/AA Singles</t>
  </si>
  <si>
    <t>Dewitt</t>
  </si>
  <si>
    <t>Kingsbury</t>
  </si>
  <si>
    <t>Deyne</t>
  </si>
  <si>
    <t>Henderson</t>
  </si>
  <si>
    <t>CO</t>
  </si>
  <si>
    <t>DiGiacomo</t>
  </si>
  <si>
    <t>Stickney</t>
  </si>
  <si>
    <t>Digiulio</t>
  </si>
  <si>
    <t>Angelo</t>
  </si>
  <si>
    <t>Kenmore</t>
  </si>
  <si>
    <t>Dimodica III</t>
  </si>
  <si>
    <t>Surfside Beach</t>
  </si>
  <si>
    <t>Dixon</t>
  </si>
  <si>
    <t>Gordon</t>
  </si>
  <si>
    <t>Pickerington</t>
  </si>
  <si>
    <t>Dobey</t>
  </si>
  <si>
    <t>Dobromyslova</t>
  </si>
  <si>
    <t>Anastasia</t>
  </si>
  <si>
    <t>Russia</t>
  </si>
  <si>
    <t>86th</t>
  </si>
  <si>
    <t>Docherty</t>
  </si>
  <si>
    <t>Dolan</t>
  </si>
  <si>
    <t>Brendon</t>
  </si>
  <si>
    <t>Nireland</t>
  </si>
  <si>
    <t>36th</t>
  </si>
  <si>
    <t>Donahue</t>
  </si>
  <si>
    <t>Donbeck</t>
  </si>
  <si>
    <t>Rayland</t>
  </si>
  <si>
    <t>Donnelly</t>
  </si>
  <si>
    <t>Steubenville</t>
  </si>
  <si>
    <t>Dotson</t>
  </si>
  <si>
    <t>Morgan</t>
  </si>
  <si>
    <t>26th</t>
  </si>
  <si>
    <t>Dougherty</t>
  </si>
  <si>
    <t>Ocala</t>
  </si>
  <si>
    <t>Doyle</t>
  </si>
  <si>
    <t>Kenny</t>
  </si>
  <si>
    <t>Altamonte Springs</t>
  </si>
  <si>
    <t>Drager</t>
  </si>
  <si>
    <t>Markesan</t>
  </si>
  <si>
    <t>Mens Cricket Singles</t>
  </si>
  <si>
    <t>Drake</t>
  </si>
  <si>
    <t>Cory</t>
  </si>
  <si>
    <t>Dreher</t>
  </si>
  <si>
    <t>Schuykill Haven</t>
  </si>
  <si>
    <t>Drion</t>
  </si>
  <si>
    <t>Jean Pierre</t>
  </si>
  <si>
    <t>Duibley</t>
  </si>
  <si>
    <t>Beavercreek</t>
  </si>
  <si>
    <t>Dumont</t>
  </si>
  <si>
    <t>Donald</t>
  </si>
  <si>
    <t>Stewartstown</t>
  </si>
  <si>
    <t>Dunaway Jr.</t>
  </si>
  <si>
    <t>Dunbar</t>
  </si>
  <si>
    <t>Zachary</t>
  </si>
  <si>
    <t>WI Regional 33</t>
  </si>
  <si>
    <t>Dunmire</t>
  </si>
  <si>
    <t>37th</t>
  </si>
  <si>
    <t>Durrant</t>
  </si>
  <si>
    <t>Glen</t>
  </si>
  <si>
    <t>Dycus</t>
  </si>
  <si>
    <t>Earle</t>
  </si>
  <si>
    <t>Cedar Rapids</t>
  </si>
  <si>
    <t>Cricket Doubles</t>
  </si>
  <si>
    <t>Earley</t>
  </si>
  <si>
    <t>Hartford</t>
  </si>
  <si>
    <t>Eastman</t>
  </si>
  <si>
    <t>Clint</t>
  </si>
  <si>
    <t>Winner</t>
  </si>
  <si>
    <t>Eaton</t>
  </si>
  <si>
    <t>Eckenrode</t>
  </si>
  <si>
    <t>Brad</t>
  </si>
  <si>
    <t>Fort Walton Beach</t>
  </si>
  <si>
    <t>Edmunds</t>
  </si>
  <si>
    <t>Kiley</t>
  </si>
  <si>
    <t>42nd</t>
  </si>
  <si>
    <t>Edwards</t>
  </si>
  <si>
    <t>Spring Hill</t>
  </si>
  <si>
    <t>Efter</t>
  </si>
  <si>
    <t>CT</t>
  </si>
  <si>
    <t>Eguchi</t>
  </si>
  <si>
    <t>Yuji</t>
  </si>
  <si>
    <t>17th</t>
  </si>
  <si>
    <t>Eichor</t>
  </si>
  <si>
    <t>Scottdale</t>
  </si>
  <si>
    <t>Eichorst</t>
  </si>
  <si>
    <t>Walton</t>
  </si>
  <si>
    <t>Eisner</t>
  </si>
  <si>
    <t>Whitewater</t>
  </si>
  <si>
    <t>Elder</t>
  </si>
  <si>
    <t>Elderbroom</t>
  </si>
  <si>
    <t>Lake Wylie</t>
  </si>
  <si>
    <t>46th</t>
  </si>
  <si>
    <t>Eldridge</t>
  </si>
  <si>
    <t>Columbus</t>
  </si>
  <si>
    <t>Emonts</t>
  </si>
  <si>
    <t>Francis</t>
  </si>
  <si>
    <t>Top Gun A/AA Singles</t>
  </si>
  <si>
    <t>Engelman</t>
  </si>
  <si>
    <t>Troy</t>
  </si>
  <si>
    <t>Kettering</t>
  </si>
  <si>
    <t>Enomata</t>
  </si>
  <si>
    <t>Shingo</t>
  </si>
  <si>
    <t>53rd</t>
  </si>
  <si>
    <t>Eribal</t>
  </si>
  <si>
    <t>83rd</t>
  </si>
  <si>
    <t>Esparica</t>
  </si>
  <si>
    <t>Sergio</t>
  </si>
  <si>
    <t>Pro Doubles 301</t>
  </si>
  <si>
    <t>Espinoza</t>
  </si>
  <si>
    <t>Owatonna</t>
  </si>
  <si>
    <t>MN</t>
  </si>
  <si>
    <t>Men's Doubles</t>
  </si>
  <si>
    <t>Estle</t>
  </si>
  <si>
    <t>21st</t>
  </si>
  <si>
    <t>Eugea</t>
  </si>
  <si>
    <t>Granite City</t>
  </si>
  <si>
    <t>Evans</t>
  </si>
  <si>
    <t>Ricky</t>
  </si>
  <si>
    <t>Hernando Beach</t>
  </si>
  <si>
    <t>Ewing</t>
  </si>
  <si>
    <t>Seth</t>
  </si>
  <si>
    <t>Fair</t>
  </si>
  <si>
    <t>Sinking Spring</t>
  </si>
  <si>
    <t>Fatum</t>
  </si>
  <si>
    <t>Glendale</t>
  </si>
  <si>
    <t>Fedewa</t>
  </si>
  <si>
    <t>Trever</t>
  </si>
  <si>
    <t>Lake Isabella</t>
  </si>
  <si>
    <t>Feldpusch</t>
  </si>
  <si>
    <t>North Canton</t>
  </si>
  <si>
    <t>Ferguson</t>
  </si>
  <si>
    <t>Lewistown</t>
  </si>
  <si>
    <t>Fern</t>
  </si>
  <si>
    <t>LaPorte</t>
  </si>
  <si>
    <t>Pro AA Cricket Doubles</t>
  </si>
  <si>
    <t>Fernandez Carballo</t>
  </si>
  <si>
    <t>Ricardo</t>
  </si>
  <si>
    <t>Pro Team Cricket</t>
  </si>
  <si>
    <t>Euro Bullshooter XXV</t>
  </si>
  <si>
    <t>Fernando</t>
  </si>
  <si>
    <t>Junlan</t>
  </si>
  <si>
    <t>Portsmouth</t>
  </si>
  <si>
    <t>Ferreira</t>
  </si>
  <si>
    <t>Portugal</t>
  </si>
  <si>
    <t>Euro BullShooter XXV</t>
  </si>
  <si>
    <t>Fields</t>
  </si>
  <si>
    <t>Gregory</t>
  </si>
  <si>
    <t>Kingsport</t>
  </si>
  <si>
    <t>Fitton</t>
  </si>
  <si>
    <t>Darryl</t>
  </si>
  <si>
    <t>United Kingdom</t>
  </si>
  <si>
    <t>89th</t>
  </si>
  <si>
    <t>Fitzgerald</t>
  </si>
  <si>
    <t>Fredericksburg</t>
  </si>
  <si>
    <t>TopGun Men Singles</t>
  </si>
  <si>
    <t>Fitzsimmons</t>
  </si>
  <si>
    <t>Florian</t>
  </si>
  <si>
    <t>Eugene</t>
  </si>
  <si>
    <t>Marietta</t>
  </si>
  <si>
    <t>Flowers</t>
  </si>
  <si>
    <t>Foist</t>
  </si>
  <si>
    <t>Ozark</t>
  </si>
  <si>
    <t>Foong</t>
  </si>
  <si>
    <t>Jet</t>
  </si>
  <si>
    <t>Foreman</t>
  </si>
  <si>
    <t>Jon</t>
  </si>
  <si>
    <t>Richardson</t>
  </si>
  <si>
    <t>Foster</t>
  </si>
  <si>
    <t>27th</t>
  </si>
  <si>
    <t>Fountaine</t>
  </si>
  <si>
    <t>Gregg</t>
  </si>
  <si>
    <t>Oregon</t>
  </si>
  <si>
    <t>BS 30 Finals</t>
  </si>
  <si>
    <t>Foushee</t>
  </si>
  <si>
    <t>Knightdale</t>
  </si>
  <si>
    <t>Fowler</t>
  </si>
  <si>
    <t>Fricks</t>
  </si>
  <si>
    <t>Friedrich</t>
  </si>
  <si>
    <t>Inverness</t>
  </si>
  <si>
    <t>Frizzell</t>
  </si>
  <si>
    <t>Finleyville</t>
  </si>
  <si>
    <t>Froelick</t>
  </si>
  <si>
    <t>Defiance</t>
  </si>
  <si>
    <t>Fry</t>
  </si>
  <si>
    <t>Breck</t>
  </si>
  <si>
    <t>Sheffield</t>
  </si>
  <si>
    <t>Fujii</t>
  </si>
  <si>
    <t>Fujiwara</t>
  </si>
  <si>
    <t>T</t>
  </si>
  <si>
    <t>JAPAN</t>
  </si>
  <si>
    <t>Fuller</t>
  </si>
  <si>
    <t>Scvott</t>
  </si>
  <si>
    <t>Little Genessee</t>
  </si>
  <si>
    <t>Gage</t>
  </si>
  <si>
    <t>Diamond</t>
  </si>
  <si>
    <t>Pro AA Doubles Cricket</t>
  </si>
  <si>
    <t>Gaitan</t>
  </si>
  <si>
    <t>Galan</t>
  </si>
  <si>
    <t>Gallagner</t>
  </si>
  <si>
    <t>Galland</t>
  </si>
  <si>
    <t>Loic</t>
  </si>
  <si>
    <t>Galvan</t>
  </si>
  <si>
    <t>Beaver Falls</t>
  </si>
  <si>
    <t>Gamble</t>
  </si>
  <si>
    <t>Garbis</t>
  </si>
  <si>
    <t>Tasso</t>
  </si>
  <si>
    <t>Elmhurst</t>
  </si>
  <si>
    <t>Off AA List IN 20</t>
  </si>
  <si>
    <t>Garcia</t>
  </si>
  <si>
    <t>Garn</t>
  </si>
  <si>
    <t>Jeromesville</t>
  </si>
  <si>
    <t>Garrean, Jr.</t>
  </si>
  <si>
    <t>Steven</t>
  </si>
  <si>
    <t>Plattsmouth</t>
  </si>
  <si>
    <t>Garrigolas Roca</t>
  </si>
  <si>
    <t>Garza</t>
  </si>
  <si>
    <t>Guadalupe</t>
  </si>
  <si>
    <t>Gates</t>
  </si>
  <si>
    <t>Leonard</t>
  </si>
  <si>
    <t>Gauthier</t>
  </si>
  <si>
    <t>Depere</t>
  </si>
  <si>
    <t>Genz</t>
  </si>
  <si>
    <t>Darren</t>
  </si>
  <si>
    <t>Ohatchee</t>
  </si>
  <si>
    <t>Georgeson</t>
  </si>
  <si>
    <t>Nicholas</t>
  </si>
  <si>
    <t>Libertyville</t>
  </si>
  <si>
    <t>Gervais</t>
  </si>
  <si>
    <t>Superior</t>
  </si>
  <si>
    <t>Pro Mixed Cricket</t>
  </si>
  <si>
    <t>Gherardini</t>
  </si>
  <si>
    <t>Dean</t>
  </si>
  <si>
    <t>Gibson</t>
  </si>
  <si>
    <t>Bryson</t>
  </si>
  <si>
    <t>OFF AA IN 20</t>
  </si>
  <si>
    <t>Gilbert</t>
  </si>
  <si>
    <t>Portage</t>
  </si>
  <si>
    <t>Gilding</t>
  </si>
  <si>
    <t>32nd</t>
  </si>
  <si>
    <t>Gilreath</t>
  </si>
  <si>
    <t>Lee</t>
  </si>
  <si>
    <t>Rockmart</t>
  </si>
  <si>
    <t>Giordano</t>
  </si>
  <si>
    <t>Gloss</t>
  </si>
  <si>
    <t>Port Richey</t>
  </si>
  <si>
    <t>Goblet</t>
  </si>
  <si>
    <t>Samuel</t>
  </si>
  <si>
    <t>Gonzalez</t>
  </si>
  <si>
    <t>Gore</t>
  </si>
  <si>
    <t>Gosnell</t>
  </si>
  <si>
    <t>Graff</t>
  </si>
  <si>
    <t>Manitowoc</t>
  </si>
  <si>
    <t>Grant</t>
  </si>
  <si>
    <t>Dayton</t>
  </si>
  <si>
    <t>Graton</t>
  </si>
  <si>
    <t>Niagara Falls</t>
  </si>
  <si>
    <t>Graves</t>
  </si>
  <si>
    <t>Gray</t>
  </si>
  <si>
    <t>Adrian</t>
  </si>
  <si>
    <t>Phoenix</t>
  </si>
  <si>
    <t>Green</t>
  </si>
  <si>
    <t>Waukesha</t>
  </si>
  <si>
    <t>Robbie</t>
  </si>
  <si>
    <t>41th</t>
  </si>
  <si>
    <t>Green Jr.</t>
  </si>
  <si>
    <t>Greenhau</t>
  </si>
  <si>
    <t>Galesburg</t>
  </si>
  <si>
    <t>Festus</t>
  </si>
  <si>
    <t>Pro AA Cricket doubles</t>
  </si>
  <si>
    <t>Grenier</t>
  </si>
  <si>
    <t>Grimm</t>
  </si>
  <si>
    <t>Mauston</t>
  </si>
  <si>
    <t>Groceman</t>
  </si>
  <si>
    <t>St. Peters</t>
  </si>
  <si>
    <t>Guerette</t>
  </si>
  <si>
    <t>Goldsboro</t>
  </si>
  <si>
    <t>Guillermont</t>
  </si>
  <si>
    <t>Frank</t>
  </si>
  <si>
    <t>Gunville Jr.</t>
  </si>
  <si>
    <t>Don</t>
  </si>
  <si>
    <t>Bismark</t>
  </si>
  <si>
    <t>Gunville Sr.</t>
  </si>
  <si>
    <t>Dunseith</t>
  </si>
  <si>
    <t>Gurney</t>
  </si>
  <si>
    <t>Daryl</t>
  </si>
  <si>
    <t>5th</t>
  </si>
  <si>
    <t>Haas</t>
  </si>
  <si>
    <t>Quakertown</t>
  </si>
  <si>
    <t>Hagan</t>
  </si>
  <si>
    <t>Lourence</t>
  </si>
  <si>
    <t>Philipines</t>
  </si>
  <si>
    <t>Hager</t>
  </si>
  <si>
    <t>Verrick</t>
  </si>
  <si>
    <t>Syracuse</t>
  </si>
  <si>
    <t>Hall</t>
  </si>
  <si>
    <t>Bedford</t>
  </si>
  <si>
    <t>Halley</t>
  </si>
  <si>
    <t>Halphin</t>
  </si>
  <si>
    <t>Garrett</t>
  </si>
  <si>
    <t>Kenah</t>
  </si>
  <si>
    <t>Hancock</t>
  </si>
  <si>
    <t>Junction City</t>
  </si>
  <si>
    <t>Hanisch</t>
  </si>
  <si>
    <t>Harrisburg</t>
  </si>
  <si>
    <t>Hannahs</t>
  </si>
  <si>
    <t>Barnesville</t>
  </si>
  <si>
    <t>Haraway</t>
  </si>
  <si>
    <t>Terre Haute</t>
  </si>
  <si>
    <t>Harms</t>
  </si>
  <si>
    <t>Wesley</t>
  </si>
  <si>
    <t>66th</t>
  </si>
  <si>
    <t>Harris</t>
  </si>
  <si>
    <t>Newton Falls</t>
  </si>
  <si>
    <t>Harvey</t>
  </si>
  <si>
    <t>Wayne</t>
  </si>
  <si>
    <t>Horn Lake</t>
  </si>
  <si>
    <t>Hasty, Jr.</t>
  </si>
  <si>
    <t>Lake Station</t>
  </si>
  <si>
    <t>Hathaway</t>
  </si>
  <si>
    <t>Hawkins</t>
  </si>
  <si>
    <t>Universal City</t>
  </si>
  <si>
    <t>Haynes</t>
  </si>
  <si>
    <t>Heburn</t>
  </si>
  <si>
    <t>Longs</t>
  </si>
  <si>
    <t>Heckman</t>
  </si>
  <si>
    <t>Vacaville</t>
  </si>
  <si>
    <t>Hedrick</t>
  </si>
  <si>
    <t>Loudonville</t>
  </si>
  <si>
    <t>Hee Han</t>
  </si>
  <si>
    <t>Woung</t>
  </si>
  <si>
    <t>Heim</t>
  </si>
  <si>
    <t>Goose Creek</t>
  </si>
  <si>
    <t>Helgeson</t>
  </si>
  <si>
    <t>Lane</t>
  </si>
  <si>
    <t>Muskego</t>
  </si>
  <si>
    <t>Top Gun Triples Pro/AA</t>
  </si>
  <si>
    <t>Heman</t>
  </si>
  <si>
    <t>Deta</t>
  </si>
  <si>
    <t>80th</t>
  </si>
  <si>
    <t>Henninger</t>
  </si>
  <si>
    <t>Moorhead</t>
  </si>
  <si>
    <t>Henry</t>
  </si>
  <si>
    <t>Jerod</t>
  </si>
  <si>
    <t>Pearl City</t>
  </si>
  <si>
    <t>Hensley</t>
  </si>
  <si>
    <t>Tampa</t>
  </si>
  <si>
    <t>Henze III</t>
  </si>
  <si>
    <t>Little Falls</t>
  </si>
  <si>
    <t>Hercules</t>
  </si>
  <si>
    <t>McMehen</t>
  </si>
  <si>
    <t>Hernandez</t>
  </si>
  <si>
    <t>Mar</t>
  </si>
  <si>
    <t>Herrera</t>
  </si>
  <si>
    <t>Ruben</t>
  </si>
  <si>
    <t>San Diego</t>
  </si>
  <si>
    <t>Herrig</t>
  </si>
  <si>
    <t>Rome</t>
  </si>
  <si>
    <t>Hettenhouser</t>
  </si>
  <si>
    <t>Hettich</t>
  </si>
  <si>
    <t>Hewitt</t>
  </si>
  <si>
    <t>Pat</t>
  </si>
  <si>
    <t>Swansea</t>
  </si>
  <si>
    <t>Hicken</t>
  </si>
  <si>
    <t>Buckeye</t>
  </si>
  <si>
    <t>Hicks</t>
  </si>
  <si>
    <t>Hilbourne</t>
  </si>
  <si>
    <t>Jerry</t>
  </si>
  <si>
    <t>Mixed Cricket Doubles</t>
  </si>
  <si>
    <t>Hildebrand</t>
  </si>
  <si>
    <t>Clive</t>
  </si>
  <si>
    <t>Hilger</t>
  </si>
  <si>
    <t>Menomonee Falls</t>
  </si>
  <si>
    <t>Hill</t>
  </si>
  <si>
    <t>Pinconning</t>
  </si>
  <si>
    <t>Freeport</t>
  </si>
  <si>
    <t>Hilliker</t>
  </si>
  <si>
    <t>Hinkle</t>
  </si>
  <si>
    <t>St. Joseph</t>
  </si>
  <si>
    <t>Hinrichs</t>
  </si>
  <si>
    <t>StageCoach</t>
  </si>
  <si>
    <t>Hinton</t>
  </si>
  <si>
    <t>Ian</t>
  </si>
  <si>
    <t>Hirose</t>
  </si>
  <si>
    <t>Takahisa</t>
  </si>
  <si>
    <t>62nd</t>
  </si>
  <si>
    <t>Hisaw</t>
  </si>
  <si>
    <t>St. Petersburg</t>
  </si>
  <si>
    <t>HO</t>
  </si>
  <si>
    <t>Ali</t>
  </si>
  <si>
    <t>51st</t>
  </si>
  <si>
    <t>Hoiney</t>
  </si>
  <si>
    <t>Cincinnati</t>
  </si>
  <si>
    <t>Holden</t>
  </si>
  <si>
    <t>Holmes</t>
  </si>
  <si>
    <t>Bruce</t>
  </si>
  <si>
    <t>Holt</t>
  </si>
  <si>
    <t>Dustin</t>
  </si>
  <si>
    <t>Bloomington</t>
  </si>
  <si>
    <t>Pro A/AA Mixed</t>
  </si>
  <si>
    <t>Hopp</t>
  </si>
  <si>
    <t>Max</t>
  </si>
  <si>
    <t>Hopper</t>
  </si>
  <si>
    <t>Kenneth</t>
  </si>
  <si>
    <t>Fairland</t>
  </si>
  <si>
    <t>Horn</t>
  </si>
  <si>
    <t>Colorado Springs</t>
  </si>
  <si>
    <t>Horstman</t>
  </si>
  <si>
    <t>Dubuque</t>
  </si>
  <si>
    <t>Guttenberg</t>
  </si>
  <si>
    <t>Hoshino</t>
  </si>
  <si>
    <t>Mitsumasa</t>
  </si>
  <si>
    <t>Houle</t>
  </si>
  <si>
    <t>OshKosh</t>
  </si>
  <si>
    <t>Howard</t>
  </si>
  <si>
    <t>Patt</t>
  </si>
  <si>
    <t>Hsiao</t>
  </si>
  <si>
    <t>Liu Wei</t>
  </si>
  <si>
    <t>Hsin Fu</t>
  </si>
  <si>
    <t>Yang</t>
  </si>
  <si>
    <t>Hubbard</t>
  </si>
  <si>
    <t>Mens Cricket Dobles</t>
  </si>
  <si>
    <t>Hudgens</t>
  </si>
  <si>
    <t>Kansas City</t>
  </si>
  <si>
    <t>Huerta</t>
  </si>
  <si>
    <t>Gilberto</t>
  </si>
  <si>
    <t>Kingston</t>
  </si>
  <si>
    <t>Huertas</t>
  </si>
  <si>
    <t>Juan</t>
  </si>
  <si>
    <t>Huffman</t>
  </si>
  <si>
    <t>Mechanicsville</t>
  </si>
  <si>
    <t>MD</t>
  </si>
  <si>
    <t>Hughes</t>
  </si>
  <si>
    <t>Lakeview</t>
  </si>
  <si>
    <t>57th</t>
  </si>
  <si>
    <t>Huhtala</t>
  </si>
  <si>
    <t>Humphries</t>
  </si>
  <si>
    <t>Nate</t>
  </si>
  <si>
    <t>Hunckler</t>
  </si>
  <si>
    <t>Vincennes</t>
  </si>
  <si>
    <t>Curt</t>
  </si>
  <si>
    <t>Hunt</t>
  </si>
  <si>
    <t>88th</t>
  </si>
  <si>
    <t>Rod</t>
  </si>
  <si>
    <t>Hunter</t>
  </si>
  <si>
    <t>Devin</t>
  </si>
  <si>
    <t>Sioux Falls</t>
  </si>
  <si>
    <t>Men 501 Singles</t>
  </si>
  <si>
    <t>Auburndale</t>
  </si>
  <si>
    <t>Hurd</t>
  </si>
  <si>
    <t>Huskin</t>
  </si>
  <si>
    <t>Husman</t>
  </si>
  <si>
    <t>Puyallup</t>
  </si>
  <si>
    <t>WA</t>
  </si>
  <si>
    <t>Huybrechts</t>
  </si>
  <si>
    <t>Ronny</t>
  </si>
  <si>
    <t>Hyun Chul</t>
  </si>
  <si>
    <t>Park</t>
  </si>
  <si>
    <t>Iceman</t>
  </si>
  <si>
    <t>Ilagan</t>
  </si>
  <si>
    <t>Phillipines</t>
  </si>
  <si>
    <t>Inaba</t>
  </si>
  <si>
    <t>Minoru</t>
  </si>
  <si>
    <t>8th</t>
  </si>
  <si>
    <t>Inoue</t>
  </si>
  <si>
    <t>Shintaro</t>
  </si>
  <si>
    <t>Irwin</t>
  </si>
  <si>
    <t>Lebanon</t>
  </si>
  <si>
    <t>Jackson</t>
  </si>
  <si>
    <t>Walls</t>
  </si>
  <si>
    <t>Jacobs</t>
  </si>
  <si>
    <t>Jacques</t>
  </si>
  <si>
    <t>Riverside</t>
  </si>
  <si>
    <t>Jalbert</t>
  </si>
  <si>
    <t>Aaron</t>
  </si>
  <si>
    <t>Jamriska, Jr.</t>
  </si>
  <si>
    <t>Jaques</t>
  </si>
  <si>
    <t>William "TJ"</t>
  </si>
  <si>
    <t>Jaramillo</t>
  </si>
  <si>
    <t>Jarvis</t>
  </si>
  <si>
    <t>Jen</t>
  </si>
  <si>
    <t>Marshall</t>
  </si>
  <si>
    <t>Hong Kong</t>
  </si>
  <si>
    <t>Jenkins</t>
  </si>
  <si>
    <t>Johnny Lee</t>
  </si>
  <si>
    <t>Zac</t>
  </si>
  <si>
    <t>Jensen</t>
  </si>
  <si>
    <t>Jett</t>
  </si>
  <si>
    <t>Kris</t>
  </si>
  <si>
    <t>Jian Xun</t>
  </si>
  <si>
    <t>Liao</t>
  </si>
  <si>
    <t>Jimenez</t>
  </si>
  <si>
    <t>Angel</t>
  </si>
  <si>
    <t>Lorain</t>
  </si>
  <si>
    <t>Donny</t>
  </si>
  <si>
    <t>Johannsen</t>
  </si>
  <si>
    <t>Duane</t>
  </si>
  <si>
    <t>Milwaukee</t>
  </si>
  <si>
    <t>Johnroe</t>
  </si>
  <si>
    <t>Oxford</t>
  </si>
  <si>
    <t>Johnsen</t>
  </si>
  <si>
    <t>Waupun</t>
  </si>
  <si>
    <t>Johnson</t>
  </si>
  <si>
    <t>Tobin</t>
  </si>
  <si>
    <t>Brookings</t>
  </si>
  <si>
    <t>Elkton</t>
  </si>
  <si>
    <t>Pro AA Doubles</t>
  </si>
  <si>
    <t>Johnston</t>
  </si>
  <si>
    <t>Jones</t>
  </si>
  <si>
    <t>Glenshaw</t>
  </si>
  <si>
    <t>K.C.</t>
  </si>
  <si>
    <t>Alexis</t>
  </si>
  <si>
    <t>Karl</t>
  </si>
  <si>
    <t>Speedway</t>
  </si>
  <si>
    <t>65th</t>
  </si>
  <si>
    <t>Jorge</t>
  </si>
  <si>
    <t>Pro AA Singles X01</t>
  </si>
  <si>
    <t>West Liberty</t>
  </si>
  <si>
    <t>Jurasin</t>
  </si>
  <si>
    <t>Lake Milton</t>
  </si>
  <si>
    <t>OFF AA IN 18</t>
  </si>
  <si>
    <t>Kaempf</t>
  </si>
  <si>
    <t>Miamisburg</t>
  </si>
  <si>
    <t>Kai</t>
  </si>
  <si>
    <t>Yuichi</t>
  </si>
  <si>
    <t>Kai Fan</t>
  </si>
  <si>
    <t>Leung</t>
  </si>
  <si>
    <t>HONG KONG</t>
  </si>
  <si>
    <t>Kariya</t>
  </si>
  <si>
    <t>Yohel</t>
  </si>
  <si>
    <t>Karr</t>
  </si>
  <si>
    <t>Navarre</t>
  </si>
  <si>
    <t>Kash</t>
  </si>
  <si>
    <t>3rd/4th</t>
  </si>
  <si>
    <t>Kaster</t>
  </si>
  <si>
    <t>Madison</t>
  </si>
  <si>
    <t>Katsumi</t>
  </si>
  <si>
    <t>Sho</t>
  </si>
  <si>
    <t>Kawafuchi</t>
  </si>
  <si>
    <t>GILROY</t>
  </si>
  <si>
    <t>Kawakami</t>
  </si>
  <si>
    <t>Mana</t>
  </si>
  <si>
    <t>52nd</t>
  </si>
  <si>
    <t>Kazama</t>
  </si>
  <si>
    <t>Yuta</t>
  </si>
  <si>
    <t>Kearney</t>
  </si>
  <si>
    <t>Austell</t>
  </si>
  <si>
    <t>Keehn</t>
  </si>
  <si>
    <t>La Porte</t>
  </si>
  <si>
    <t>Keith</t>
  </si>
  <si>
    <t>Lawrence</t>
  </si>
  <si>
    <t>Kellett</t>
  </si>
  <si>
    <t>Stuart</t>
  </si>
  <si>
    <t>74th</t>
  </si>
  <si>
    <t>Kelley</t>
  </si>
  <si>
    <t>Aurlin</t>
  </si>
  <si>
    <t>Rogersville</t>
  </si>
  <si>
    <t>Wheelersburgh</t>
  </si>
  <si>
    <t>Kennedy</t>
  </si>
  <si>
    <t>Kent</t>
  </si>
  <si>
    <t>Keosaian</t>
  </si>
  <si>
    <t>Kessler</t>
  </si>
  <si>
    <t>Carey</t>
  </si>
  <si>
    <t>Khan</t>
  </si>
  <si>
    <t>Shiraz</t>
  </si>
  <si>
    <t>Deactur</t>
  </si>
  <si>
    <t>Kielman</t>
  </si>
  <si>
    <t>Nick</t>
  </si>
  <si>
    <t>Kieper</t>
  </si>
  <si>
    <t>Winnebago</t>
  </si>
  <si>
    <t>Midwest City</t>
  </si>
  <si>
    <t>OK</t>
  </si>
  <si>
    <t>King</t>
  </si>
  <si>
    <t>Dekalb</t>
  </si>
  <si>
    <t>Mervyn</t>
  </si>
  <si>
    <t>23nd</t>
  </si>
  <si>
    <t>Kinney</t>
  </si>
  <si>
    <t>Kinter</t>
  </si>
  <si>
    <t>Kirby</t>
  </si>
  <si>
    <t>Tulsa</t>
  </si>
  <si>
    <t>Kirchner</t>
  </si>
  <si>
    <t>Kirk</t>
  </si>
  <si>
    <t>Philip</t>
  </si>
  <si>
    <t>Kirkendoll</t>
  </si>
  <si>
    <t>Jermaine</t>
  </si>
  <si>
    <t>Loraine</t>
  </si>
  <si>
    <t>Kist</t>
  </si>
  <si>
    <t>Christian</t>
  </si>
  <si>
    <t>Kithi</t>
  </si>
  <si>
    <t>Kitts</t>
  </si>
  <si>
    <t>Powell</t>
  </si>
  <si>
    <t>Klaasen</t>
  </si>
  <si>
    <t>Jelle</t>
  </si>
  <si>
    <t>Klinefelter</t>
  </si>
  <si>
    <t>Koehler</t>
  </si>
  <si>
    <t>Caseyville</t>
  </si>
  <si>
    <t>Koller</t>
  </si>
  <si>
    <t>Kollias</t>
  </si>
  <si>
    <t>Luke</t>
  </si>
  <si>
    <t>Parma</t>
  </si>
  <si>
    <t>Koment</t>
  </si>
  <si>
    <t>Ed</t>
  </si>
  <si>
    <t>Lewisville</t>
  </si>
  <si>
    <t>Kramer</t>
  </si>
  <si>
    <t>Krcmar</t>
  </si>
  <si>
    <t>Boris</t>
  </si>
  <si>
    <t>CROATIA</t>
  </si>
  <si>
    <t>Krukowski</t>
  </si>
  <si>
    <t>Mosinee</t>
  </si>
  <si>
    <t>Kuang</t>
  </si>
  <si>
    <t>Pau Jin</t>
  </si>
  <si>
    <t>Kubik</t>
  </si>
  <si>
    <t>Cheektowaga</t>
  </si>
  <si>
    <t>Kuczynski</t>
  </si>
  <si>
    <t>Johnny K</t>
  </si>
  <si>
    <t>Zion Grove</t>
  </si>
  <si>
    <t>ADO 2013</t>
  </si>
  <si>
    <t>Kushibiki</t>
  </si>
  <si>
    <t>Yuzuru</t>
  </si>
  <si>
    <t>Lach</t>
  </si>
  <si>
    <t>Sloan</t>
  </si>
  <si>
    <t>Lackey</t>
  </si>
  <si>
    <t>Johnny</t>
  </si>
  <si>
    <t>Ladew</t>
  </si>
  <si>
    <t>Ocean Springs</t>
  </si>
  <si>
    <t>Lai</t>
  </si>
  <si>
    <t>54th</t>
  </si>
  <si>
    <t>Lam</t>
  </si>
  <si>
    <t>Royden</t>
  </si>
  <si>
    <t>Langendorf</t>
  </si>
  <si>
    <t>Maik</t>
  </si>
  <si>
    <t>96th</t>
  </si>
  <si>
    <t>Langley</t>
  </si>
  <si>
    <t>Knoxville</t>
  </si>
  <si>
    <t>Lapine</t>
  </si>
  <si>
    <t>Fond Du Lac</t>
  </si>
  <si>
    <t>Skyler</t>
  </si>
  <si>
    <t>Waupaca</t>
  </si>
  <si>
    <t>Larscheidt</t>
  </si>
  <si>
    <t>West Allis</t>
  </si>
  <si>
    <t>Lassey Jr.</t>
  </si>
  <si>
    <t>Donnie</t>
  </si>
  <si>
    <t>Hazel Green</t>
  </si>
  <si>
    <t>Lauby II</t>
  </si>
  <si>
    <t>Lauby Sr.</t>
  </si>
  <si>
    <t>Laughman</t>
  </si>
  <si>
    <t>The Woodlands</t>
  </si>
  <si>
    <t>Lavine</t>
  </si>
  <si>
    <t>Laviolette</t>
  </si>
  <si>
    <t>Broc</t>
  </si>
  <si>
    <t>Hanover</t>
  </si>
  <si>
    <t>Spencer</t>
  </si>
  <si>
    <t>S. Milwaukee</t>
  </si>
  <si>
    <t>Le Cam</t>
  </si>
  <si>
    <t>Sylvain</t>
  </si>
  <si>
    <t>Leach</t>
  </si>
  <si>
    <t>Fleming Island</t>
  </si>
  <si>
    <t>Ho Ching</t>
  </si>
  <si>
    <t>Leslie</t>
  </si>
  <si>
    <t>Lein</t>
  </si>
  <si>
    <t>Marion</t>
  </si>
  <si>
    <t>Valley Grove</t>
  </si>
  <si>
    <t>Leong</t>
  </si>
  <si>
    <t>Yong Teck</t>
  </si>
  <si>
    <t>Lester</t>
  </si>
  <si>
    <t>Colona</t>
  </si>
  <si>
    <t>Spring</t>
  </si>
  <si>
    <t>Haze</t>
  </si>
  <si>
    <t>Lewis</t>
  </si>
  <si>
    <t>Enzo</t>
  </si>
  <si>
    <t>Liddeke</t>
  </si>
  <si>
    <t>Mitchell</t>
  </si>
  <si>
    <t>Liggett</t>
  </si>
  <si>
    <t>Greenville</t>
  </si>
  <si>
    <t>Clinton</t>
  </si>
  <si>
    <t>Lim</t>
  </si>
  <si>
    <t>San Bernadino</t>
  </si>
  <si>
    <t>Harith</t>
  </si>
  <si>
    <t>Linberg</t>
  </si>
  <si>
    <t>Liberty Twp</t>
  </si>
  <si>
    <t>Linkous</t>
  </si>
  <si>
    <t>Lippert</t>
  </si>
  <si>
    <t>Wes</t>
  </si>
  <si>
    <t>Thomasville</t>
  </si>
  <si>
    <t>Little</t>
  </si>
  <si>
    <t>Sharon</t>
  </si>
  <si>
    <t>Ljubic</t>
  </si>
  <si>
    <t>Alan</t>
  </si>
  <si>
    <t>Croatia</t>
  </si>
  <si>
    <t>Llerena</t>
  </si>
  <si>
    <t>Terraceia</t>
  </si>
  <si>
    <t>38th</t>
  </si>
  <si>
    <t>Long</t>
  </si>
  <si>
    <t>Wayne (Marvin)</t>
  </si>
  <si>
    <t>Cleveland</t>
  </si>
  <si>
    <t>Lopes</t>
  </si>
  <si>
    <t>Lopez</t>
  </si>
  <si>
    <t>Altamomte Springs</t>
  </si>
  <si>
    <t>Luck</t>
  </si>
  <si>
    <t>Sunnyside</t>
  </si>
  <si>
    <t>Pro AA 501 Singles</t>
  </si>
  <si>
    <t>Lulow</t>
  </si>
  <si>
    <t>Dreu</t>
  </si>
  <si>
    <t>3rd-4th</t>
  </si>
  <si>
    <t>Lundberg</t>
  </si>
  <si>
    <t>Carl</t>
  </si>
  <si>
    <t>St. Helens</t>
  </si>
  <si>
    <t>Lyles</t>
  </si>
  <si>
    <t>Lyzak</t>
  </si>
  <si>
    <t>Russ</t>
  </si>
  <si>
    <t>Mackenzie</t>
  </si>
  <si>
    <t>Mackey</t>
  </si>
  <si>
    <t>Madrigal</t>
  </si>
  <si>
    <t>Pro / Am Cricket</t>
  </si>
  <si>
    <t>Maloney</t>
  </si>
  <si>
    <t>Joliet</t>
  </si>
  <si>
    <t>Mansell</t>
  </si>
  <si>
    <t>No. Ireland</t>
  </si>
  <si>
    <t>55th</t>
  </si>
  <si>
    <t>Manzanaress</t>
  </si>
  <si>
    <t>Raymond</t>
  </si>
  <si>
    <t>Marano</t>
  </si>
  <si>
    <t>N. Fort Meyers</t>
  </si>
  <si>
    <t>Marcelino</t>
  </si>
  <si>
    <t>56th</t>
  </si>
  <si>
    <t>Marche</t>
  </si>
  <si>
    <t>Randolph</t>
  </si>
  <si>
    <t>Kersey</t>
  </si>
  <si>
    <t>Marchesani</t>
  </si>
  <si>
    <t>Marc</t>
  </si>
  <si>
    <t>Woodland Park</t>
  </si>
  <si>
    <t>NJ</t>
  </si>
  <si>
    <t>Marijanovic</t>
  </si>
  <si>
    <t>Markle</t>
  </si>
  <si>
    <t>Marlijn</t>
  </si>
  <si>
    <t>Eddy</t>
  </si>
  <si>
    <t>Marlowe</t>
  </si>
  <si>
    <t>Marques</t>
  </si>
  <si>
    <t>Marsh</t>
  </si>
  <si>
    <t>67th</t>
  </si>
  <si>
    <t>Marti</t>
  </si>
  <si>
    <t>Stanhope</t>
  </si>
  <si>
    <t>Douglas</t>
  </si>
  <si>
    <t>Pueblo</t>
  </si>
  <si>
    <t>Tony</t>
  </si>
  <si>
    <t>Martinez</t>
  </si>
  <si>
    <t>Amado</t>
  </si>
  <si>
    <t>Toledo</t>
  </si>
  <si>
    <t>Tito</t>
  </si>
  <si>
    <t>Martinez Jr.</t>
  </si>
  <si>
    <t>Marty</t>
  </si>
  <si>
    <t>Alturo</t>
  </si>
  <si>
    <t>Lancaster</t>
  </si>
  <si>
    <t>Martyka</t>
  </si>
  <si>
    <t>Marugan Peinador</t>
  </si>
  <si>
    <t>Oscar</t>
  </si>
  <si>
    <t>Team Cricket Pro</t>
  </si>
  <si>
    <t>Masamori</t>
  </si>
  <si>
    <t>Ryoji</t>
  </si>
  <si>
    <t>Mast</t>
  </si>
  <si>
    <t>Pro Cricket Team</t>
  </si>
  <si>
    <t>Mateja</t>
  </si>
  <si>
    <t>Joe(Millionaire)</t>
  </si>
  <si>
    <t>Mathews</t>
  </si>
  <si>
    <t>Ron</t>
  </si>
  <si>
    <t>Matsumoto</t>
  </si>
  <si>
    <t>Arashi</t>
  </si>
  <si>
    <t>26st</t>
  </si>
  <si>
    <t>Mawson</t>
  </si>
  <si>
    <t>N. Royalton</t>
  </si>
  <si>
    <t>May</t>
  </si>
  <si>
    <t>Mayes</t>
  </si>
  <si>
    <t>Leeds</t>
  </si>
  <si>
    <t>Mays</t>
  </si>
  <si>
    <t>Whiteland</t>
  </si>
  <si>
    <t>Mc Coy</t>
  </si>
  <si>
    <t>Waterman</t>
  </si>
  <si>
    <t>McAlee</t>
  </si>
  <si>
    <t>Johnsonburg</t>
  </si>
  <si>
    <t>McCabe</t>
  </si>
  <si>
    <t>McCarron</t>
  </si>
  <si>
    <t>McCaw</t>
  </si>
  <si>
    <t>Brady</t>
  </si>
  <si>
    <t>McConnell</t>
  </si>
  <si>
    <t>Hastings</t>
  </si>
  <si>
    <t>2ns</t>
  </si>
  <si>
    <t>McConnell Jr</t>
  </si>
  <si>
    <t>Altoona</t>
  </si>
  <si>
    <t>McCool</t>
  </si>
  <si>
    <t>Athens</t>
  </si>
  <si>
    <t>McCowan</t>
  </si>
  <si>
    <t>Ken</t>
  </si>
  <si>
    <t>McCoy</t>
  </si>
  <si>
    <t>McCullum</t>
  </si>
  <si>
    <t>West Lawn</t>
  </si>
  <si>
    <t>McDine</t>
  </si>
  <si>
    <t>100th</t>
  </si>
  <si>
    <t>McDowell</t>
  </si>
  <si>
    <t>Kissimmee</t>
  </si>
  <si>
    <t>McIntyre</t>
  </si>
  <si>
    <t>Westminster</t>
  </si>
  <si>
    <t>McKenzie</t>
  </si>
  <si>
    <t>Tonawanda</t>
  </si>
  <si>
    <t>McLaughlin</t>
  </si>
  <si>
    <t>McMaster</t>
  </si>
  <si>
    <t>Gettysburg</t>
  </si>
  <si>
    <t>Meares</t>
  </si>
  <si>
    <t>Sarasota</t>
  </si>
  <si>
    <t>Mecum</t>
  </si>
  <si>
    <t>Seattle</t>
  </si>
  <si>
    <t>Medley</t>
  </si>
  <si>
    <t>Meeker</t>
  </si>
  <si>
    <t>Meininger</t>
  </si>
  <si>
    <t>Denver</t>
  </si>
  <si>
    <t>Melo</t>
  </si>
  <si>
    <t>Summerville</t>
  </si>
  <si>
    <t>Merlijn</t>
  </si>
  <si>
    <t>Danny</t>
  </si>
  <si>
    <t>Holland</t>
  </si>
  <si>
    <t>Mestdagh</t>
  </si>
  <si>
    <t>Didier</t>
  </si>
  <si>
    <t>Meurisse</t>
  </si>
  <si>
    <t>Meyer Jr.</t>
  </si>
  <si>
    <t>Greece</t>
  </si>
  <si>
    <t>95th</t>
  </si>
  <si>
    <t>Mihelsic</t>
  </si>
  <si>
    <t>Milk</t>
  </si>
  <si>
    <t>Elliott</t>
  </si>
  <si>
    <t>Lake Andes</t>
  </si>
  <si>
    <t>Millar</t>
  </si>
  <si>
    <t>Jeremiah</t>
  </si>
  <si>
    <t>Miller</t>
  </si>
  <si>
    <t>Geoff</t>
  </si>
  <si>
    <t>Hixson</t>
  </si>
  <si>
    <t>23rd</t>
  </si>
  <si>
    <t>Mark Jr.</t>
  </si>
  <si>
    <t>Sycamore</t>
  </si>
  <si>
    <t>Miller, Sr.</t>
  </si>
  <si>
    <t>Hampton</t>
  </si>
  <si>
    <t>Millich</t>
  </si>
  <si>
    <t>Boonville</t>
  </si>
  <si>
    <t>Curtis</t>
  </si>
  <si>
    <t>Moles</t>
  </si>
  <si>
    <t>Elkhart</t>
  </si>
  <si>
    <t>Monk</t>
  </si>
  <si>
    <t>Montgomery</t>
  </si>
  <si>
    <t>Ross</t>
  </si>
  <si>
    <t>Moore</t>
  </si>
  <si>
    <t>Morales</t>
  </si>
  <si>
    <t>Domingo</t>
  </si>
  <si>
    <t>Santa Fe</t>
  </si>
  <si>
    <t>Morey</t>
  </si>
  <si>
    <t>Morrill</t>
  </si>
  <si>
    <t>Morris</t>
  </si>
  <si>
    <t>Roselle</t>
  </si>
  <si>
    <t>Moseley</t>
  </si>
  <si>
    <t>Moser</t>
  </si>
  <si>
    <t>Mottmiller</t>
  </si>
  <si>
    <t>Perrysburgh</t>
  </si>
  <si>
    <t>Mowery</t>
  </si>
  <si>
    <t>Muramatsu</t>
  </si>
  <si>
    <t>Haruki</t>
  </si>
  <si>
    <t>Murnan</t>
  </si>
  <si>
    <t>Murphy</t>
  </si>
  <si>
    <t>Iowa city</t>
  </si>
  <si>
    <t>Murschell</t>
  </si>
  <si>
    <t>Dawson</t>
  </si>
  <si>
    <t>Musch</t>
  </si>
  <si>
    <t>Drew</t>
  </si>
  <si>
    <t>Mutton</t>
  </si>
  <si>
    <t>Peoria</t>
  </si>
  <si>
    <t>Nakamura</t>
  </si>
  <si>
    <t>Shuntaro</t>
  </si>
  <si>
    <t>19th</t>
  </si>
  <si>
    <t>Nakata</t>
  </si>
  <si>
    <t>Yu</t>
  </si>
  <si>
    <t>Namaka</t>
  </si>
  <si>
    <t>Heath</t>
  </si>
  <si>
    <t>Parish</t>
  </si>
  <si>
    <t>Nanbu</t>
  </si>
  <si>
    <t>Tomoyuki</t>
  </si>
  <si>
    <t>Nankwenya</t>
  </si>
  <si>
    <t>Naylor</t>
  </si>
  <si>
    <t>Rocky Point</t>
  </si>
  <si>
    <t>Neal</t>
  </si>
  <si>
    <t>Nelson</t>
  </si>
  <si>
    <t>Neubert</t>
  </si>
  <si>
    <t>Newberry</t>
  </si>
  <si>
    <t>Lucky</t>
  </si>
  <si>
    <t>Newcomer</t>
  </si>
  <si>
    <t>Newman</t>
  </si>
  <si>
    <t>J. D.</t>
  </si>
  <si>
    <t>Newsome</t>
  </si>
  <si>
    <t>Claymont</t>
  </si>
  <si>
    <t>DE</t>
  </si>
  <si>
    <t>Newton</t>
  </si>
  <si>
    <t>ENG</t>
  </si>
  <si>
    <t>Nichols</t>
  </si>
  <si>
    <t>Elgin</t>
  </si>
  <si>
    <t>Jack</t>
  </si>
  <si>
    <t>Canonsburg</t>
  </si>
  <si>
    <t>Anaheim</t>
  </si>
  <si>
    <t>Nicholson</t>
  </si>
  <si>
    <t>Nicoll</t>
  </si>
  <si>
    <t>Centerville</t>
  </si>
  <si>
    <t>14th</t>
  </si>
  <si>
    <t>Nippert</t>
  </si>
  <si>
    <t>Harlan</t>
  </si>
  <si>
    <t>Noge</t>
  </si>
  <si>
    <t>Shunpei</t>
  </si>
  <si>
    <t>Noguera Perea</t>
  </si>
  <si>
    <t>Jesus</t>
  </si>
  <si>
    <t>Nolte Jr</t>
  </si>
  <si>
    <t>Lake City</t>
  </si>
  <si>
    <t>Norhisame</t>
  </si>
  <si>
    <t>Norris</t>
  </si>
  <si>
    <t>15th</t>
  </si>
  <si>
    <t>Novak</t>
  </si>
  <si>
    <t>Albert</t>
  </si>
  <si>
    <t>Novo</t>
  </si>
  <si>
    <t>Michel</t>
  </si>
  <si>
    <t>Nutter</t>
  </si>
  <si>
    <t>Allan</t>
  </si>
  <si>
    <t>Nykanen</t>
  </si>
  <si>
    <t>Darrell</t>
  </si>
  <si>
    <t>Obrecht</t>
  </si>
  <si>
    <t>Winfield</t>
  </si>
  <si>
    <t>O'Brien</t>
  </si>
  <si>
    <t>Maria</t>
  </si>
  <si>
    <t>Great Britain</t>
  </si>
  <si>
    <t>Womens A Cricket Singles</t>
  </si>
  <si>
    <t>Ocampo</t>
  </si>
  <si>
    <t>OConnor</t>
  </si>
  <si>
    <t>Ireland</t>
  </si>
  <si>
    <t>Odell</t>
  </si>
  <si>
    <t>Shaler</t>
  </si>
  <si>
    <t>New Carlislle</t>
  </si>
  <si>
    <t>Ogasian</t>
  </si>
  <si>
    <t>Jay</t>
  </si>
  <si>
    <t>OGorman</t>
  </si>
  <si>
    <t>Ohlsen</t>
  </si>
  <si>
    <t>Dylan</t>
  </si>
  <si>
    <t>Oiry</t>
  </si>
  <si>
    <t>Wilfrid</t>
  </si>
  <si>
    <t>Olic</t>
  </si>
  <si>
    <t>Olson</t>
  </si>
  <si>
    <t>NAPDA</t>
  </si>
  <si>
    <t>Rhinelander</t>
  </si>
  <si>
    <t>O'Neill</t>
  </si>
  <si>
    <t>Orders</t>
  </si>
  <si>
    <t>Grove City</t>
  </si>
  <si>
    <t>Osaki</t>
  </si>
  <si>
    <t>Hirokazu</t>
  </si>
  <si>
    <t>Osborne</t>
  </si>
  <si>
    <t>Colin</t>
  </si>
  <si>
    <t>Oshiro</t>
  </si>
  <si>
    <t>Masaki</t>
  </si>
  <si>
    <t>Ovens</t>
  </si>
  <si>
    <t>Denis</t>
  </si>
  <si>
    <t>Owen</t>
  </si>
  <si>
    <t>Naomi</t>
  </si>
  <si>
    <t>Owens</t>
  </si>
  <si>
    <t>Cypress</t>
  </si>
  <si>
    <t>Oxendine</t>
  </si>
  <si>
    <t>Herin</t>
  </si>
  <si>
    <t>Pace</t>
  </si>
  <si>
    <t>Commerce City</t>
  </si>
  <si>
    <t>Nashville</t>
  </si>
  <si>
    <t>Padeira</t>
  </si>
  <si>
    <t>Goncalo</t>
  </si>
  <si>
    <t>Painter</t>
  </si>
  <si>
    <t>Paiz</t>
  </si>
  <si>
    <t>Fidel</t>
  </si>
  <si>
    <t>Pallett</t>
  </si>
  <si>
    <t>Palumbi</t>
  </si>
  <si>
    <t>Lucas</t>
  </si>
  <si>
    <t>Pankow</t>
  </si>
  <si>
    <t>43rd</t>
  </si>
  <si>
    <t>Pardo Sanz</t>
  </si>
  <si>
    <t>Julio</t>
  </si>
  <si>
    <t>Parent</t>
  </si>
  <si>
    <t>West Chazy</t>
  </si>
  <si>
    <t>Hyunchui</t>
  </si>
  <si>
    <t>KOREA</t>
  </si>
  <si>
    <t>Parker</t>
  </si>
  <si>
    <t>Winter Springs</t>
  </si>
  <si>
    <t>Parks</t>
  </si>
  <si>
    <t>Parr</t>
  </si>
  <si>
    <t>Daleville</t>
  </si>
  <si>
    <t>Parsley</t>
  </si>
  <si>
    <t>Part</t>
  </si>
  <si>
    <t>Paterchak</t>
  </si>
  <si>
    <t>Payne</t>
  </si>
  <si>
    <t>Payton</t>
  </si>
  <si>
    <t>Mitch</t>
  </si>
  <si>
    <t>Peach</t>
  </si>
  <si>
    <t>Forest Park</t>
  </si>
  <si>
    <t>Pechota</t>
  </si>
  <si>
    <t>Pellegrino</t>
  </si>
  <si>
    <t>Jonathan</t>
  </si>
  <si>
    <t>Radcliff</t>
  </si>
  <si>
    <t>Pemberton</t>
  </si>
  <si>
    <t>Jacob</t>
  </si>
  <si>
    <t>Penalosa</t>
  </si>
  <si>
    <t>Ritchell</t>
  </si>
  <si>
    <t>Perea (Noguera)</t>
  </si>
  <si>
    <t>Pereira</t>
  </si>
  <si>
    <t>Jaime</t>
  </si>
  <si>
    <t>Perez</t>
  </si>
  <si>
    <t>Phillippines</t>
  </si>
  <si>
    <t>Bullhead City</t>
  </si>
  <si>
    <t>Perry</t>
  </si>
  <si>
    <t>Guy</t>
  </si>
  <si>
    <t>Plainfield</t>
  </si>
  <si>
    <t>Tipp City</t>
  </si>
  <si>
    <t>Stan</t>
  </si>
  <si>
    <t>Persinger</t>
  </si>
  <si>
    <t>Rod / Neal</t>
  </si>
  <si>
    <t>Benwood</t>
  </si>
  <si>
    <t>Women's A / AA</t>
  </si>
  <si>
    <t>Petersen</t>
  </si>
  <si>
    <t>Devon</t>
  </si>
  <si>
    <t>South Africa</t>
  </si>
  <si>
    <t>Peterson</t>
  </si>
  <si>
    <t>Sam</t>
  </si>
  <si>
    <t>Phares</t>
  </si>
  <si>
    <t>Phillips</t>
  </si>
  <si>
    <t>Phuay Wei</t>
  </si>
  <si>
    <t>Tan</t>
  </si>
  <si>
    <t>92nd</t>
  </si>
  <si>
    <t>Pierre</t>
  </si>
  <si>
    <t>Fred</t>
  </si>
  <si>
    <t>Piloczewski</t>
  </si>
  <si>
    <t>Pipe</t>
  </si>
  <si>
    <t>OFF A LIST</t>
  </si>
  <si>
    <t>Pippin</t>
  </si>
  <si>
    <t>Middleburg</t>
  </si>
  <si>
    <t>Abbiehl</t>
  </si>
  <si>
    <t>Pless</t>
  </si>
  <si>
    <t>Crystal</t>
  </si>
  <si>
    <t>Polito</t>
  </si>
  <si>
    <t>Leesville</t>
  </si>
  <si>
    <t>Womens B Doubles</t>
  </si>
  <si>
    <t>Polk</t>
  </si>
  <si>
    <t>Marcus</t>
  </si>
  <si>
    <t>Pollard</t>
  </si>
  <si>
    <t>Chip</t>
  </si>
  <si>
    <t>Tomey</t>
  </si>
  <si>
    <t>Pollock</t>
  </si>
  <si>
    <t>Deborah</t>
  </si>
  <si>
    <t>Polvinen</t>
  </si>
  <si>
    <t>Corryton</t>
  </si>
  <si>
    <t>J. P.</t>
  </si>
  <si>
    <t>Riverdale</t>
  </si>
  <si>
    <t>Women 301 Doubles</t>
  </si>
  <si>
    <t>Aleixo</t>
  </si>
  <si>
    <t>Claudia</t>
  </si>
  <si>
    <t>Ponder</t>
  </si>
  <si>
    <t>Alicia</t>
  </si>
  <si>
    <t>Dalton City</t>
  </si>
  <si>
    <t>Womens B Cricket Dbls</t>
  </si>
  <si>
    <t>Pope</t>
  </si>
  <si>
    <t>Aliquipa</t>
  </si>
  <si>
    <t>Pople</t>
  </si>
  <si>
    <t>Denton</t>
  </si>
  <si>
    <t>Almaguer</t>
  </si>
  <si>
    <t>Sadie</t>
  </si>
  <si>
    <t>Popp</t>
  </si>
  <si>
    <t>Clyde</t>
  </si>
  <si>
    <t>Women Combo Doubles</t>
  </si>
  <si>
    <t>PRO A/AA Luck</t>
  </si>
  <si>
    <t>Amling</t>
  </si>
  <si>
    <t>Kristine</t>
  </si>
  <si>
    <t>Shishewana</t>
  </si>
  <si>
    <t>Womens A Doubles X01</t>
  </si>
  <si>
    <t>Ammerato</t>
  </si>
  <si>
    <t>Kimberly</t>
  </si>
  <si>
    <t>Potter</t>
  </si>
  <si>
    <t>Murrells Inlet</t>
  </si>
  <si>
    <t>Womens Doubles Combo</t>
  </si>
  <si>
    <t>Amspacker</t>
  </si>
  <si>
    <t>Oak Island</t>
  </si>
  <si>
    <t>Lewiston</t>
  </si>
  <si>
    <t>Womens Doubles</t>
  </si>
  <si>
    <t>Powers</t>
  </si>
  <si>
    <t>Arthur</t>
  </si>
  <si>
    <t>Amanda</t>
  </si>
  <si>
    <t>Wasilla</t>
  </si>
  <si>
    <t>AK</t>
  </si>
  <si>
    <t>Women A 501 Doubles</t>
  </si>
  <si>
    <t>Pratt</t>
  </si>
  <si>
    <t>Archbold</t>
  </si>
  <si>
    <t>Candra</t>
  </si>
  <si>
    <t>Tomball</t>
  </si>
  <si>
    <t>Arredondo</t>
  </si>
  <si>
    <t>Missy</t>
  </si>
  <si>
    <t>Whiting</t>
  </si>
  <si>
    <t>Price</t>
  </si>
  <si>
    <t>Womens A Doubles</t>
  </si>
  <si>
    <t>Gerwyn</t>
  </si>
  <si>
    <t>Arreola</t>
  </si>
  <si>
    <t>Teresa</t>
  </si>
  <si>
    <t>Arsenault</t>
  </si>
  <si>
    <t>Wendy</t>
  </si>
  <si>
    <t>Priest</t>
  </si>
  <si>
    <t>Fate</t>
  </si>
  <si>
    <t>Ayers</t>
  </si>
  <si>
    <t>Prince</t>
  </si>
  <si>
    <t>Rick</t>
  </si>
  <si>
    <t>Babicky</t>
  </si>
  <si>
    <t>Lackawana</t>
  </si>
  <si>
    <t>Kristina</t>
  </si>
  <si>
    <t>Suring</t>
  </si>
  <si>
    <t>Womens A Doubles Cricket</t>
  </si>
  <si>
    <t>Ballard</t>
  </si>
  <si>
    <t>Cathy</t>
  </si>
  <si>
    <t>Proehl</t>
  </si>
  <si>
    <t>Bantz</t>
  </si>
  <si>
    <t>Sarah</t>
  </si>
  <si>
    <t>Womens B Combo Luck</t>
  </si>
  <si>
    <t>Prosser</t>
  </si>
  <si>
    <t>Baringer</t>
  </si>
  <si>
    <t>Norton</t>
  </si>
  <si>
    <t>Jana</t>
  </si>
  <si>
    <t>Ortonville</t>
  </si>
  <si>
    <t>Pruit III</t>
  </si>
  <si>
    <t>Covington</t>
  </si>
  <si>
    <t>Bartunek</t>
  </si>
  <si>
    <t>Mason Marie</t>
  </si>
  <si>
    <t>Pruitt</t>
  </si>
  <si>
    <t>Bastian</t>
  </si>
  <si>
    <t>Kewaskum</t>
  </si>
  <si>
    <t>Womens AA Doubles Cricket</t>
  </si>
  <si>
    <t>Pryor</t>
  </si>
  <si>
    <t>Rodney</t>
  </si>
  <si>
    <t>Bdydaiseggen</t>
  </si>
  <si>
    <t>Irene</t>
  </si>
  <si>
    <t>Womens A Cricket Sgle</t>
  </si>
  <si>
    <t>Puente</t>
  </si>
  <si>
    <t>Kaylee</t>
  </si>
  <si>
    <t>Puleo</t>
  </si>
  <si>
    <t>2018 NAPDA</t>
  </si>
  <si>
    <t>Beckett</t>
  </si>
  <si>
    <t>Purdy</t>
  </si>
  <si>
    <t>Wheeling</t>
  </si>
  <si>
    <t>Beeman</t>
  </si>
  <si>
    <t>Brittany</t>
  </si>
  <si>
    <t>Quade</t>
  </si>
  <si>
    <t>Bellay-Rouselle</t>
  </si>
  <si>
    <t>CAN</t>
  </si>
  <si>
    <t>17TH</t>
  </si>
  <si>
    <t>Queener</t>
  </si>
  <si>
    <t>Bishop</t>
  </si>
  <si>
    <t>Tonya</t>
  </si>
  <si>
    <t>Celina</t>
  </si>
  <si>
    <t>Womens A Cricket Dble</t>
  </si>
  <si>
    <t>Bock</t>
  </si>
  <si>
    <t>Quinones</t>
  </si>
  <si>
    <t>Newark</t>
  </si>
  <si>
    <t>Boguslawski</t>
  </si>
  <si>
    <t>Rafferty</t>
  </si>
  <si>
    <t>Munhall</t>
  </si>
  <si>
    <t>Rakowski</t>
  </si>
  <si>
    <t>Ramage</t>
  </si>
  <si>
    <t>Johnsonville</t>
  </si>
  <si>
    <t>Ramcharan</t>
  </si>
  <si>
    <t>Oklahoma City</t>
  </si>
  <si>
    <t>Megan</t>
  </si>
  <si>
    <t>TopGun B Mixed Triples</t>
  </si>
  <si>
    <t>Ramos</t>
  </si>
  <si>
    <t>Rochelle</t>
  </si>
  <si>
    <t>Rand</t>
  </si>
  <si>
    <t>Bonnewell</t>
  </si>
  <si>
    <t>Michelle</t>
  </si>
  <si>
    <t>Rayfield</t>
  </si>
  <si>
    <t>Raymer</t>
  </si>
  <si>
    <t>Amy</t>
  </si>
  <si>
    <t>Boutilier</t>
  </si>
  <si>
    <t>Redmond</t>
  </si>
  <si>
    <t>Karrah</t>
  </si>
  <si>
    <t>Waterford</t>
  </si>
  <si>
    <t>Reece</t>
  </si>
  <si>
    <t>Boyke</t>
  </si>
  <si>
    <t>Justine</t>
  </si>
  <si>
    <t>Aberdeen</t>
  </si>
  <si>
    <t>Pingree Grove</t>
  </si>
  <si>
    <t>Women A Cricket Doubles</t>
  </si>
  <si>
    <t>Reiss</t>
  </si>
  <si>
    <t>Brace</t>
  </si>
  <si>
    <t>Bragg</t>
  </si>
  <si>
    <t>Remick</t>
  </si>
  <si>
    <t>Valerie</t>
  </si>
  <si>
    <t>Morrisonvile</t>
  </si>
  <si>
    <t>Womens Singles</t>
  </si>
  <si>
    <t>Brand</t>
  </si>
  <si>
    <t>Mary</t>
  </si>
  <si>
    <t>Rentko</t>
  </si>
  <si>
    <t>Mc Henry</t>
  </si>
  <si>
    <t>Requet</t>
  </si>
  <si>
    <t>Briggs</t>
  </si>
  <si>
    <t>Pam</t>
  </si>
  <si>
    <t>ME</t>
  </si>
  <si>
    <t>Rettie</t>
  </si>
  <si>
    <t>Vicki</t>
  </si>
  <si>
    <t>Reyes</t>
  </si>
  <si>
    <t>Alex</t>
  </si>
  <si>
    <t>Floresville</t>
  </si>
  <si>
    <t>Brigulio</t>
  </si>
  <si>
    <t>Angela</t>
  </si>
  <si>
    <t>Bromberg</t>
  </si>
  <si>
    <t>Stacy</t>
  </si>
  <si>
    <t>Cristo</t>
  </si>
  <si>
    <t>In Honor of Acheivements</t>
  </si>
  <si>
    <t>00/00/0000</t>
  </si>
  <si>
    <t>00/00/000</t>
  </si>
  <si>
    <t>Reynolds</t>
  </si>
  <si>
    <t>Jessica</t>
  </si>
  <si>
    <t>Plattsburgh</t>
  </si>
  <si>
    <t>Brugier</t>
  </si>
  <si>
    <t>Misty</t>
  </si>
  <si>
    <t>Apollo Beach</t>
  </si>
  <si>
    <t>Budden</t>
  </si>
  <si>
    <t>Salisbury</t>
  </si>
  <si>
    <t>Raegan</t>
  </si>
  <si>
    <t>Women Combo Singles</t>
  </si>
  <si>
    <t>Rhyne</t>
  </si>
  <si>
    <t>Bunnell</t>
  </si>
  <si>
    <t>Holiday</t>
  </si>
  <si>
    <t>Camilla</t>
  </si>
  <si>
    <t>Pawleys Island</t>
  </si>
  <si>
    <t>Riccadonna</t>
  </si>
  <si>
    <t>Jarred</t>
  </si>
  <si>
    <t>Burkeen</t>
  </si>
  <si>
    <t>Daytona Beach</t>
  </si>
  <si>
    <t>Jennifer</t>
  </si>
  <si>
    <t>Millington</t>
  </si>
  <si>
    <t>Richards</t>
  </si>
  <si>
    <t>Randal</t>
  </si>
  <si>
    <t>April</t>
  </si>
  <si>
    <t>Womens Dbls Combo</t>
  </si>
  <si>
    <t>Burrous</t>
  </si>
  <si>
    <t>Rachel</t>
  </si>
  <si>
    <t>Lodi</t>
  </si>
  <si>
    <t>Isaac</t>
  </si>
  <si>
    <t>Burrow</t>
  </si>
  <si>
    <t>Portland</t>
  </si>
  <si>
    <t>Men singles Cricket</t>
  </si>
  <si>
    <t>Butts</t>
  </si>
  <si>
    <t>PDC Order of Merit</t>
  </si>
  <si>
    <t>Womens A Cricket</t>
  </si>
  <si>
    <t>Old Town</t>
  </si>
  <si>
    <t>Buzzell</t>
  </si>
  <si>
    <t>Hudson</t>
  </si>
  <si>
    <t>Byrd</t>
  </si>
  <si>
    <t>Christina</t>
  </si>
  <si>
    <t>Riley</t>
  </si>
  <si>
    <t>Julius</t>
  </si>
  <si>
    <t>Rachell</t>
  </si>
  <si>
    <t>Ripp</t>
  </si>
  <si>
    <t>Cade</t>
  </si>
  <si>
    <t>Olga</t>
  </si>
  <si>
    <t>Cain</t>
  </si>
  <si>
    <t>Jacqueline</t>
  </si>
  <si>
    <t>Ritchey</t>
  </si>
  <si>
    <t>Womens A Cricket Dbls</t>
  </si>
  <si>
    <t>Ritter</t>
  </si>
  <si>
    <t>Jammie</t>
  </si>
  <si>
    <t>Chattanooga</t>
  </si>
  <si>
    <t>Hegans</t>
  </si>
  <si>
    <t>Rivera</t>
  </si>
  <si>
    <t>Darcy</t>
  </si>
  <si>
    <t>Robbins</t>
  </si>
  <si>
    <t>Roberts</t>
  </si>
  <si>
    <t>Jefferson</t>
  </si>
  <si>
    <t>Mableton</t>
  </si>
  <si>
    <t>Patricia</t>
  </si>
  <si>
    <t>Robinson</t>
  </si>
  <si>
    <t>Carrillo</t>
  </si>
  <si>
    <t>Esther</t>
  </si>
  <si>
    <t>SPAIN</t>
  </si>
  <si>
    <t>Women B 301 Doubles</t>
  </si>
  <si>
    <t>Robles</t>
  </si>
  <si>
    <t>Vera</t>
  </si>
  <si>
    <t>Robson</t>
  </si>
  <si>
    <t>87th</t>
  </si>
  <si>
    <t>Cervantes</t>
  </si>
  <si>
    <t>Navasota</t>
  </si>
  <si>
    <t>Rodgers</t>
  </si>
  <si>
    <t>Burgetts Town</t>
  </si>
  <si>
    <t>Champagne</t>
  </si>
  <si>
    <t>Carrie</t>
  </si>
  <si>
    <t>Crivitz</t>
  </si>
  <si>
    <t>Rodriguez</t>
  </si>
  <si>
    <t>Chaparro</t>
  </si>
  <si>
    <t>Isi</t>
  </si>
  <si>
    <t>Womens A 501 Doubles</t>
  </si>
  <si>
    <t>Charboneau</t>
  </si>
  <si>
    <t>Tammy</t>
  </si>
  <si>
    <t>Luis</t>
  </si>
  <si>
    <t>Orland Park</t>
  </si>
  <si>
    <t>Cherry</t>
  </si>
  <si>
    <t>Jillian</t>
  </si>
  <si>
    <t>Rusty</t>
  </si>
  <si>
    <t>AUSTRIA</t>
  </si>
  <si>
    <t>Churchill</t>
  </si>
  <si>
    <t>Rebecca</t>
  </si>
  <si>
    <t>Rodriguez Mendez</t>
  </si>
  <si>
    <t>Roelofs</t>
  </si>
  <si>
    <t>Penny</t>
  </si>
  <si>
    <t>Top Gun Womens Singles</t>
  </si>
  <si>
    <t>Roker</t>
  </si>
  <si>
    <t>Acworth</t>
  </si>
  <si>
    <t>Romines</t>
  </si>
  <si>
    <t>Chadwick</t>
  </si>
  <si>
    <t>Sevierville</t>
  </si>
  <si>
    <t>Clouse</t>
  </si>
  <si>
    <t>Cumberland</t>
  </si>
  <si>
    <t>Roper</t>
  </si>
  <si>
    <t>Emanuel</t>
  </si>
  <si>
    <t>Womens Dbles Combo</t>
  </si>
  <si>
    <t>Cocchi</t>
  </si>
  <si>
    <t>Collingsworth</t>
  </si>
  <si>
    <t>Tessa</t>
  </si>
  <si>
    <t>Coweta</t>
  </si>
  <si>
    <t>Bridgeview</t>
  </si>
  <si>
    <t>Collins</t>
  </si>
  <si>
    <t>Lea</t>
  </si>
  <si>
    <t>Roundtree</t>
  </si>
  <si>
    <t>Clifton</t>
  </si>
  <si>
    <t>Beth</t>
  </si>
  <si>
    <t>Fort Wayne</t>
  </si>
  <si>
    <t>Roy</t>
  </si>
  <si>
    <t>Conti</t>
  </si>
  <si>
    <t>Sisanne</t>
  </si>
  <si>
    <t>Ruby</t>
  </si>
  <si>
    <t>Cadillac</t>
  </si>
  <si>
    <t>Coontz</t>
  </si>
  <si>
    <t>Wanda</t>
  </si>
  <si>
    <t>Mansfield</t>
  </si>
  <si>
    <t>Rudolph</t>
  </si>
  <si>
    <t>Criss</t>
  </si>
  <si>
    <t>Kalika</t>
  </si>
  <si>
    <t>Rugh</t>
  </si>
  <si>
    <t>Criswell</t>
  </si>
  <si>
    <t>Kelli</t>
  </si>
  <si>
    <t>Greensburg</t>
  </si>
  <si>
    <t>Cunningham</t>
  </si>
  <si>
    <t>Bette</t>
  </si>
  <si>
    <t>Rummel</t>
  </si>
  <si>
    <t>Fargo</t>
  </si>
  <si>
    <t>Teena Marie</t>
  </si>
  <si>
    <t>Runge</t>
  </si>
  <si>
    <t>Bellevue</t>
  </si>
  <si>
    <t>Cupp</t>
  </si>
  <si>
    <t>Dawn</t>
  </si>
  <si>
    <t>Canton</t>
  </si>
  <si>
    <t>Rutsky</t>
  </si>
  <si>
    <t>Curry</t>
  </si>
  <si>
    <t>Robin</t>
  </si>
  <si>
    <t>Rydeen</t>
  </si>
  <si>
    <t>Somerset</t>
  </si>
  <si>
    <t>Andrea</t>
  </si>
  <si>
    <t>Cold Springs</t>
  </si>
  <si>
    <t>Ryder</t>
  </si>
  <si>
    <t>Laurence</t>
  </si>
  <si>
    <t>Dauer</t>
  </si>
  <si>
    <t>Clay</t>
  </si>
  <si>
    <t>Salazar</t>
  </si>
  <si>
    <t>Dault</t>
  </si>
  <si>
    <t>Sale</t>
  </si>
  <si>
    <t>Kristy</t>
  </si>
  <si>
    <t>Deer Park</t>
  </si>
  <si>
    <t>Mapleton</t>
  </si>
  <si>
    <t>De Los Santos</t>
  </si>
  <si>
    <t>Sams</t>
  </si>
  <si>
    <t>Cynthia</t>
  </si>
  <si>
    <t>Green Cove Springs</t>
  </si>
  <si>
    <t>Deboeck</t>
  </si>
  <si>
    <t>Sanden</t>
  </si>
  <si>
    <t>Cindy</t>
  </si>
  <si>
    <t>Baldwin</t>
  </si>
  <si>
    <t>Womens A Singles</t>
  </si>
  <si>
    <t>Sanko, Jr.</t>
  </si>
  <si>
    <t>Dees</t>
  </si>
  <si>
    <t>Aliquippa</t>
  </si>
  <si>
    <t>Courtney</t>
  </si>
  <si>
    <t>Dellmire</t>
  </si>
  <si>
    <t>Santos</t>
  </si>
  <si>
    <t>Julie</t>
  </si>
  <si>
    <t>Eduardo</t>
  </si>
  <si>
    <t>Sato</t>
  </si>
  <si>
    <t>Yutaro</t>
  </si>
  <si>
    <t>Roanoke</t>
  </si>
  <si>
    <t>Demers</t>
  </si>
  <si>
    <t>Sawyer</t>
  </si>
  <si>
    <t>Debra</t>
  </si>
  <si>
    <t>Carmel</t>
  </si>
  <si>
    <t>Peabody</t>
  </si>
  <si>
    <t>Deperkins</t>
  </si>
  <si>
    <t>Sayre</t>
  </si>
  <si>
    <t>Deanna</t>
  </si>
  <si>
    <t>D J</t>
  </si>
  <si>
    <t>9th</t>
  </si>
  <si>
    <t>Desch</t>
  </si>
  <si>
    <t>Scarberry</t>
  </si>
  <si>
    <t>Midland</t>
  </si>
  <si>
    <t>Kenova</t>
  </si>
  <si>
    <t>Dessein</t>
  </si>
  <si>
    <t>Carine</t>
  </si>
  <si>
    <t>Schaumann</t>
  </si>
  <si>
    <t>DeVries</t>
  </si>
  <si>
    <t>Schirmbick</t>
  </si>
  <si>
    <t>Churdan</t>
  </si>
  <si>
    <t>DeWald</t>
  </si>
  <si>
    <t>Racel</t>
  </si>
  <si>
    <t>Schiro</t>
  </si>
  <si>
    <t>Florissant</t>
  </si>
  <si>
    <t>Pete</t>
  </si>
  <si>
    <t>Womens B Cricket</t>
  </si>
  <si>
    <t>DeWitt</t>
  </si>
  <si>
    <t>Darlene</t>
  </si>
  <si>
    <t>Hammondsport</t>
  </si>
  <si>
    <t>Schlick</t>
  </si>
  <si>
    <t>Dicus</t>
  </si>
  <si>
    <t>Schmitt</t>
  </si>
  <si>
    <t>Bridget</t>
  </si>
  <si>
    <t>Schmonsees</t>
  </si>
  <si>
    <t>Schoultheis</t>
  </si>
  <si>
    <t>Ft. Mitchell</t>
  </si>
  <si>
    <t>Dodson</t>
  </si>
  <si>
    <t>Schreiber</t>
  </si>
  <si>
    <t>Wendi</t>
  </si>
  <si>
    <t>Jake</t>
  </si>
  <si>
    <t>Tempe</t>
  </si>
  <si>
    <t>St. Paul</t>
  </si>
  <si>
    <t>Dorey</t>
  </si>
  <si>
    <t>Natalie</t>
  </si>
  <si>
    <t>Schultz</t>
  </si>
  <si>
    <t>Machesney Park</t>
  </si>
  <si>
    <t>Dubose</t>
  </si>
  <si>
    <t>Alvanita</t>
  </si>
  <si>
    <t>Dupes</t>
  </si>
  <si>
    <t>Heather</t>
  </si>
  <si>
    <t>Woodstock</t>
  </si>
  <si>
    <t>Edinger</t>
  </si>
  <si>
    <t>Adrienne</t>
  </si>
  <si>
    <t>Eichorn</t>
  </si>
  <si>
    <t>Nina</t>
  </si>
  <si>
    <t>Schutsch</t>
  </si>
  <si>
    <t>Dieter</t>
  </si>
  <si>
    <t>Brandy</t>
  </si>
  <si>
    <t>Schweyen</t>
  </si>
  <si>
    <t>Francois</t>
  </si>
  <si>
    <t>Ellis</t>
  </si>
  <si>
    <t>Candi</t>
  </si>
  <si>
    <t>Schwindamann</t>
  </si>
  <si>
    <t>Parkville</t>
  </si>
  <si>
    <t>Erdenechimeg</t>
  </si>
  <si>
    <t>Dondov</t>
  </si>
  <si>
    <t>Sealey</t>
  </si>
  <si>
    <t>Gerald</t>
  </si>
  <si>
    <t>Mongolia</t>
  </si>
  <si>
    <t>Altus</t>
  </si>
  <si>
    <t>Top Gun B Singles</t>
  </si>
  <si>
    <t>Erdman</t>
  </si>
  <si>
    <t>Sandra</t>
  </si>
  <si>
    <t>Searvogel</t>
  </si>
  <si>
    <t>Seger</t>
  </si>
  <si>
    <t>Women AA 501 Doubles</t>
  </si>
  <si>
    <t>Stephanie</t>
  </si>
  <si>
    <t>Segers</t>
  </si>
  <si>
    <t>Fajardo</t>
  </si>
  <si>
    <t>Almudena</t>
  </si>
  <si>
    <t>TopGun Women B Singles</t>
  </si>
  <si>
    <t>Selepec</t>
  </si>
  <si>
    <t>Farmer</t>
  </si>
  <si>
    <t>Tanja</t>
  </si>
  <si>
    <t>Fasick</t>
  </si>
  <si>
    <t>Tracy</t>
  </si>
  <si>
    <t>Serena</t>
  </si>
  <si>
    <t>Lower Burrell</t>
  </si>
  <si>
    <t>Sestan</t>
  </si>
  <si>
    <t>Igor</t>
  </si>
  <si>
    <t>Mens 501 Singles</t>
  </si>
  <si>
    <t>Flood</t>
  </si>
  <si>
    <t>Laura</t>
  </si>
  <si>
    <t>Scottsville</t>
  </si>
  <si>
    <t>Sevada</t>
  </si>
  <si>
    <t>Phyllis</t>
  </si>
  <si>
    <t>Hector</t>
  </si>
  <si>
    <t>Shah</t>
  </si>
  <si>
    <t>Tengku</t>
  </si>
  <si>
    <t>MALAYSIA</t>
  </si>
  <si>
    <t>Flores</t>
  </si>
  <si>
    <t>Gretel</t>
  </si>
  <si>
    <t>San Bruno</t>
  </si>
  <si>
    <t>Sharpless</t>
  </si>
  <si>
    <t>Forbes</t>
  </si>
  <si>
    <t>Bay City</t>
  </si>
  <si>
    <t>Tabitha</t>
  </si>
  <si>
    <t>Shaw</t>
  </si>
  <si>
    <t>Deland</t>
  </si>
  <si>
    <t>Jacquelin</t>
  </si>
  <si>
    <t>Sheehan</t>
  </si>
  <si>
    <t>Royal Oaks</t>
  </si>
  <si>
    <t>Womens A/AA Combo Luck</t>
  </si>
  <si>
    <t>Frakine</t>
  </si>
  <si>
    <t>Toni</t>
  </si>
  <si>
    <t>Sheils Jr.</t>
  </si>
  <si>
    <t>Sally</t>
  </si>
  <si>
    <t>Shek</t>
  </si>
  <si>
    <t>Frost-Womack</t>
  </si>
  <si>
    <t>Fuentes</t>
  </si>
  <si>
    <t>Margarita</t>
  </si>
  <si>
    <t>Sherrock</t>
  </si>
  <si>
    <t>Fallon</t>
  </si>
  <si>
    <t>Funk</t>
  </si>
  <si>
    <t>Kimberley</t>
  </si>
  <si>
    <t>Burlison</t>
  </si>
  <si>
    <t>Shibata</t>
  </si>
  <si>
    <t>Toyokazu</t>
  </si>
  <si>
    <t>Gainer</t>
  </si>
  <si>
    <t>Yukon</t>
  </si>
  <si>
    <t>Shields</t>
  </si>
  <si>
    <t>Ringtown</t>
  </si>
  <si>
    <t>Galford</t>
  </si>
  <si>
    <t>Teri</t>
  </si>
  <si>
    <t>Hernando</t>
  </si>
  <si>
    <t>Shih Hua</t>
  </si>
  <si>
    <t>Huang</t>
  </si>
  <si>
    <t>Galley</t>
  </si>
  <si>
    <t>Catherine</t>
  </si>
  <si>
    <t>Jeanette</t>
  </si>
  <si>
    <t>Shirey</t>
  </si>
  <si>
    <t>Bernville</t>
  </si>
  <si>
    <t>Gannon</t>
  </si>
  <si>
    <t>Marlene</t>
  </si>
  <si>
    <t>Oak Lawn</t>
  </si>
  <si>
    <t>Shollenberger</t>
  </si>
  <si>
    <t>Bill (Sholly)</t>
  </si>
  <si>
    <t>Ashley</t>
  </si>
  <si>
    <t>Garner</t>
  </si>
  <si>
    <t>Simon</t>
  </si>
  <si>
    <t>Aleatha</t>
  </si>
  <si>
    <t>Simonis</t>
  </si>
  <si>
    <t>Gem</t>
  </si>
  <si>
    <t>Denise</t>
  </si>
  <si>
    <t>Hermitage</t>
  </si>
  <si>
    <t>Sims</t>
  </si>
  <si>
    <t>Terrence</t>
  </si>
  <si>
    <t>Cincinatti</t>
  </si>
  <si>
    <t>Sinnaeve</t>
  </si>
  <si>
    <t>Alexandria</t>
  </si>
  <si>
    <t>Erin</t>
  </si>
  <si>
    <t>Siong</t>
  </si>
  <si>
    <t>Women B Combo Luck</t>
  </si>
  <si>
    <t>Kho Kian</t>
  </si>
  <si>
    <t>64th</t>
  </si>
  <si>
    <t>Kelly</t>
  </si>
  <si>
    <t>Womens AA Doubles</t>
  </si>
  <si>
    <t>Sison</t>
  </si>
  <si>
    <t>Gil</t>
  </si>
  <si>
    <t>Zelia</t>
  </si>
  <si>
    <t>Womens A 501 Singles</t>
  </si>
  <si>
    <t>Skill</t>
  </si>
  <si>
    <t>Gilliam</t>
  </si>
  <si>
    <t>Mainville</t>
  </si>
  <si>
    <t>OFF IN 19</t>
  </si>
  <si>
    <t>Smith</t>
  </si>
  <si>
    <t>Amberly</t>
  </si>
  <si>
    <t>Gobeil</t>
  </si>
  <si>
    <t>Dianne</t>
  </si>
  <si>
    <t>Godsoe</t>
  </si>
  <si>
    <t>Goebel</t>
  </si>
  <si>
    <t>Gabriela</t>
  </si>
  <si>
    <t>Gomez Sanchez</t>
  </si>
  <si>
    <t>Shayna</t>
  </si>
  <si>
    <t>Samantha</t>
  </si>
  <si>
    <t>Connellsdale</t>
  </si>
  <si>
    <t>Meghan</t>
  </si>
  <si>
    <t>Fishers</t>
  </si>
  <si>
    <t>Griffo</t>
  </si>
  <si>
    <t>Lindsay</t>
  </si>
  <si>
    <t>Womens B Luck</t>
  </si>
  <si>
    <t>Grimal</t>
  </si>
  <si>
    <t>Krissy</t>
  </si>
  <si>
    <t>Wimauma</t>
  </si>
  <si>
    <t>TopGun Women A/AA Singles</t>
  </si>
  <si>
    <t>Grzesik</t>
  </si>
  <si>
    <t>Trish</t>
  </si>
  <si>
    <t>Chesapeake</t>
  </si>
  <si>
    <t>Ric</t>
  </si>
  <si>
    <t>Sandy</t>
  </si>
  <si>
    <t>Haines</t>
  </si>
  <si>
    <t>Becky</t>
  </si>
  <si>
    <t>Trinity</t>
  </si>
  <si>
    <t>Halbert</t>
  </si>
  <si>
    <t>Lyndsay</t>
  </si>
  <si>
    <t>Women A/AA Combo Luck</t>
  </si>
  <si>
    <t>Suzie</t>
  </si>
  <si>
    <t>Hurst</t>
  </si>
  <si>
    <t>Womens AA Doubles X01</t>
  </si>
  <si>
    <t>Phelps</t>
  </si>
  <si>
    <t>Hambleton</t>
  </si>
  <si>
    <t>Stacey</t>
  </si>
  <si>
    <t>Guthrie Center</t>
  </si>
  <si>
    <t>Snook</t>
  </si>
  <si>
    <t>Hamlin</t>
  </si>
  <si>
    <t>Hanssen</t>
  </si>
  <si>
    <t>Mount Sterling</t>
  </si>
  <si>
    <t>Snow</t>
  </si>
  <si>
    <t>Happ</t>
  </si>
  <si>
    <t>Hardee</t>
  </si>
  <si>
    <t>Jill</t>
  </si>
  <si>
    <t>Snyder</t>
  </si>
  <si>
    <t>Goshen</t>
  </si>
  <si>
    <t>Hardwick</t>
  </si>
  <si>
    <t>Amber</t>
  </si>
  <si>
    <t>Camby</t>
  </si>
  <si>
    <t>Sockwell</t>
  </si>
  <si>
    <t>Dimbaza</t>
  </si>
  <si>
    <t>Haskin</t>
  </si>
  <si>
    <t>Leasa</t>
  </si>
  <si>
    <t>Fort Ashby</t>
  </si>
  <si>
    <t>Soltero</t>
  </si>
  <si>
    <t>Soltys</t>
  </si>
  <si>
    <t>Simpsonville</t>
  </si>
  <si>
    <t>Havey</t>
  </si>
  <si>
    <t>Spellman</t>
  </si>
  <si>
    <t>Donna</t>
  </si>
  <si>
    <t>Sullivan</t>
  </si>
  <si>
    <t>Hayhurst</t>
  </si>
  <si>
    <t>Spratley</t>
  </si>
  <si>
    <t>14TH</t>
  </si>
  <si>
    <t>Springer</t>
  </si>
  <si>
    <t>Bothell</t>
  </si>
  <si>
    <t>Hayselden</t>
  </si>
  <si>
    <t>Mililani</t>
  </si>
  <si>
    <t>Spurgeon</t>
  </si>
  <si>
    <t>Hearney</t>
  </si>
  <si>
    <t>Marshalltown</t>
  </si>
  <si>
    <t>Hilton</t>
  </si>
  <si>
    <t>Squires</t>
  </si>
  <si>
    <t>Nicole</t>
  </si>
  <si>
    <t>Loudinville</t>
  </si>
  <si>
    <t>Stamey</t>
  </si>
  <si>
    <t>Tiffany</t>
  </si>
  <si>
    <t>Statezny</t>
  </si>
  <si>
    <t>Antigo</t>
  </si>
  <si>
    <t>Hendershot</t>
  </si>
  <si>
    <t>Laurie</t>
  </si>
  <si>
    <t>Ft Pierce</t>
  </si>
  <si>
    <t>Staub</t>
  </si>
  <si>
    <t>Herriott</t>
  </si>
  <si>
    <t>Carole</t>
  </si>
  <si>
    <t>Staudt</t>
  </si>
  <si>
    <t>Hofwalt</t>
  </si>
  <si>
    <t>Peggy</t>
  </si>
  <si>
    <t>Hoover</t>
  </si>
  <si>
    <t>Kay</t>
  </si>
  <si>
    <t>Berea</t>
  </si>
  <si>
    <t>Steinberg</t>
  </si>
  <si>
    <t>Hoskinson</t>
  </si>
  <si>
    <t>Sherri</t>
  </si>
  <si>
    <t>Steiner</t>
  </si>
  <si>
    <t>Papillon</t>
  </si>
  <si>
    <t>Hoye</t>
  </si>
  <si>
    <t>Steinhofer</t>
  </si>
  <si>
    <t>Stella</t>
  </si>
  <si>
    <t>6th</t>
  </si>
  <si>
    <t>Micki</t>
  </si>
  <si>
    <t>Sterling</t>
  </si>
  <si>
    <t>Kimber</t>
  </si>
  <si>
    <t>Stevens</t>
  </si>
  <si>
    <t>Lori</t>
  </si>
  <si>
    <t>Appleton</t>
  </si>
  <si>
    <t>Minden</t>
  </si>
  <si>
    <t>Stewart</t>
  </si>
  <si>
    <t>Franklin</t>
  </si>
  <si>
    <t>Hurley-York</t>
  </si>
  <si>
    <t>Tammie</t>
  </si>
  <si>
    <t>Murfreesboro</t>
  </si>
  <si>
    <t>Peter</t>
  </si>
  <si>
    <t>Irby</t>
  </si>
  <si>
    <t>Ratonda</t>
  </si>
  <si>
    <t>Stites</t>
  </si>
  <si>
    <t>Iseneker</t>
  </si>
  <si>
    <t>Vernon</t>
  </si>
  <si>
    <t>Stockinger</t>
  </si>
  <si>
    <t>Smyrna</t>
  </si>
  <si>
    <t>Ivey</t>
  </si>
  <si>
    <t>Strand</t>
  </si>
  <si>
    <t>Greg</t>
  </si>
  <si>
    <t>La Vernia</t>
  </si>
  <si>
    <t>Ithaca</t>
  </si>
  <si>
    <t>Strawbridge</t>
  </si>
  <si>
    <t>Bensonville</t>
  </si>
  <si>
    <t>Melissa</t>
  </si>
  <si>
    <t>Streitz</t>
  </si>
  <si>
    <t>Jellema</t>
  </si>
  <si>
    <t>Brooklyn</t>
  </si>
  <si>
    <t>Strickland</t>
  </si>
  <si>
    <t>Strite</t>
  </si>
  <si>
    <t>Johns</t>
  </si>
  <si>
    <t>Hillsboro</t>
  </si>
  <si>
    <t>Englewood</t>
  </si>
  <si>
    <t>Sturgis</t>
  </si>
  <si>
    <t>Bryson City</t>
  </si>
  <si>
    <t>Janine</t>
  </si>
  <si>
    <t>Chilton</t>
  </si>
  <si>
    <t>Suarez</t>
  </si>
  <si>
    <t>Arturo</t>
  </si>
  <si>
    <t>Susan</t>
  </si>
  <si>
    <t>Hampshire</t>
  </si>
  <si>
    <t>Suljovic</t>
  </si>
  <si>
    <t>Mensur</t>
  </si>
  <si>
    <t>Austria</t>
  </si>
  <si>
    <t>Jimmy</t>
  </si>
  <si>
    <t>Clermont</t>
  </si>
  <si>
    <t>Summers</t>
  </si>
  <si>
    <t>Monique</t>
  </si>
  <si>
    <t>Griffith</t>
  </si>
  <si>
    <t>Colliers</t>
  </si>
  <si>
    <t>Sumner</t>
  </si>
  <si>
    <t>Trint</t>
  </si>
  <si>
    <t>Ocoee</t>
  </si>
  <si>
    <t>Sun</t>
  </si>
  <si>
    <t>Lourenco</t>
  </si>
  <si>
    <t>MACAU</t>
  </si>
  <si>
    <t>Tobie</t>
  </si>
  <si>
    <t>Suzuki</t>
  </si>
  <si>
    <t>Kentaro</t>
  </si>
  <si>
    <t>Womens A/AA Luck</t>
  </si>
  <si>
    <t>Mikuru</t>
  </si>
  <si>
    <t>Jost</t>
  </si>
  <si>
    <t>TopGun A/AA Mixed Triples</t>
  </si>
  <si>
    <t>Takehiro</t>
  </si>
  <si>
    <t>Swain</t>
  </si>
  <si>
    <t>Hayley</t>
  </si>
  <si>
    <t>Swanson</t>
  </si>
  <si>
    <t>Norman</t>
  </si>
  <si>
    <t>Kanechanath</t>
  </si>
  <si>
    <t>Somsanith</t>
  </si>
  <si>
    <t>HOLLAND</t>
  </si>
  <si>
    <t>Swift</t>
  </si>
  <si>
    <t>Fort Worth</t>
  </si>
  <si>
    <t>Swinson</t>
  </si>
  <si>
    <t>Karon</t>
  </si>
  <si>
    <t>Huntsville</t>
  </si>
  <si>
    <t>Bristol</t>
  </si>
  <si>
    <t>Switzer</t>
  </si>
  <si>
    <t>Karpowich</t>
  </si>
  <si>
    <t>Kathy</t>
  </si>
  <si>
    <t>Freeland</t>
  </si>
  <si>
    <t>Sylvan</t>
  </si>
  <si>
    <t>Kasperzick</t>
  </si>
  <si>
    <t>Szudnik</t>
  </si>
  <si>
    <t>Kealiher</t>
  </si>
  <si>
    <t>Tac Hyun</t>
  </si>
  <si>
    <t>Tae</t>
  </si>
  <si>
    <t>Oh Young</t>
  </si>
  <si>
    <t>Ruth</t>
  </si>
  <si>
    <t>Loveland</t>
  </si>
  <si>
    <t>Womens Doubles 301</t>
  </si>
  <si>
    <t>BullShooter 33 Ohio</t>
  </si>
  <si>
    <t>Kepple</t>
  </si>
  <si>
    <t>Rachael</t>
  </si>
  <si>
    <t>Tager</t>
  </si>
  <si>
    <t>Gaston</t>
  </si>
  <si>
    <t>Khounsana</t>
  </si>
  <si>
    <t>Tarter</t>
  </si>
  <si>
    <t>Kenvin</t>
  </si>
  <si>
    <t>Forest</t>
  </si>
  <si>
    <t>Kiel</t>
  </si>
  <si>
    <t>Marlise</t>
  </si>
  <si>
    <t>Kier</t>
  </si>
  <si>
    <t>Tauber</t>
  </si>
  <si>
    <t>Suzanne</t>
  </si>
  <si>
    <t>Phil</t>
  </si>
  <si>
    <t>Celeste</t>
  </si>
  <si>
    <t>Kish</t>
  </si>
  <si>
    <t>Tegel</t>
  </si>
  <si>
    <t>Kolhoff</t>
  </si>
  <si>
    <t>Teodoro</t>
  </si>
  <si>
    <t>Rui</t>
  </si>
  <si>
    <t>Shelly</t>
  </si>
  <si>
    <t>Terronez</t>
  </si>
  <si>
    <t>Thanawat</t>
  </si>
  <si>
    <t>Youg</t>
  </si>
  <si>
    <t>Thibert</t>
  </si>
  <si>
    <t>Kolthoff</t>
  </si>
  <si>
    <t>Viborg</t>
  </si>
  <si>
    <t>Mandy</t>
  </si>
  <si>
    <t>Thompson</t>
  </si>
  <si>
    <t>Koontz</t>
  </si>
  <si>
    <t>Kotara</t>
  </si>
  <si>
    <t>Gemma</t>
  </si>
  <si>
    <t>Chantilly</t>
  </si>
  <si>
    <t>Kovach</t>
  </si>
  <si>
    <t>Kristi</t>
  </si>
  <si>
    <t>Victor</t>
  </si>
  <si>
    <t>Pinehurst</t>
  </si>
  <si>
    <t>Krueger</t>
  </si>
  <si>
    <t>Shelby</t>
  </si>
  <si>
    <t>Kuchinski</t>
  </si>
  <si>
    <t>Kunkle</t>
  </si>
  <si>
    <t>Joell</t>
  </si>
  <si>
    <t>Hunker</t>
  </si>
  <si>
    <t>Thornton</t>
  </si>
  <si>
    <t>Lamster</t>
  </si>
  <si>
    <t>Thorpe</t>
  </si>
  <si>
    <t>Thurley</t>
  </si>
  <si>
    <t>Leahy</t>
  </si>
  <si>
    <t>June</t>
  </si>
  <si>
    <t>Thwaites</t>
  </si>
  <si>
    <t>LeDell</t>
  </si>
  <si>
    <t>Pro A/AA Mixed Cricket</t>
  </si>
  <si>
    <t>Tillman</t>
  </si>
  <si>
    <t>Steveon</t>
  </si>
  <si>
    <t>Lehmkuhl</t>
  </si>
  <si>
    <t>Moss Point</t>
  </si>
  <si>
    <t>Brandi</t>
  </si>
  <si>
    <t>Norwood</t>
  </si>
  <si>
    <t>Leiter</t>
  </si>
  <si>
    <t>Lenart</t>
  </si>
  <si>
    <t>Britney</t>
  </si>
  <si>
    <t>Lincoln Park</t>
  </si>
  <si>
    <t>Tomlinson</t>
  </si>
  <si>
    <t>Linda</t>
  </si>
  <si>
    <t>Tong You</t>
  </si>
  <si>
    <t>Hong</t>
  </si>
  <si>
    <t>Zephyr Hills</t>
  </si>
  <si>
    <t>Torres</t>
  </si>
  <si>
    <t>Ani</t>
  </si>
  <si>
    <t>Lewison</t>
  </si>
  <si>
    <t>Kayla</t>
  </si>
  <si>
    <t>Toussaint</t>
  </si>
  <si>
    <t>Laurent</t>
  </si>
  <si>
    <t>Tovar</t>
  </si>
  <si>
    <t>Rudy</t>
  </si>
  <si>
    <t>Lindgren</t>
  </si>
  <si>
    <t>Jena</t>
  </si>
  <si>
    <t>Towers</t>
  </si>
  <si>
    <t>Redding</t>
  </si>
  <si>
    <t>Toylo</t>
  </si>
  <si>
    <t>Lohnhardt</t>
  </si>
  <si>
    <t>Tremblay</t>
  </si>
  <si>
    <t>Trent</t>
  </si>
  <si>
    <t>Tricole</t>
  </si>
  <si>
    <t>Thibault</t>
  </si>
  <si>
    <t>Loucks</t>
  </si>
  <si>
    <t>Tina</t>
  </si>
  <si>
    <t>Middlebury</t>
  </si>
  <si>
    <t>Tritt</t>
  </si>
  <si>
    <t>Omro</t>
  </si>
  <si>
    <t>Lowe</t>
  </si>
  <si>
    <t>Elissa</t>
  </si>
  <si>
    <t>Mt. Zion</t>
  </si>
  <si>
    <t>Tsai</t>
  </si>
  <si>
    <t>Howei</t>
  </si>
  <si>
    <t>Luna</t>
  </si>
  <si>
    <t>Tuerck</t>
  </si>
  <si>
    <t>Ventura</t>
  </si>
  <si>
    <t>Tulachka</t>
  </si>
  <si>
    <t>Two Rivers</t>
  </si>
  <si>
    <t>Turner</t>
  </si>
  <si>
    <t>Laine</t>
  </si>
  <si>
    <t>Turnure</t>
  </si>
  <si>
    <t>MacConnell</t>
  </si>
  <si>
    <t>Kathleen</t>
  </si>
  <si>
    <t>Mader</t>
  </si>
  <si>
    <t>Rhonda</t>
  </si>
  <si>
    <t>Ulrici</t>
  </si>
  <si>
    <t>ID</t>
  </si>
  <si>
    <t>Witt</t>
  </si>
  <si>
    <t>Maine</t>
  </si>
  <si>
    <t>Shari</t>
  </si>
  <si>
    <t>Ulry</t>
  </si>
  <si>
    <t>Malie</t>
  </si>
  <si>
    <t>Uraine</t>
  </si>
  <si>
    <t>Mallary</t>
  </si>
  <si>
    <t>Port Byron</t>
  </si>
  <si>
    <t>Usami</t>
  </si>
  <si>
    <t>Kei</t>
  </si>
  <si>
    <t>Mangin</t>
  </si>
  <si>
    <t>Kelsey</t>
  </si>
  <si>
    <t>Valdiieso</t>
  </si>
  <si>
    <t>Javier</t>
  </si>
  <si>
    <t>Marie</t>
  </si>
  <si>
    <t>Leominster</t>
  </si>
  <si>
    <t>Valenjuela</t>
  </si>
  <si>
    <t>Pro 701 Singles</t>
  </si>
  <si>
    <t>European BullShooter XXV</t>
  </si>
  <si>
    <t>Thais</t>
  </si>
  <si>
    <t>Valentin</t>
  </si>
  <si>
    <t>Martinez Olcina</t>
  </si>
  <si>
    <t>Mila</t>
  </si>
  <si>
    <t>Womens A Cricket Sgls</t>
  </si>
  <si>
    <t>Valesquez</t>
  </si>
  <si>
    <t>Mason</t>
  </si>
  <si>
    <t>Van Barneveld</t>
  </si>
  <si>
    <t>Maxwell</t>
  </si>
  <si>
    <t>Van Beek</t>
  </si>
  <si>
    <t>Ireton</t>
  </si>
  <si>
    <t>Washington</t>
  </si>
  <si>
    <t>Van Bouwel</t>
  </si>
  <si>
    <t>Van de Pas</t>
  </si>
  <si>
    <t>Benito</t>
  </si>
  <si>
    <t>McCandless</t>
  </si>
  <si>
    <t>Kirsten</t>
  </si>
  <si>
    <t>McClure</t>
  </si>
  <si>
    <t>Christy</t>
  </si>
  <si>
    <t>Van de Rijck</t>
  </si>
  <si>
    <t>Kurt</t>
  </si>
  <si>
    <t>Van Den Bergh</t>
  </si>
  <si>
    <t>Dimitri</t>
  </si>
  <si>
    <t>McCormack</t>
  </si>
  <si>
    <t>Van der Voort</t>
  </si>
  <si>
    <t>21ST</t>
  </si>
  <si>
    <t>McCrary</t>
  </si>
  <si>
    <t>New Caney</t>
  </si>
  <si>
    <t>Van Deurson</t>
  </si>
  <si>
    <t>Lindenhurst</t>
  </si>
  <si>
    <t>McDaniel</t>
  </si>
  <si>
    <t>Van Droogenbroeck</t>
  </si>
  <si>
    <t>Van Duijvenbode</t>
  </si>
  <si>
    <t>McGee</t>
  </si>
  <si>
    <t>Dirk</t>
  </si>
  <si>
    <t>Natasha</t>
  </si>
  <si>
    <t>Van Gerwen</t>
  </si>
  <si>
    <t>Van Goietsenoven</t>
  </si>
  <si>
    <t>Van Kerkoerle</t>
  </si>
  <si>
    <t>Johannes</t>
  </si>
  <si>
    <t>Van Loan</t>
  </si>
  <si>
    <t>St. Augustine</t>
  </si>
  <si>
    <t>Van Peer</t>
  </si>
  <si>
    <t>Berry</t>
  </si>
  <si>
    <t>NETHERLANDS</t>
  </si>
  <si>
    <t>Meredith</t>
  </si>
  <si>
    <t>Oviedo</t>
  </si>
  <si>
    <t>Van Straten</t>
  </si>
  <si>
    <t>Shiocton</t>
  </si>
  <si>
    <t>McGinley</t>
  </si>
  <si>
    <t>Karen</t>
  </si>
  <si>
    <t>Van Zant</t>
  </si>
  <si>
    <t>Valparaisa</t>
  </si>
  <si>
    <t>McGinnis</t>
  </si>
  <si>
    <t>VanDeresch</t>
  </si>
  <si>
    <t>McGrath</t>
  </si>
  <si>
    <t>Vanderweit</t>
  </si>
  <si>
    <t>McHugh</t>
  </si>
  <si>
    <t>McKimmey</t>
  </si>
  <si>
    <t>Jenelle</t>
  </si>
  <si>
    <t>Humboldt</t>
  </si>
  <si>
    <t>VanHook</t>
  </si>
  <si>
    <t>Bennie</t>
  </si>
  <si>
    <t>McNeill</t>
  </si>
  <si>
    <t>Katherine</t>
  </si>
  <si>
    <t>Vanidour</t>
  </si>
  <si>
    <t>McQueen</t>
  </si>
  <si>
    <t>Ally</t>
  </si>
  <si>
    <t>Vaughn</t>
  </si>
  <si>
    <t>Sidney</t>
  </si>
  <si>
    <t>Veenstra</t>
  </si>
  <si>
    <t>98th</t>
  </si>
  <si>
    <t>Medina</t>
  </si>
  <si>
    <t>Converse</t>
  </si>
  <si>
    <t>Veljic</t>
  </si>
  <si>
    <t>Isen (Moxie)</t>
  </si>
  <si>
    <t>Metts</t>
  </si>
  <si>
    <t>Venner, Jr.</t>
  </si>
  <si>
    <t>Brownsville</t>
  </si>
  <si>
    <t>Meyer</t>
  </si>
  <si>
    <t>Bossier City</t>
  </si>
  <si>
    <t>Verner</t>
  </si>
  <si>
    <t>G. R.</t>
  </si>
  <si>
    <t>Bethel Park</t>
  </si>
  <si>
    <t>Middleton</t>
  </si>
  <si>
    <t>Alma</t>
  </si>
  <si>
    <t>Verrier</t>
  </si>
  <si>
    <t>Salem</t>
  </si>
  <si>
    <t>OR</t>
  </si>
  <si>
    <t>Mijal</t>
  </si>
  <si>
    <t>Vidrine</t>
  </si>
  <si>
    <t>Melissa "Missy"</t>
  </si>
  <si>
    <t>Viljanen</t>
  </si>
  <si>
    <t>Finland</t>
  </si>
  <si>
    <t>90th</t>
  </si>
  <si>
    <t>Villamor</t>
  </si>
  <si>
    <t>McAdoo</t>
  </si>
  <si>
    <t>Mills</t>
  </si>
  <si>
    <t>Villatoro</t>
  </si>
  <si>
    <t>Edgar</t>
  </si>
  <si>
    <t>Monteil</t>
  </si>
  <si>
    <t>Shawnee</t>
  </si>
  <si>
    <t>Villeda</t>
  </si>
  <si>
    <t>Ernesto</t>
  </si>
  <si>
    <t>Emily</t>
  </si>
  <si>
    <t>Vinson</t>
  </si>
  <si>
    <t>Vitali</t>
  </si>
  <si>
    <t>Marissa</t>
  </si>
  <si>
    <t>Morga</t>
  </si>
  <si>
    <t>Wade</t>
  </si>
  <si>
    <t>Women B Cricket Doubles</t>
  </si>
  <si>
    <t>Morley</t>
  </si>
  <si>
    <t>Waegemans</t>
  </si>
  <si>
    <t>Kokomo</t>
  </si>
  <si>
    <t>Cedric</t>
  </si>
  <si>
    <t>Belguim</t>
  </si>
  <si>
    <t>Womens AA Combo Luck</t>
  </si>
  <si>
    <t>Wagnor</t>
  </si>
  <si>
    <t>Morrison</t>
  </si>
  <si>
    <t>Margaret</t>
  </si>
  <si>
    <t>Warren</t>
  </si>
  <si>
    <t>Union Mills</t>
  </si>
  <si>
    <t>Waites</t>
  </si>
  <si>
    <t>Morton</t>
  </si>
  <si>
    <t>Waldrop</t>
  </si>
  <si>
    <t>Takelia</t>
  </si>
  <si>
    <t>DeWayne</t>
  </si>
  <si>
    <t>Texas City</t>
  </si>
  <si>
    <t>Walker</t>
  </si>
  <si>
    <t>Caeleigh</t>
  </si>
  <si>
    <t>Irvington</t>
  </si>
  <si>
    <t>Manhattan</t>
  </si>
  <si>
    <t>Willie</t>
  </si>
  <si>
    <t>Wallace</t>
  </si>
  <si>
    <t>Mounts</t>
  </si>
  <si>
    <t>Adger</t>
  </si>
  <si>
    <t>OFF AA IN 19</t>
  </si>
  <si>
    <t>Walsh</t>
  </si>
  <si>
    <t>Paula</t>
  </si>
  <si>
    <t>Orange Park</t>
  </si>
  <si>
    <t>Walton, Jr.</t>
  </si>
  <si>
    <t>Murray</t>
  </si>
  <si>
    <t>Walts</t>
  </si>
  <si>
    <t>Gene</t>
  </si>
  <si>
    <t>Myers</t>
  </si>
  <si>
    <t>Ward</t>
  </si>
  <si>
    <t>Nagel</t>
  </si>
  <si>
    <t>Miranda</t>
  </si>
  <si>
    <t>Rockwell City</t>
  </si>
  <si>
    <t>Ware</t>
  </si>
  <si>
    <t>Micheael</t>
  </si>
  <si>
    <t>Bessemer</t>
  </si>
  <si>
    <t>Glennrock</t>
  </si>
  <si>
    <t>Warhurst</t>
  </si>
  <si>
    <t>Millbrook</t>
  </si>
  <si>
    <t>Nessman</t>
  </si>
  <si>
    <t>Carolyn</t>
  </si>
  <si>
    <t>Warnock</t>
  </si>
  <si>
    <t>Marian</t>
  </si>
  <si>
    <t>Watanabe</t>
  </si>
  <si>
    <t>Youhi</t>
  </si>
  <si>
    <t>Niedosik</t>
  </si>
  <si>
    <t>Watkins</t>
  </si>
  <si>
    <t>Constantine</t>
  </si>
  <si>
    <t>Nielsen</t>
  </si>
  <si>
    <t>Wattimena</t>
  </si>
  <si>
    <t>Des Moines</t>
  </si>
  <si>
    <t>Nieto-Van Ham</t>
  </si>
  <si>
    <t>Waugh</t>
  </si>
  <si>
    <t>Channelview</t>
  </si>
  <si>
    <t>Nilson</t>
  </si>
  <si>
    <t>Crestview</t>
  </si>
  <si>
    <t>Waterville</t>
  </si>
  <si>
    <t>Nowak</t>
  </si>
  <si>
    <t>Jami</t>
  </si>
  <si>
    <t>Sheboygan</t>
  </si>
  <si>
    <t>Webb</t>
  </si>
  <si>
    <t>W. Portsmouth</t>
  </si>
  <si>
    <t>Oakley</t>
  </si>
  <si>
    <t>Regina</t>
  </si>
  <si>
    <t>Raleigh</t>
  </si>
  <si>
    <t>Webster</t>
  </si>
  <si>
    <t>OBrien</t>
  </si>
  <si>
    <t>O'hara</t>
  </si>
  <si>
    <t>Elizabeth</t>
  </si>
  <si>
    <t>Wei Li</t>
  </si>
  <si>
    <t>Chen</t>
  </si>
  <si>
    <t>Tracie</t>
  </si>
  <si>
    <t>Weiskopf</t>
  </si>
  <si>
    <t>Ortega</t>
  </si>
  <si>
    <t>Alyssa</t>
  </si>
  <si>
    <t>Wells</t>
  </si>
  <si>
    <t>Ostdiek</t>
  </si>
  <si>
    <t>Aimee</t>
  </si>
  <si>
    <t>Wen Kai</t>
  </si>
  <si>
    <t>Shen</t>
  </si>
  <si>
    <t>63rd</t>
  </si>
  <si>
    <t>Werner</t>
  </si>
  <si>
    <t>West</t>
  </si>
  <si>
    <t>Derrick</t>
  </si>
  <si>
    <t>Angelique</t>
  </si>
  <si>
    <t>Goodlettsville</t>
  </si>
  <si>
    <t>Palermo</t>
  </si>
  <si>
    <t>Susanne</t>
  </si>
  <si>
    <t>East Alton</t>
  </si>
  <si>
    <t>Panti</t>
  </si>
  <si>
    <t>Patterson</t>
  </si>
  <si>
    <t>Westra</t>
  </si>
  <si>
    <t>Phlox</t>
  </si>
  <si>
    <t>Payer</t>
  </si>
  <si>
    <t>Weymier</t>
  </si>
  <si>
    <t>Benita</t>
  </si>
  <si>
    <t>Whitaker</t>
  </si>
  <si>
    <t>Gina</t>
  </si>
  <si>
    <t>Fort Mohave</t>
  </si>
  <si>
    <t>Lake Wales</t>
  </si>
  <si>
    <t>White</t>
  </si>
  <si>
    <t>Picket</t>
  </si>
  <si>
    <t>Chicago</t>
  </si>
  <si>
    <t>Piersing</t>
  </si>
  <si>
    <t>Paw Paw</t>
  </si>
  <si>
    <t>Pitts</t>
  </si>
  <si>
    <t>Box Elder</t>
  </si>
  <si>
    <t>Plaehn</t>
  </si>
  <si>
    <t>Anja</t>
  </si>
  <si>
    <t>Whitlock</t>
  </si>
  <si>
    <t>Plantz</t>
  </si>
  <si>
    <t>Widmayer</t>
  </si>
  <si>
    <t>Wile</t>
  </si>
  <si>
    <t>Plaza Picon</t>
  </si>
  <si>
    <t>Nuria</t>
  </si>
  <si>
    <t>Wiles</t>
  </si>
  <si>
    <t>Levittown</t>
  </si>
  <si>
    <t>Asia Champ</t>
  </si>
  <si>
    <t>Pluff-Romero</t>
  </si>
  <si>
    <t>Maplewood</t>
  </si>
  <si>
    <t>Williams</t>
  </si>
  <si>
    <t>Tarpon Springs</t>
  </si>
  <si>
    <t>Marilyn</t>
  </si>
  <si>
    <t>Camden-Wyoming</t>
  </si>
  <si>
    <t>20TH</t>
  </si>
  <si>
    <t>Poppe</t>
  </si>
  <si>
    <t>Sally Frank</t>
  </si>
  <si>
    <t>Willis</t>
  </si>
  <si>
    <t>Shirley</t>
  </si>
  <si>
    <t>Wilson</t>
  </si>
  <si>
    <t>Proctor</t>
  </si>
  <si>
    <t>Osseo</t>
  </si>
  <si>
    <t>Jarrod</t>
  </si>
  <si>
    <t>Wilson Jr.</t>
  </si>
  <si>
    <t>Elmore</t>
  </si>
  <si>
    <t>Pulido</t>
  </si>
  <si>
    <t>Sofia</t>
  </si>
  <si>
    <t>Wimberly</t>
  </si>
  <si>
    <t>Purgold</t>
  </si>
  <si>
    <t>Jean</t>
  </si>
  <si>
    <t>Windham II</t>
  </si>
  <si>
    <t>Splendora</t>
  </si>
  <si>
    <t>Quinn</t>
  </si>
  <si>
    <t>Anne</t>
  </si>
  <si>
    <t>Winstanley</t>
  </si>
  <si>
    <t>Yvette</t>
  </si>
  <si>
    <t>Winters</t>
  </si>
  <si>
    <t>Raines</t>
  </si>
  <si>
    <t>Heidi</t>
  </si>
  <si>
    <t>Spirit Lake</t>
  </si>
  <si>
    <t>Witherby</t>
  </si>
  <si>
    <t>Kurtis</t>
  </si>
  <si>
    <t>Ralls</t>
  </si>
  <si>
    <t>Wnuk</t>
  </si>
  <si>
    <t>Wochok</t>
  </si>
  <si>
    <t>Janie</t>
  </si>
  <si>
    <t>Erika</t>
  </si>
  <si>
    <t>Cedar Creek</t>
  </si>
  <si>
    <t>Prattville</t>
  </si>
  <si>
    <t>Wollaston</t>
  </si>
  <si>
    <t>Rasmussen</t>
  </si>
  <si>
    <t>River Ridge</t>
  </si>
  <si>
    <t>Wolter</t>
  </si>
  <si>
    <t>Rasor</t>
  </si>
  <si>
    <t>Elisha</t>
  </si>
  <si>
    <t>Rausch</t>
  </si>
  <si>
    <t>Reynold</t>
  </si>
  <si>
    <t>Womack</t>
  </si>
  <si>
    <t>Lorelei</t>
  </si>
  <si>
    <t>San Mateo</t>
  </si>
  <si>
    <t>Woolfort</t>
  </si>
  <si>
    <t>Nikolaus</t>
  </si>
  <si>
    <t>Reardon</t>
  </si>
  <si>
    <t>Tamara</t>
  </si>
  <si>
    <t>Savannah</t>
  </si>
  <si>
    <t>Woong</t>
  </si>
  <si>
    <t>Reed</t>
  </si>
  <si>
    <t>Trina</t>
  </si>
  <si>
    <t>Wootten</t>
  </si>
  <si>
    <t>Clifford</t>
  </si>
  <si>
    <t>Reymer</t>
  </si>
  <si>
    <t>Workman</t>
  </si>
  <si>
    <t>Reynolds-Cole</t>
  </si>
  <si>
    <t>Shea</t>
  </si>
  <si>
    <t>Round Rock</t>
  </si>
  <si>
    <t>Worlock</t>
  </si>
  <si>
    <t>Carla</t>
  </si>
  <si>
    <t>Wright</t>
  </si>
  <si>
    <t>Cheyenne</t>
  </si>
  <si>
    <t>Richey</t>
  </si>
  <si>
    <t>Wyckoff</t>
  </si>
  <si>
    <t>Elyria</t>
  </si>
  <si>
    <t>Rinear</t>
  </si>
  <si>
    <t>Southgate</t>
  </si>
  <si>
    <t>Yamaguchi</t>
  </si>
  <si>
    <t>Yuriko</t>
  </si>
  <si>
    <t>Ripol</t>
  </si>
  <si>
    <t>Renee</t>
  </si>
  <si>
    <t>Rock</t>
  </si>
  <si>
    <t>Yanock</t>
  </si>
  <si>
    <t>Jenica</t>
  </si>
  <si>
    <t>Frisco</t>
  </si>
  <si>
    <t>Yasenchak</t>
  </si>
  <si>
    <t>Rourke</t>
  </si>
  <si>
    <t>Ybanez</t>
  </si>
  <si>
    <t>Benedicto</t>
  </si>
  <si>
    <t>Roush</t>
  </si>
  <si>
    <t>Brenda</t>
  </si>
  <si>
    <t>Yeast</t>
  </si>
  <si>
    <t>Rubenzer</t>
  </si>
  <si>
    <t>Yin</t>
  </si>
  <si>
    <t>Deng</t>
  </si>
  <si>
    <t>Chippewa</t>
  </si>
  <si>
    <t>China</t>
  </si>
  <si>
    <t>Yoder</t>
  </si>
  <si>
    <t>Russo</t>
  </si>
  <si>
    <t>Cottingswood</t>
  </si>
  <si>
    <t>Jefferson Hills</t>
  </si>
  <si>
    <t>Young</t>
  </si>
  <si>
    <t>Darin</t>
  </si>
  <si>
    <t>Rutherford</t>
  </si>
  <si>
    <t>Diana</t>
  </si>
  <si>
    <t>Lawrenceville</t>
  </si>
  <si>
    <t>Sacik</t>
  </si>
  <si>
    <t>New Castle</t>
  </si>
  <si>
    <t>Shelley</t>
  </si>
  <si>
    <t>Geneva</t>
  </si>
  <si>
    <t>Samples</t>
  </si>
  <si>
    <t>Cordova</t>
  </si>
  <si>
    <t>Mica</t>
  </si>
  <si>
    <t>Sand</t>
  </si>
  <si>
    <t>Barbara</t>
  </si>
  <si>
    <t>Yuan Ning</t>
  </si>
  <si>
    <t>Zhang</t>
  </si>
  <si>
    <t>Sanford</t>
  </si>
  <si>
    <t>Yueh Hsun</t>
  </si>
  <si>
    <t>Chang</t>
  </si>
  <si>
    <t>Sasser</t>
  </si>
  <si>
    <t>Zellner</t>
  </si>
  <si>
    <t>Satterfield</t>
  </si>
  <si>
    <t>Mary-Margaret</t>
  </si>
  <si>
    <t>Zolfaghari</t>
  </si>
  <si>
    <t>Scantlen</t>
  </si>
  <si>
    <t>Cassandra</t>
  </si>
  <si>
    <t>Zurick</t>
  </si>
  <si>
    <t>South Elgin</t>
  </si>
  <si>
    <t>Scheppele</t>
  </si>
  <si>
    <t>Schlosser</t>
  </si>
  <si>
    <t>Kristin</t>
  </si>
  <si>
    <t>Schommer</t>
  </si>
  <si>
    <t>Schraeder</t>
  </si>
  <si>
    <t>Schwinn</t>
  </si>
  <si>
    <t>Sheboygan Falls</t>
  </si>
  <si>
    <t>Lorrie</t>
  </si>
  <si>
    <t>Septak</t>
  </si>
  <si>
    <t>Shelton</t>
  </si>
  <si>
    <t>Shepherd</t>
  </si>
  <si>
    <t>Renelle</t>
  </si>
  <si>
    <t>Carrollton</t>
  </si>
  <si>
    <t>Shickle</t>
  </si>
  <si>
    <t>Shari Ann</t>
  </si>
  <si>
    <t>Blairsville</t>
  </si>
  <si>
    <t>Shook</t>
  </si>
  <si>
    <t>Simonsen</t>
  </si>
  <si>
    <t>Mt. Pleasant</t>
  </si>
  <si>
    <t>Christine</t>
  </si>
  <si>
    <t>Duke Center</t>
  </si>
  <si>
    <t>Solis</t>
  </si>
  <si>
    <t>Carolanne</t>
  </si>
  <si>
    <t>Solomon</t>
  </si>
  <si>
    <t>Kristie</t>
  </si>
  <si>
    <t>Lima</t>
  </si>
  <si>
    <t>Sonntag</t>
  </si>
  <si>
    <t>Soto</t>
  </si>
  <si>
    <t>Sparrow</t>
  </si>
  <si>
    <t>Ny Regional 32</t>
  </si>
  <si>
    <t>Dorothy</t>
  </si>
  <si>
    <t>Spicer</t>
  </si>
  <si>
    <t>Coral</t>
  </si>
  <si>
    <t>Spot</t>
  </si>
  <si>
    <t>Abby</t>
  </si>
  <si>
    <t>New Richmond</t>
  </si>
  <si>
    <t>Spott</t>
  </si>
  <si>
    <t>Stamm</t>
  </si>
  <si>
    <t>Bethany</t>
  </si>
  <si>
    <t>Steele</t>
  </si>
  <si>
    <t>Memphis</t>
  </si>
  <si>
    <t>Stein</t>
  </si>
  <si>
    <t>Geri</t>
  </si>
  <si>
    <t>Midlothian</t>
  </si>
  <si>
    <t>Stephens</t>
  </si>
  <si>
    <t>New Carlisle</t>
  </si>
  <si>
    <t>Stockton</t>
  </si>
  <si>
    <t>Corrine</t>
  </si>
  <si>
    <t>Strauch</t>
  </si>
  <si>
    <t>Bianca</t>
  </si>
  <si>
    <t>Strayer</t>
  </si>
  <si>
    <t>Kirstie</t>
  </si>
  <si>
    <t>Hollidaysburg</t>
  </si>
  <si>
    <t>Theresa</t>
  </si>
  <si>
    <t>Surrency</t>
  </si>
  <si>
    <t>Keri</t>
  </si>
  <si>
    <t>Plant City</t>
  </si>
  <si>
    <t>Sutton</t>
  </si>
  <si>
    <t>Anita</t>
  </si>
  <si>
    <t>Ft. Worth</t>
  </si>
  <si>
    <t>Teeter</t>
  </si>
  <si>
    <t>Cathie</t>
  </si>
  <si>
    <t>Sherry</t>
  </si>
  <si>
    <t>Holly</t>
  </si>
  <si>
    <t>Lotte</t>
  </si>
  <si>
    <t>Timmins</t>
  </si>
  <si>
    <t>Trach</t>
  </si>
  <si>
    <t>Roni</t>
  </si>
  <si>
    <t>Bridgeville</t>
  </si>
  <si>
    <t>SC Regonal 32</t>
  </si>
  <si>
    <t>Troger</t>
  </si>
  <si>
    <t>Daniela</t>
  </si>
  <si>
    <t>GERMANY</t>
  </si>
  <si>
    <t>Bobby Jo</t>
  </si>
  <si>
    <t>Tynan</t>
  </si>
  <si>
    <t>Uhinck</t>
  </si>
  <si>
    <t>Marin</t>
  </si>
  <si>
    <t>Marble Head</t>
  </si>
  <si>
    <t>Van De Kasteele</t>
  </si>
  <si>
    <t>Van Der Pal</t>
  </si>
  <si>
    <t>Eva</t>
  </si>
  <si>
    <t>Van Houdt</t>
  </si>
  <si>
    <t>Casey</t>
  </si>
  <si>
    <t>Betty</t>
  </si>
  <si>
    <t>Van Tassel</t>
  </si>
  <si>
    <t>Roxanne</t>
  </si>
  <si>
    <t>22ND</t>
  </si>
  <si>
    <t>Vasenda</t>
  </si>
  <si>
    <t>West Jordan</t>
  </si>
  <si>
    <t>UT</t>
  </si>
  <si>
    <t>Vitale</t>
  </si>
  <si>
    <t>Vista</t>
  </si>
  <si>
    <t>Vocaty</t>
  </si>
  <si>
    <t>Walz</t>
  </si>
  <si>
    <t>Patty</t>
  </si>
  <si>
    <t>Waters</t>
  </si>
  <si>
    <t>Watson</t>
  </si>
  <si>
    <t>Weger</t>
  </si>
  <si>
    <t>Welty</t>
  </si>
  <si>
    <t>Celena</t>
  </si>
  <si>
    <t>Littletown</t>
  </si>
  <si>
    <t>Cali</t>
  </si>
  <si>
    <t>Whaley-Hilts</t>
  </si>
  <si>
    <t>10TH</t>
  </si>
  <si>
    <t>Kayli</t>
  </si>
  <si>
    <t>DeKalb</t>
  </si>
  <si>
    <t>Whitley</t>
  </si>
  <si>
    <t>Whitson</t>
  </si>
  <si>
    <t>Wickersham</t>
  </si>
  <si>
    <t>McQueeney</t>
  </si>
  <si>
    <t>Wieshlow</t>
  </si>
  <si>
    <t>Ivy</t>
  </si>
  <si>
    <t>24TH</t>
  </si>
  <si>
    <t>Windona</t>
  </si>
  <si>
    <t>Windsor</t>
  </si>
  <si>
    <t>Helen</t>
  </si>
  <si>
    <t>Bethalto</t>
  </si>
  <si>
    <t>Kandi</t>
  </si>
  <si>
    <t>Womble</t>
  </si>
  <si>
    <t>Menasha</t>
  </si>
  <si>
    <t>Marquise</t>
  </si>
  <si>
    <t>Taylor Mill</t>
  </si>
  <si>
    <t>Wyatt</t>
  </si>
  <si>
    <t>Yee</t>
  </si>
  <si>
    <t>Tracey</t>
  </si>
  <si>
    <t>Maryland Hts</t>
  </si>
  <si>
    <t>Zenner</t>
  </si>
  <si>
    <t>Ziegler</t>
  </si>
  <si>
    <t>Wentzville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</si>
</sst>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m-d-yyyy"/>
  </numFmts>
  <fonts count="7">
    <font>
      <sz val="11.0"/>
      <color rgb="FF000000"/>
      <name val="Calibri"/>
    </font>
    <font>
      <b/>
      <sz val="24.0"/>
      <color rgb="FF000000"/>
      <name val="Calibri"/>
    </font>
    <font>
      <sz val="12.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b/>
      <sz val="11.0"/>
      <color rgb="FF000000"/>
      <name val="Calibri"/>
    </font>
    <font>
      <sz val="11.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4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center"/>
    </xf>
    <xf borderId="0" fillId="0" fontId="2" numFmtId="0" xfId="0" applyAlignment="1" applyFont="1">
      <alignment horizontal="center"/>
    </xf>
    <xf borderId="0" fillId="0" fontId="2" numFmtId="0" xfId="0" applyFont="1"/>
    <xf borderId="1" fillId="2" fontId="3" numFmtId="0" xfId="0" applyAlignment="1" applyBorder="1" applyFill="1" applyFont="1">
      <alignment horizontal="center"/>
    </xf>
    <xf borderId="1" fillId="3" fontId="3" numFmtId="0" xfId="0" applyAlignment="1" applyBorder="1" applyFill="1" applyFont="1">
      <alignment horizontal="center"/>
    </xf>
    <xf borderId="0" fillId="0" fontId="4" numFmtId="0" xfId="0" applyAlignment="1" applyFont="1">
      <alignment horizontal="center" readingOrder="0"/>
    </xf>
    <xf borderId="0" fillId="4" fontId="3" numFmtId="0" xfId="0" applyFill="1" applyFont="1"/>
    <xf borderId="0" fillId="0" fontId="4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0" fillId="0" fontId="4" numFmtId="14" xfId="0" applyAlignment="1" applyFont="1" applyNumberFormat="1">
      <alignment horizontal="center" shrinkToFit="0" wrapText="1"/>
    </xf>
    <xf borderId="0" fillId="0" fontId="4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4" numFmtId="14" xfId="0" applyAlignment="1" applyFont="1" applyNumberFormat="1">
      <alignment horizontal="center" readingOrder="0" shrinkToFit="0" vertical="bottom" wrapText="0"/>
    </xf>
    <xf borderId="0" fillId="0" fontId="4" numFmtId="164" xfId="0" applyAlignment="1" applyFont="1" applyNumberFormat="1">
      <alignment horizontal="center" readingOrder="0" shrinkToFit="0" vertical="bottom" wrapText="0"/>
    </xf>
    <xf borderId="0" fillId="0" fontId="4" numFmtId="0" xfId="0" applyAlignment="1" applyFont="1">
      <alignment horizontal="right" readingOrder="0"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0" fillId="0" fontId="2" numFmtId="0" xfId="0" applyAlignment="1" applyFont="1">
      <alignment horizontal="center" readingOrder="0"/>
    </xf>
    <xf borderId="0" fillId="0" fontId="4" numFmtId="0" xfId="0" applyAlignment="1" applyFont="1">
      <alignment vertical="center"/>
    </xf>
    <xf borderId="0" fillId="0" fontId="3" numFmtId="164" xfId="0" applyAlignment="1" applyFont="1" applyNumberFormat="1">
      <alignment horizontal="center" readingOrder="0"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0" fontId="3" numFmtId="0" xfId="0" applyFont="1"/>
    <xf borderId="2" fillId="3" fontId="3" numFmtId="0" xfId="0" applyAlignment="1" applyBorder="1" applyFont="1">
      <alignment horizontal="center" vertical="bottom"/>
    </xf>
    <xf borderId="3" fillId="3" fontId="3" numFmtId="0" xfId="0" applyAlignment="1" applyBorder="1" applyFont="1">
      <alignment horizontal="center" vertical="bottom"/>
    </xf>
    <xf borderId="3" fillId="3" fontId="3" numFmtId="0" xfId="0" applyAlignment="1" applyBorder="1" applyFont="1">
      <alignment horizontal="center" vertical="bottom"/>
    </xf>
    <xf borderId="0" fillId="0" fontId="5" numFmtId="0" xfId="0" applyAlignment="1" applyFont="1">
      <alignment vertical="bottom"/>
    </xf>
    <xf borderId="0" fillId="0" fontId="0" numFmtId="0" xfId="0" applyAlignment="1" applyFont="1">
      <alignment vertical="bottom"/>
    </xf>
    <xf borderId="0" fillId="0" fontId="0" numFmtId="14" xfId="0" applyAlignment="1" applyFont="1" applyNumberFormat="1">
      <alignment horizontal="right" vertical="bottom"/>
    </xf>
    <xf borderId="0" fillId="0" fontId="6" numFmtId="14" xfId="0" applyAlignment="1" applyFont="1" applyNumberFormat="1">
      <alignment vertical="bottom"/>
    </xf>
    <xf borderId="0" fillId="0" fontId="0" numFmtId="164" xfId="0" applyAlignment="1" applyFont="1" applyNumberFormat="1">
      <alignment horizontal="right" vertical="bottom"/>
    </xf>
    <xf borderId="0" fillId="0" fontId="0" numFmtId="0" xfId="0" applyAlignment="1" applyFont="1">
      <alignment horizontal="right" vertical="bottom"/>
    </xf>
    <xf borderId="0" fillId="0" fontId="6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0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0" fontId="6" numFmtId="164" xfId="0" applyAlignment="1" applyFont="1" applyNumberFormat="1">
      <alignment vertical="bottom"/>
    </xf>
    <xf borderId="0" fillId="0" fontId="0" numFmtId="0" xfId="0" applyAlignment="1" applyFont="1">
      <alignment horizontal="right" vertical="bottom"/>
    </xf>
    <xf borderId="2" fillId="3" fontId="3" numFmtId="0" xfId="0" applyAlignment="1" applyBorder="1" applyFont="1">
      <alignment vertical="bottom"/>
    </xf>
    <xf borderId="3" fillId="3" fontId="3" numFmtId="0" xfId="0" applyAlignment="1" applyBorder="1" applyFont="1">
      <alignment vertical="bottom"/>
    </xf>
    <xf borderId="3" fillId="3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4" numFmtId="14" xfId="0" applyAlignment="1" applyFont="1" applyNumberFormat="1">
      <alignment vertical="bottom"/>
    </xf>
    <xf borderId="0" fillId="0" fontId="4" numFmtId="164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6" numFmtId="165" xfId="0" applyAlignment="1" applyFont="1" applyNumberFormat="1">
      <alignment vertical="bottom"/>
    </xf>
    <xf borderId="0" fillId="0" fontId="2" numFmtId="165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4" numFmtId="0" xfId="0" applyAlignment="1" applyFont="1">
      <alignment horizontal="left" readingOrder="0" shrinkToFit="0" wrapText="1"/>
    </xf>
    <xf borderId="0" fillId="0" fontId="2" numFmtId="0" xfId="0" applyAlignment="1" applyFont="1">
      <alignment readingOrder="0"/>
    </xf>
    <xf borderId="0" fillId="0" fontId="4" numFmtId="14" xfId="0" applyAlignment="1" applyFont="1" applyNumberFormat="1">
      <alignment horizontal="center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3" width="21.57"/>
    <col customWidth="1" min="4" max="5" width="14.43"/>
    <col customWidth="1" min="6" max="6" width="35.86"/>
    <col customWidth="1" min="7" max="7" width="14.43"/>
    <col customWidth="1" min="8" max="8" width="25.86"/>
    <col customWidth="1" min="9" max="11" width="14.43"/>
    <col customWidth="1" min="12" max="26" width="8.71"/>
  </cols>
  <sheetData>
    <row r="1" ht="37.5" customHeight="1">
      <c r="A1" s="1" t="s">
        <v>2</v>
      </c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4" t="str">
        <f>IFERROR(__xludf.DUMMYFUNCTION("query('MENS PRO  AA'!A2:L1203,""select A, B, C, D, E, F, G, H, I, K WHERE L = 1 ORDER BY A ASC"",1)"),"LAST")</f>
        <v>LAST</v>
      </c>
      <c r="B2" s="5" t="str">
        <f>IFERROR(__xludf.DUMMYFUNCTION("""COMPUTED_VALUE"""),"FIRST")</f>
        <v>FIRST</v>
      </c>
      <c r="C2" s="5" t="str">
        <f>IFERROR(__xludf.DUMMYFUNCTION("""COMPUTED_VALUE"""),"CITY")</f>
        <v>CITY</v>
      </c>
      <c r="D2" s="5" t="str">
        <f>IFERROR(__xludf.DUMMYFUNCTION("""COMPUTED_VALUE"""),"STATE")</f>
        <v>STATE</v>
      </c>
      <c r="E2" s="5" t="str">
        <f>IFERROR(__xludf.DUMMYFUNCTION("""COMPUTED_VALUE"""),"COUNTRY")</f>
        <v>COUNTRY</v>
      </c>
      <c r="F2" s="5" t="str">
        <f>IFERROR(__xludf.DUMMYFUNCTION("""COMPUTED_VALUE"""),"EVENT")</f>
        <v>EVENT</v>
      </c>
      <c r="G2" s="5" t="str">
        <f>IFERROR(__xludf.DUMMYFUNCTION("""COMPUTED_VALUE"""),"PLACE")</f>
        <v>PLACE</v>
      </c>
      <c r="H2" s="5" t="str">
        <f>IFERROR(__xludf.DUMMYFUNCTION("""COMPUTED_VALUE"""),"LOCATION")</f>
        <v>LOCATION</v>
      </c>
      <c r="I2" s="5" t="str">
        <f>IFERROR(__xludf.DUMMYFUNCTION("""COMPUTED_VALUE"""),"ON LIST")</f>
        <v>ON LIST</v>
      </c>
      <c r="J2" s="5" t="str">
        <f>IFERROR(__xludf.DUMMYFUNCTION("""COMPUTED_VALUE"""),"OFF PRO LIST")</f>
        <v>OFF PRO LIST</v>
      </c>
      <c r="K2" s="6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9" t="str">
        <f>IFERROR(__xludf.DUMMYFUNCTION("""COMPUTED_VALUE"""),"Abboud")</f>
        <v>Abboud</v>
      </c>
      <c r="B3" s="8" t="str">
        <f>IFERROR(__xludf.DUMMYFUNCTION("""COMPUTED_VALUE"""),"Michael")</f>
        <v>Michael</v>
      </c>
      <c r="C3" s="8" t="str">
        <f>IFERROR(__xludf.DUMMYFUNCTION("""COMPUTED_VALUE"""),"Drums")</f>
        <v>Drums</v>
      </c>
      <c r="D3" s="8" t="str">
        <f>IFERROR(__xludf.DUMMYFUNCTION("""COMPUTED_VALUE"""),"PA")</f>
        <v>PA</v>
      </c>
      <c r="E3" s="8" t="str">
        <f>IFERROR(__xludf.DUMMYFUNCTION("""COMPUTED_VALUE"""),"USA")</f>
        <v>USA</v>
      </c>
      <c r="F3" s="8" t="str">
        <f>IFERROR(__xludf.DUMMYFUNCTION("""COMPUTED_VALUE"""),"Pro/AA Top Gun Triples")</f>
        <v>Pro/AA Top Gun Triples</v>
      </c>
      <c r="G3" s="8" t="str">
        <f>IFERROR(__xludf.DUMMYFUNCTION("""COMPUTED_VALUE"""),"3rd")</f>
        <v>3rd</v>
      </c>
      <c r="H3" s="8" t="str">
        <f>IFERROR(__xludf.DUMMYFUNCTION("""COMPUTED_VALUE"""),"Known Ability")</f>
        <v>Known Ability</v>
      </c>
      <c r="I3" s="10">
        <f>IFERROR(__xludf.DUMMYFUNCTION("""COMPUTED_VALUE"""),40330.0)</f>
        <v>40330</v>
      </c>
      <c r="J3" s="10">
        <f>IFERROR(__xludf.DUMMYFUNCTION("""COMPUTED_VALUE"""),45809.0)</f>
        <v>45809</v>
      </c>
      <c r="K3" s="1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9" t="str">
        <f>IFERROR(__xludf.DUMMYFUNCTION("""COMPUTED_VALUE"""),"Abe")</f>
        <v>Abe</v>
      </c>
      <c r="B4" s="8" t="str">
        <f>IFERROR(__xludf.DUMMYFUNCTION("""COMPUTED_VALUE"""),"Shigeya")</f>
        <v>Shigeya</v>
      </c>
      <c r="C4" s="8" t="str">
        <f>IFERROR(__xludf.DUMMYFUNCTION("""COMPUTED_VALUE"""),"")</f>
        <v/>
      </c>
      <c r="D4" s="8" t="str">
        <f>IFERROR(__xludf.DUMMYFUNCTION("""COMPUTED_VALUE"""),"UNK")</f>
        <v>UNK</v>
      </c>
      <c r="E4" s="8" t="str">
        <f>IFERROR(__xludf.DUMMYFUNCTION("""COMPUTED_VALUE"""),"Japan")</f>
        <v>Japan</v>
      </c>
      <c r="F4" s="8" t="str">
        <f>IFERROR(__xludf.DUMMYFUNCTION("""COMPUTED_VALUE"""),"DL")</f>
        <v>DL</v>
      </c>
      <c r="G4" s="8" t="str">
        <f>IFERROR(__xludf.DUMMYFUNCTION("""COMPUTED_VALUE"""),"30th")</f>
        <v>30th</v>
      </c>
      <c r="H4" s="8" t="str">
        <f>IFERROR(__xludf.DUMMYFUNCTION("""COMPUTED_VALUE"""),"DL")</f>
        <v>DL</v>
      </c>
      <c r="I4" s="10">
        <f>IFERROR(__xludf.DUMMYFUNCTION("""COMPUTED_VALUE"""),42767.0)</f>
        <v>42767</v>
      </c>
      <c r="J4" s="10">
        <f>IFERROR(__xludf.DUMMYFUNCTION("""COMPUTED_VALUE"""),43983.0)</f>
        <v>43983</v>
      </c>
      <c r="K4" s="1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9" t="str">
        <f>IFERROR(__xludf.DUMMYFUNCTION("""COMPUTED_VALUE"""),"Adams")</f>
        <v>Adams</v>
      </c>
      <c r="B5" s="8" t="str">
        <f>IFERROR(__xludf.DUMMYFUNCTION("""COMPUTED_VALUE"""),"Gary")</f>
        <v>Gary</v>
      </c>
      <c r="C5" s="8" t="str">
        <f>IFERROR(__xludf.DUMMYFUNCTION("""COMPUTED_VALUE"""),"Dearborn")</f>
        <v>Dearborn</v>
      </c>
      <c r="D5" s="8" t="str">
        <f>IFERROR(__xludf.DUMMYFUNCTION("""COMPUTED_VALUE"""),"MI")</f>
        <v>MI</v>
      </c>
      <c r="E5" s="8" t="str">
        <f>IFERROR(__xludf.DUMMYFUNCTION("""COMPUTED_VALUE"""),"USA")</f>
        <v>USA</v>
      </c>
      <c r="F5" s="8" t="str">
        <f>IFERROR(__xludf.DUMMYFUNCTION("""COMPUTED_VALUE"""),"Men Doubles Cricket")</f>
        <v>Men Doubles Cricket</v>
      </c>
      <c r="G5" s="8" t="str">
        <f>IFERROR(__xludf.DUMMYFUNCTION("""COMPUTED_VALUE"""),"1st")</f>
        <v>1st</v>
      </c>
      <c r="H5" s="8" t="str">
        <f>IFERROR(__xludf.DUMMYFUNCTION("""COMPUTED_VALUE"""),"Indiana BS 34")</f>
        <v>Indiana BS 34</v>
      </c>
      <c r="I5" s="10">
        <f>IFERROR(__xludf.DUMMYFUNCTION("""COMPUTED_VALUE"""),43617.0)</f>
        <v>43617</v>
      </c>
      <c r="J5" s="10">
        <f>IFERROR(__xludf.DUMMYFUNCTION("""COMPUTED_VALUE"""),44713.0)</f>
        <v>44713</v>
      </c>
      <c r="K5" s="11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9" t="str">
        <f>IFERROR(__xludf.DUMMYFUNCTION("""COMPUTED_VALUE"""),"Adams")</f>
        <v>Adams</v>
      </c>
      <c r="B6" s="8" t="str">
        <f>IFERROR(__xludf.DUMMYFUNCTION("""COMPUTED_VALUE"""),"Martin")</f>
        <v>Martin</v>
      </c>
      <c r="C6" s="8" t="str">
        <f>IFERROR(__xludf.DUMMYFUNCTION("""COMPUTED_VALUE"""),"")</f>
        <v/>
      </c>
      <c r="D6" s="8" t="str">
        <f>IFERROR(__xludf.DUMMYFUNCTION("""COMPUTED_VALUE"""),"UNK")</f>
        <v>UNK</v>
      </c>
      <c r="E6" s="8" t="str">
        <f>IFERROR(__xludf.DUMMYFUNCTION("""COMPUTED_VALUE"""),"England")</f>
        <v>England</v>
      </c>
      <c r="F6" s="8" t="str">
        <f>IFERROR(__xludf.DUMMYFUNCTION("""COMPUTED_VALUE"""),"PDC Merit Ranking")</f>
        <v>PDC Merit Ranking</v>
      </c>
      <c r="G6" s="8" t="str">
        <f>IFERROR(__xludf.DUMMYFUNCTION("""COMPUTED_VALUE"""),"40th")</f>
        <v>40th</v>
      </c>
      <c r="H6" s="8" t="str">
        <f>IFERROR(__xludf.DUMMYFUNCTION("""COMPUTED_VALUE"""),"PDC Merit Ranking")</f>
        <v>PDC Merit Ranking</v>
      </c>
      <c r="I6" s="10">
        <f>IFERROR(__xludf.DUMMYFUNCTION("""COMPUTED_VALUE"""),42401.0)</f>
        <v>42401</v>
      </c>
      <c r="J6" s="10">
        <f>IFERROR(__xludf.DUMMYFUNCTION("""COMPUTED_VALUE"""),44713.0)</f>
        <v>44713</v>
      </c>
      <c r="K6" s="1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A7" s="9" t="str">
        <f>IFERROR(__xludf.DUMMYFUNCTION("""COMPUTED_VALUE"""),"Adams")</f>
        <v>Adams</v>
      </c>
      <c r="B7" s="8" t="str">
        <f>IFERROR(__xludf.DUMMYFUNCTION("""COMPUTED_VALUE"""),"Tim")</f>
        <v>Tim</v>
      </c>
      <c r="C7" s="8" t="str">
        <f>IFERROR(__xludf.DUMMYFUNCTION("""COMPUTED_VALUE"""),"Ruskin")</f>
        <v>Ruskin</v>
      </c>
      <c r="D7" s="8" t="str">
        <f>IFERROR(__xludf.DUMMYFUNCTION("""COMPUTED_VALUE"""),"FL")</f>
        <v>FL</v>
      </c>
      <c r="E7" s="8" t="str">
        <f>IFERROR(__xludf.DUMMYFUNCTION("""COMPUTED_VALUE"""),"USA")</f>
        <v>USA</v>
      </c>
      <c r="F7" s="8" t="str">
        <f>IFERROR(__xludf.DUMMYFUNCTION("""COMPUTED_VALUE"""),"Pro Doubles")</f>
        <v>Pro Doubles</v>
      </c>
      <c r="G7" s="8" t="str">
        <f>IFERROR(__xludf.DUMMYFUNCTION("""COMPUTED_VALUE"""),"2nd")</f>
        <v>2nd</v>
      </c>
      <c r="H7" s="8" t="str">
        <f>IFERROR(__xludf.DUMMYFUNCTION("""COMPUTED_VALUE"""),"FL Regional 33")</f>
        <v>FL Regional 33</v>
      </c>
      <c r="I7" s="10">
        <f>IFERROR(__xludf.DUMMYFUNCTION("""COMPUTED_VALUE"""),43252.0)</f>
        <v>43252</v>
      </c>
      <c r="J7" s="10">
        <f>IFERROR(__xludf.DUMMYFUNCTION("""COMPUTED_VALUE"""),44348.0)</f>
        <v>44348</v>
      </c>
      <c r="K7" s="11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9" t="str">
        <f>IFERROR(__xludf.DUMMYFUNCTION("""COMPUTED_VALUE"""),"Ahlers")</f>
        <v>Ahlers</v>
      </c>
      <c r="B8" s="8" t="str">
        <f>IFERROR(__xludf.DUMMYFUNCTION("""COMPUTED_VALUE"""),"Gabriel")</f>
        <v>Gabriel</v>
      </c>
      <c r="C8" s="8" t="str">
        <f>IFERROR(__xludf.DUMMYFUNCTION("""COMPUTED_VALUE"""),"Louisville")</f>
        <v>Louisville</v>
      </c>
      <c r="D8" s="8" t="str">
        <f>IFERROR(__xludf.DUMMYFUNCTION("""COMPUTED_VALUE"""),"NE")</f>
        <v>NE</v>
      </c>
      <c r="E8" s="8" t="str">
        <f>IFERROR(__xludf.DUMMYFUNCTION("""COMPUTED_VALUE"""),"USA")</f>
        <v>USA</v>
      </c>
      <c r="F8" s="8" t="str">
        <f>IFERROR(__xludf.DUMMYFUNCTION("""COMPUTED_VALUE"""),"Men Doubles 501")</f>
        <v>Men Doubles 501</v>
      </c>
      <c r="G8" s="8" t="str">
        <f>IFERROR(__xludf.DUMMYFUNCTION("""COMPUTED_VALUE"""),"3rd")</f>
        <v>3rd</v>
      </c>
      <c r="H8" s="8" t="str">
        <f>IFERROR(__xludf.DUMMYFUNCTION("""COMPUTED_VALUE"""),"Nebraska BS 34")</f>
        <v>Nebraska BS 34</v>
      </c>
      <c r="I8" s="10">
        <f>IFERROR(__xludf.DUMMYFUNCTION("""COMPUTED_VALUE"""),43617.0)</f>
        <v>43617</v>
      </c>
      <c r="J8" s="10">
        <f>IFERROR(__xludf.DUMMYFUNCTION("""COMPUTED_VALUE"""),44713.0)</f>
        <v>44713</v>
      </c>
      <c r="K8" s="1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4.25" customHeight="1">
      <c r="A9" s="9" t="str">
        <f>IFERROR(__xludf.DUMMYFUNCTION("""COMPUTED_VALUE"""),"Ahmad")</f>
        <v>Ahmad</v>
      </c>
      <c r="B9" s="8" t="str">
        <f>IFERROR(__xludf.DUMMYFUNCTION("""COMPUTED_VALUE"""),"Kamarudin")</f>
        <v>Kamarudin</v>
      </c>
      <c r="C9" s="8" t="str">
        <f>IFERROR(__xludf.DUMMYFUNCTION("""COMPUTED_VALUE"""),"")</f>
        <v/>
      </c>
      <c r="D9" s="8" t="str">
        <f>IFERROR(__xludf.DUMMYFUNCTION("""COMPUTED_VALUE"""),"UNK")</f>
        <v>UNK</v>
      </c>
      <c r="E9" s="8" t="str">
        <f>IFERROR(__xludf.DUMMYFUNCTION("""COMPUTED_VALUE"""),"Singapore")</f>
        <v>Singapore</v>
      </c>
      <c r="F9" s="8" t="str">
        <f>IFERROR(__xludf.DUMMYFUNCTION("""COMPUTED_VALUE"""),"DL")</f>
        <v>DL</v>
      </c>
      <c r="G9" s="8" t="str">
        <f>IFERROR(__xludf.DUMMYFUNCTION("""COMPUTED_VALUE"""),"81st")</f>
        <v>81st</v>
      </c>
      <c r="H9" s="8" t="str">
        <f>IFERROR(__xludf.DUMMYFUNCTION("""COMPUTED_VALUE"""),"DL")</f>
        <v>DL</v>
      </c>
      <c r="I9" s="10">
        <f>IFERROR(__xludf.DUMMYFUNCTION("""COMPUTED_VALUE"""),42401.0)</f>
        <v>42401</v>
      </c>
      <c r="J9" s="10">
        <f>IFERROR(__xludf.DUMMYFUNCTION("""COMPUTED_VALUE"""),44713.0)</f>
        <v>44713</v>
      </c>
      <c r="K9" s="1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customHeight="1">
      <c r="A10" s="9" t="str">
        <f>IFERROR(__xludf.DUMMYFUNCTION("""COMPUTED_VALUE"""),"Ajodha")</f>
        <v>Ajodha</v>
      </c>
      <c r="B10" s="8" t="str">
        <f>IFERROR(__xludf.DUMMYFUNCTION("""COMPUTED_VALUE"""),"Khadar")</f>
        <v>Khadar</v>
      </c>
      <c r="C10" s="8" t="str">
        <f>IFERROR(__xludf.DUMMYFUNCTION("""COMPUTED_VALUE"""),"")</f>
        <v/>
      </c>
      <c r="D10" s="8" t="str">
        <f>IFERROR(__xludf.DUMMYFUNCTION("""COMPUTED_VALUE"""),"")</f>
        <v/>
      </c>
      <c r="E10" s="8" t="str">
        <f>IFERROR(__xludf.DUMMYFUNCTION("""COMPUTED_VALUE"""),"Canada")</f>
        <v>Canada</v>
      </c>
      <c r="F10" s="8" t="str">
        <f>IFERROR(__xludf.DUMMYFUNCTION("""COMPUTED_VALUE"""),"Pro/Am Cricket")</f>
        <v>Pro/Am Cricket</v>
      </c>
      <c r="G10" s="8" t="str">
        <f>IFERROR(__xludf.DUMMYFUNCTION("""COMPUTED_VALUE"""),"3rd")</f>
        <v>3rd</v>
      </c>
      <c r="H10" s="8" t="str">
        <f>IFERROR(__xludf.DUMMYFUNCTION("""COMPUTED_VALUE"""),"NY Regional 33")</f>
        <v>NY Regional 33</v>
      </c>
      <c r="I10" s="10">
        <f>IFERROR(__xludf.DUMMYFUNCTION("""COMPUTED_VALUE"""),43252.0)</f>
        <v>43252</v>
      </c>
      <c r="J10" s="10">
        <f>IFERROR(__xludf.DUMMYFUNCTION("""COMPUTED_VALUE"""),44348.0)</f>
        <v>44348</v>
      </c>
      <c r="K10" s="1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4.25" customHeight="1">
      <c r="A11" s="9" t="str">
        <f>IFERROR(__xludf.DUMMYFUNCTION("""COMPUTED_VALUE"""),"Alegria")</f>
        <v>Alegria</v>
      </c>
      <c r="B11" s="8" t="str">
        <f>IFERROR(__xludf.DUMMYFUNCTION("""COMPUTED_VALUE"""),"Mike")</f>
        <v>Mike</v>
      </c>
      <c r="C11" s="8" t="str">
        <f>IFERROR(__xludf.DUMMYFUNCTION("""COMPUTED_VALUE"""),"Kingsville")</f>
        <v>Kingsville</v>
      </c>
      <c r="D11" s="8" t="str">
        <f>IFERROR(__xludf.DUMMYFUNCTION("""COMPUTED_VALUE"""),"TX")</f>
        <v>TX</v>
      </c>
      <c r="E11" s="8" t="str">
        <f>IFERROR(__xludf.DUMMYFUNCTION("""COMPUTED_VALUE"""),"USA")</f>
        <v>USA</v>
      </c>
      <c r="F11" s="8" t="str">
        <f>IFERROR(__xludf.DUMMYFUNCTION("""COMPUTED_VALUE"""),"Mens Doubles")</f>
        <v>Mens Doubles</v>
      </c>
      <c r="G11" s="8" t="str">
        <f>IFERROR(__xludf.DUMMYFUNCTION("""COMPUTED_VALUE"""),"1st")</f>
        <v>1st</v>
      </c>
      <c r="H11" s="8" t="str">
        <f>IFERROR(__xludf.DUMMYFUNCTION("""COMPUTED_VALUE"""),"TX Regional 33")</f>
        <v>TX Regional 33</v>
      </c>
      <c r="I11" s="10">
        <f>IFERROR(__xludf.DUMMYFUNCTION("""COMPUTED_VALUE"""),43252.0)</f>
        <v>43252</v>
      </c>
      <c r="J11" s="10">
        <f>IFERROR(__xludf.DUMMYFUNCTION("""COMPUTED_VALUE"""),44348.0)</f>
        <v>44348</v>
      </c>
      <c r="K11" s="1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4.25" customHeight="1">
      <c r="A12" s="9" t="str">
        <f>IFERROR(__xludf.DUMMYFUNCTION("""COMPUTED_VALUE"""),"Allebach")</f>
        <v>Allebach</v>
      </c>
      <c r="B12" s="8" t="str">
        <f>IFERROR(__xludf.DUMMYFUNCTION("""COMPUTED_VALUE"""),"Kevin")</f>
        <v>Kevin</v>
      </c>
      <c r="C12" s="8" t="str">
        <f>IFERROR(__xludf.DUMMYFUNCTION("""COMPUTED_VALUE"""),"Lansdale")</f>
        <v>Lansdale</v>
      </c>
      <c r="D12" s="8" t="str">
        <f>IFERROR(__xludf.DUMMYFUNCTION("""COMPUTED_VALUE"""),"PA")</f>
        <v>PA</v>
      </c>
      <c r="E12" s="8" t="str">
        <f>IFERROR(__xludf.DUMMYFUNCTION("""COMPUTED_VALUE"""),"USA")</f>
        <v>USA</v>
      </c>
      <c r="F12" s="8" t="str">
        <f>IFERROR(__xludf.DUMMYFUNCTION("""COMPUTED_VALUE"""),"Pro Mens Doubles")</f>
        <v>Pro Mens Doubles</v>
      </c>
      <c r="G12" s="8" t="str">
        <f>IFERROR(__xludf.DUMMYFUNCTION("""COMPUTED_VALUE"""),"3rd")</f>
        <v>3rd</v>
      </c>
      <c r="H12" s="8" t="str">
        <f>IFERROR(__xludf.DUMMYFUNCTION("""COMPUTED_VALUE"""),"NY Regional 32")</f>
        <v>NY Regional 32</v>
      </c>
      <c r="I12" s="10">
        <f>IFERROR(__xludf.DUMMYFUNCTION("""COMPUTED_VALUE"""),42887.0)</f>
        <v>42887</v>
      </c>
      <c r="J12" s="10">
        <f>IFERROR(__xludf.DUMMYFUNCTION("""COMPUTED_VALUE"""),43983.0)</f>
        <v>43983</v>
      </c>
      <c r="K12" s="1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4.25" customHeight="1">
      <c r="A13" s="9" t="str">
        <f>IFERROR(__xludf.DUMMYFUNCTION("""COMPUTED_VALUE"""),"Allen")</f>
        <v>Allen</v>
      </c>
      <c r="B13" s="8" t="str">
        <f>IFERROR(__xludf.DUMMYFUNCTION("""COMPUTED_VALUE"""),"Andrew")</f>
        <v>Andrew</v>
      </c>
      <c r="C13" s="8" t="str">
        <f>IFERROR(__xludf.DUMMYFUNCTION("""COMPUTED_VALUE"""),"Sumter")</f>
        <v>Sumter</v>
      </c>
      <c r="D13" s="8" t="str">
        <f>IFERROR(__xludf.DUMMYFUNCTION("""COMPUTED_VALUE"""),"SC")</f>
        <v>SC</v>
      </c>
      <c r="E13" s="8" t="str">
        <f>IFERROR(__xludf.DUMMYFUNCTION("""COMPUTED_VALUE"""),"USA")</f>
        <v>USA</v>
      </c>
      <c r="F13" s="8" t="str">
        <f>IFERROR(__xludf.DUMMYFUNCTION("""COMPUTED_VALUE"""),"Mens Cricket Doubles")</f>
        <v>Mens Cricket Doubles</v>
      </c>
      <c r="G13" s="8" t="str">
        <f>IFERROR(__xludf.DUMMYFUNCTION("""COMPUTED_VALUE"""),"3rd")</f>
        <v>3rd</v>
      </c>
      <c r="H13" s="8" t="str">
        <f>IFERROR(__xludf.DUMMYFUNCTION("""COMPUTED_VALUE"""),"FL Regional 33")</f>
        <v>FL Regional 33</v>
      </c>
      <c r="I13" s="10">
        <f>IFERROR(__xludf.DUMMYFUNCTION("""COMPUTED_VALUE"""),43252.0)</f>
        <v>43252</v>
      </c>
      <c r="J13" s="10">
        <f>IFERROR(__xludf.DUMMYFUNCTION("""COMPUTED_VALUE"""),44348.0)</f>
        <v>44348</v>
      </c>
      <c r="K13" s="1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4.25" customHeight="1">
      <c r="A14" s="9" t="str">
        <f>IFERROR(__xludf.DUMMYFUNCTION("""COMPUTED_VALUE"""),"Alliss")</f>
        <v>Alliss</v>
      </c>
      <c r="B14" s="8" t="str">
        <f>IFERROR(__xludf.DUMMYFUNCTION("""COMPUTED_VALUE"""),"Craig")</f>
        <v>Craig</v>
      </c>
      <c r="C14" s="8" t="str">
        <f>IFERROR(__xludf.DUMMYFUNCTION("""COMPUTED_VALUE"""),"Lafayette")</f>
        <v>Lafayette</v>
      </c>
      <c r="D14" s="8" t="str">
        <f>IFERROR(__xludf.DUMMYFUNCTION("""COMPUTED_VALUE"""),"IN")</f>
        <v>IN</v>
      </c>
      <c r="E14" s="8" t="str">
        <f>IFERROR(__xludf.DUMMYFUNCTION("""COMPUTED_VALUE"""),"USA")</f>
        <v>USA</v>
      </c>
      <c r="F14" s="8" t="str">
        <f>IFERROR(__xludf.DUMMYFUNCTION("""COMPUTED_VALUE"""),"Mixed Triples 701")</f>
        <v>Mixed Triples 701</v>
      </c>
      <c r="G14" s="8" t="str">
        <f>IFERROR(__xludf.DUMMYFUNCTION("""COMPUTED_VALUE"""),"1st")</f>
        <v>1st</v>
      </c>
      <c r="H14" s="8" t="str">
        <f>IFERROR(__xludf.DUMMYFUNCTION("""COMPUTED_VALUE"""),"Indiana BS 34")</f>
        <v>Indiana BS 34</v>
      </c>
      <c r="I14" s="10">
        <f>IFERROR(__xludf.DUMMYFUNCTION("""COMPUTED_VALUE"""),43617.0)</f>
        <v>43617</v>
      </c>
      <c r="J14" s="10">
        <f>IFERROR(__xludf.DUMMYFUNCTION("""COMPUTED_VALUE"""),44713.0)</f>
        <v>44713</v>
      </c>
      <c r="K14" s="1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customHeight="1">
      <c r="A15" s="9" t="str">
        <f>IFERROR(__xludf.DUMMYFUNCTION("""COMPUTED_VALUE"""),"Almeida")</f>
        <v>Almeida</v>
      </c>
      <c r="B15" s="8" t="str">
        <f>IFERROR(__xludf.DUMMYFUNCTION("""COMPUTED_VALUE"""),"Virgil")</f>
        <v>Virgil</v>
      </c>
      <c r="C15" s="8" t="str">
        <f>IFERROR(__xludf.DUMMYFUNCTION("""COMPUTED_VALUE"""),"Port St. Lucie")</f>
        <v>Port St. Lucie</v>
      </c>
      <c r="D15" s="8" t="str">
        <f>IFERROR(__xludf.DUMMYFUNCTION("""COMPUTED_VALUE"""),"FL")</f>
        <v>FL</v>
      </c>
      <c r="E15" s="8" t="str">
        <f>IFERROR(__xludf.DUMMYFUNCTION("""COMPUTED_VALUE"""),"USA")</f>
        <v>USA</v>
      </c>
      <c r="F15" s="8" t="str">
        <f>IFERROR(__xludf.DUMMYFUNCTION("""COMPUTED_VALUE"""),"Mens Singles")</f>
        <v>Mens Singles</v>
      </c>
      <c r="G15" s="8" t="str">
        <f>IFERROR(__xludf.DUMMYFUNCTION("""COMPUTED_VALUE"""),"3rd")</f>
        <v>3rd</v>
      </c>
      <c r="H15" s="8" t="str">
        <f>IFERROR(__xludf.DUMMYFUNCTION("""COMPUTED_VALUE"""),"Florida Regional 32")</f>
        <v>Florida Regional 32</v>
      </c>
      <c r="I15" s="10">
        <f>IFERROR(__xludf.DUMMYFUNCTION("""COMPUTED_VALUE"""),42887.0)</f>
        <v>42887</v>
      </c>
      <c r="J15" s="10">
        <f>IFERROR(__xludf.DUMMYFUNCTION("""COMPUTED_VALUE"""),43983.0)</f>
        <v>43983</v>
      </c>
      <c r="K15" s="1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9" t="str">
        <f>IFERROR(__xludf.DUMMYFUNCTION("""COMPUTED_VALUE"""),"Alvarado")</f>
        <v>Alvarado</v>
      </c>
      <c r="B16" s="8" t="str">
        <f>IFERROR(__xludf.DUMMYFUNCTION("""COMPUTED_VALUE"""),"George")</f>
        <v>George</v>
      </c>
      <c r="C16" s="8" t="str">
        <f>IFERROR(__xludf.DUMMYFUNCTION("""COMPUTED_VALUE"""),"")</f>
        <v/>
      </c>
      <c r="D16" s="8" t="str">
        <f>IFERROR(__xludf.DUMMYFUNCTION("""COMPUTED_VALUE"""),"UNK")</f>
        <v>UNK</v>
      </c>
      <c r="E16" s="8" t="str">
        <f>IFERROR(__xludf.DUMMYFUNCTION("""COMPUTED_VALUE"""),"USA")</f>
        <v>USA</v>
      </c>
      <c r="F16" s="8" t="str">
        <f>IFERROR(__xludf.DUMMYFUNCTION("""COMPUTED_VALUE"""),"ADO 2016")</f>
        <v>ADO 2016</v>
      </c>
      <c r="G16" s="8" t="str">
        <f>IFERROR(__xludf.DUMMYFUNCTION("""COMPUTED_VALUE"""),"45th")</f>
        <v>45th</v>
      </c>
      <c r="H16" s="8" t="str">
        <f>IFERROR(__xludf.DUMMYFUNCTION("""COMPUTED_VALUE"""),"ADO 2016")</f>
        <v>ADO 2016</v>
      </c>
      <c r="I16" s="10">
        <f>IFERROR(__xludf.DUMMYFUNCTION("""COMPUTED_VALUE"""),42401.0)</f>
        <v>42401</v>
      </c>
      <c r="J16" s="10">
        <f>IFERROR(__xludf.DUMMYFUNCTION("""COMPUTED_VALUE"""),44713.0)</f>
        <v>44713</v>
      </c>
      <c r="K16" s="1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>
      <c r="A17" s="9" t="str">
        <f>IFERROR(__xludf.DUMMYFUNCTION("""COMPUTED_VALUE"""),"Alverson")</f>
        <v>Alverson</v>
      </c>
      <c r="B17" s="8" t="str">
        <f>IFERROR(__xludf.DUMMYFUNCTION("""COMPUTED_VALUE"""),"Timothy")</f>
        <v>Timothy</v>
      </c>
      <c r="C17" s="8" t="str">
        <f>IFERROR(__xludf.DUMMYFUNCTION("""COMPUTED_VALUE"""),"Pell City")</f>
        <v>Pell City</v>
      </c>
      <c r="D17" s="8" t="str">
        <f>IFERROR(__xludf.DUMMYFUNCTION("""COMPUTED_VALUE"""),"AL")</f>
        <v>AL</v>
      </c>
      <c r="E17" s="8" t="str">
        <f>IFERROR(__xludf.DUMMYFUNCTION("""COMPUTED_VALUE"""),"USA")</f>
        <v>USA</v>
      </c>
      <c r="F17" s="8" t="str">
        <f>IFERROR(__xludf.DUMMYFUNCTION("""COMPUTED_VALUE"""),"Pro Doubles 501")</f>
        <v>Pro Doubles 501</v>
      </c>
      <c r="G17" s="8" t="str">
        <f>IFERROR(__xludf.DUMMYFUNCTION("""COMPUTED_VALUE"""),"3rd")</f>
        <v>3rd</v>
      </c>
      <c r="H17" s="8" t="str">
        <f>IFERROR(__xludf.DUMMYFUNCTION("""COMPUTED_VALUE"""),"Georgia BS 34")</f>
        <v>Georgia BS 34</v>
      </c>
      <c r="I17" s="10">
        <f>IFERROR(__xludf.DUMMYFUNCTION("""COMPUTED_VALUE"""),43617.0)</f>
        <v>43617</v>
      </c>
      <c r="J17" s="10">
        <f>IFERROR(__xludf.DUMMYFUNCTION("""COMPUTED_VALUE"""),44713.0)</f>
        <v>44713</v>
      </c>
      <c r="K17" s="1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9" t="str">
        <f>IFERROR(__xludf.DUMMYFUNCTION("""COMPUTED_VALUE"""),"Amin")</f>
        <v>Amin</v>
      </c>
      <c r="B18" s="8" t="str">
        <f>IFERROR(__xludf.DUMMYFUNCTION("""COMPUTED_VALUE"""),"Abdul")</f>
        <v>Abdul</v>
      </c>
      <c r="C18" s="8" t="str">
        <f>IFERROR(__xludf.DUMMYFUNCTION("""COMPUTED_VALUE"""),"")</f>
        <v/>
      </c>
      <c r="D18" s="8" t="str">
        <f>IFERROR(__xludf.DUMMYFUNCTION("""COMPUTED_VALUE"""),"UNK")</f>
        <v>UNK</v>
      </c>
      <c r="E18" s="8" t="str">
        <f>IFERROR(__xludf.DUMMYFUNCTION("""COMPUTED_VALUE"""),"Malaysia")</f>
        <v>Malaysia</v>
      </c>
      <c r="F18" s="8" t="str">
        <f>IFERROR(__xludf.DUMMYFUNCTION("""COMPUTED_VALUE"""),"DL")</f>
        <v>DL</v>
      </c>
      <c r="G18" s="8" t="str">
        <f>IFERROR(__xludf.DUMMYFUNCTION("""COMPUTED_VALUE"""),"28th")</f>
        <v>28th</v>
      </c>
      <c r="H18" s="8" t="str">
        <f>IFERROR(__xludf.DUMMYFUNCTION("""COMPUTED_VALUE"""),"DL")</f>
        <v>DL</v>
      </c>
      <c r="I18" s="10">
        <f>IFERROR(__xludf.DUMMYFUNCTION("""COMPUTED_VALUE"""),42401.0)</f>
        <v>42401</v>
      </c>
      <c r="J18" s="10">
        <f>IFERROR(__xludf.DUMMYFUNCTION("""COMPUTED_VALUE"""),44713.0)</f>
        <v>44713</v>
      </c>
      <c r="K18" s="1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9" t="str">
        <f>IFERROR(__xludf.DUMMYFUNCTION("""COMPUTED_VALUE"""),"Ammerman")</f>
        <v>Ammerman</v>
      </c>
      <c r="B19" s="8" t="str">
        <f>IFERROR(__xludf.DUMMYFUNCTION("""COMPUTED_VALUE"""),"James")</f>
        <v>James</v>
      </c>
      <c r="C19" s="8" t="str">
        <f>IFERROR(__xludf.DUMMYFUNCTION("""COMPUTED_VALUE"""),"Charlotte")</f>
        <v>Charlotte</v>
      </c>
      <c r="D19" s="8" t="str">
        <f>IFERROR(__xludf.DUMMYFUNCTION("""COMPUTED_VALUE"""),"NC")</f>
        <v>NC</v>
      </c>
      <c r="E19" s="8" t="str">
        <f>IFERROR(__xludf.DUMMYFUNCTION("""COMPUTED_VALUE"""),"USA")</f>
        <v>USA</v>
      </c>
      <c r="F19" s="8" t="str">
        <f>IFERROR(__xludf.DUMMYFUNCTION("""COMPUTED_VALUE"""),"Men Doubles 501")</f>
        <v>Men Doubles 501</v>
      </c>
      <c r="G19" s="8" t="str">
        <f>IFERROR(__xludf.DUMMYFUNCTION("""COMPUTED_VALUE"""),"3rd")</f>
        <v>3rd</v>
      </c>
      <c r="H19" s="8" t="str">
        <f>IFERROR(__xludf.DUMMYFUNCTION("""COMPUTED_VALUE"""),"Tennessee BS 34")</f>
        <v>Tennessee BS 34</v>
      </c>
      <c r="I19" s="10">
        <f>IFERROR(__xludf.DUMMYFUNCTION("""COMPUTED_VALUE"""),43617.0)</f>
        <v>43617</v>
      </c>
      <c r="J19" s="10">
        <f>IFERROR(__xludf.DUMMYFUNCTION("""COMPUTED_VALUE"""),44713.0)</f>
        <v>44713</v>
      </c>
      <c r="K19" s="1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9" t="str">
        <f>IFERROR(__xludf.DUMMYFUNCTION("""COMPUTED_VALUE"""),"Ammerman")</f>
        <v>Ammerman</v>
      </c>
      <c r="B20" s="8" t="str">
        <f>IFERROR(__xludf.DUMMYFUNCTION("""COMPUTED_VALUE"""),"Jason")</f>
        <v>Jason</v>
      </c>
      <c r="C20" s="8" t="str">
        <f>IFERROR(__xludf.DUMMYFUNCTION("""COMPUTED_VALUE"""),"New Brownfels")</f>
        <v>New Brownfels</v>
      </c>
      <c r="D20" s="8" t="str">
        <f>IFERROR(__xludf.DUMMYFUNCTION("""COMPUTED_VALUE"""),"TX")</f>
        <v>TX</v>
      </c>
      <c r="E20" s="8" t="str">
        <f>IFERROR(__xludf.DUMMYFUNCTION("""COMPUTED_VALUE"""),"USA")</f>
        <v>USA</v>
      </c>
      <c r="F20" s="8" t="str">
        <f>IFERROR(__xludf.DUMMYFUNCTION("""COMPUTED_VALUE"""),"Mens Cricket Doubles")</f>
        <v>Mens Cricket Doubles</v>
      </c>
      <c r="G20" s="8" t="str">
        <f>IFERROR(__xludf.DUMMYFUNCTION("""COMPUTED_VALUE"""),"2nd")</f>
        <v>2nd</v>
      </c>
      <c r="H20" s="8" t="str">
        <f>IFERROR(__xludf.DUMMYFUNCTION("""COMPUTED_VALUE"""),"TX Regional 33")</f>
        <v>TX Regional 33</v>
      </c>
      <c r="I20" s="10">
        <f>IFERROR(__xludf.DUMMYFUNCTION("""COMPUTED_VALUE"""),41426.0)</f>
        <v>41426</v>
      </c>
      <c r="J20" s="10">
        <f>IFERROR(__xludf.DUMMYFUNCTION("""COMPUTED_VALUE"""),44348.0)</f>
        <v>44348</v>
      </c>
      <c r="K20" s="1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9" t="str">
        <f>IFERROR(__xludf.DUMMYFUNCTION("""COMPUTED_VALUE"""),"Andersen")</f>
        <v>Andersen</v>
      </c>
      <c r="B21" s="8" t="str">
        <f>IFERROR(__xludf.DUMMYFUNCTION("""COMPUTED_VALUE"""),"Kennet")</f>
        <v>Kennet</v>
      </c>
      <c r="C21" s="8" t="str">
        <f>IFERROR(__xludf.DUMMYFUNCTION("""COMPUTED_VALUE"""),"")</f>
        <v/>
      </c>
      <c r="D21" s="8" t="str">
        <f>IFERROR(__xludf.DUMMYFUNCTION("""COMPUTED_VALUE"""),"")</f>
        <v/>
      </c>
      <c r="E21" s="8" t="str">
        <f>IFERROR(__xludf.DUMMYFUNCTION("""COMPUTED_VALUE"""),"DENMARK")</f>
        <v>DENMARK</v>
      </c>
      <c r="F21" s="8" t="str">
        <f>IFERROR(__xludf.DUMMYFUNCTION("""COMPUTED_VALUE"""),"TopGun Non Pro Triples")</f>
        <v>TopGun Non Pro Triples</v>
      </c>
      <c r="G21" s="8" t="str">
        <f>IFERROR(__xludf.DUMMYFUNCTION("""COMPUTED_VALUE"""),"3rd")</f>
        <v>3rd</v>
      </c>
      <c r="H21" s="8" t="str">
        <f>IFERROR(__xludf.DUMMYFUNCTION("""COMPUTED_VALUE"""),"BullShooter 34 Finals")</f>
        <v>BullShooter 34 Finals</v>
      </c>
      <c r="I21" s="10">
        <f>IFERROR(__xludf.DUMMYFUNCTION("""COMPUTED_VALUE"""),43617.0)</f>
        <v>43617</v>
      </c>
      <c r="J21" s="10">
        <f>IFERROR(__xludf.DUMMYFUNCTION("""COMPUTED_VALUE"""),44713.0)</f>
        <v>44713</v>
      </c>
      <c r="K21" s="1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9" t="str">
        <f>IFERROR(__xludf.DUMMYFUNCTION("""COMPUTED_VALUE"""),"Anderson")</f>
        <v>Anderson</v>
      </c>
      <c r="B22" s="8" t="str">
        <f>IFERROR(__xludf.DUMMYFUNCTION("""COMPUTED_VALUE"""),"Adam")</f>
        <v>Adam</v>
      </c>
      <c r="C22" s="8" t="str">
        <f>IFERROR(__xludf.DUMMYFUNCTION("""COMPUTED_VALUE"""),"Waterloo")</f>
        <v>Waterloo</v>
      </c>
      <c r="D22" s="8" t="str">
        <f>IFERROR(__xludf.DUMMYFUNCTION("""COMPUTED_VALUE"""),"NY")</f>
        <v>NY</v>
      </c>
      <c r="E22" s="8" t="str">
        <f>IFERROR(__xludf.DUMMYFUNCTION("""COMPUTED_VALUE"""),"USA")</f>
        <v>USA</v>
      </c>
      <c r="F22" s="8" t="str">
        <f>IFERROR(__xludf.DUMMYFUNCTION("""COMPUTED_VALUE"""),"Mens Doubles")</f>
        <v>Mens Doubles</v>
      </c>
      <c r="G22" s="8" t="str">
        <f>IFERROR(__xludf.DUMMYFUNCTION("""COMPUTED_VALUE"""),"2nd")</f>
        <v>2nd</v>
      </c>
      <c r="H22" s="8" t="str">
        <f>IFERROR(__xludf.DUMMYFUNCTION("""COMPUTED_VALUE"""),"NY Regional 33")</f>
        <v>NY Regional 33</v>
      </c>
      <c r="I22" s="10">
        <f>IFERROR(__xludf.DUMMYFUNCTION("""COMPUTED_VALUE"""),43252.0)</f>
        <v>43252</v>
      </c>
      <c r="J22" s="10">
        <f>IFERROR(__xludf.DUMMYFUNCTION("""COMPUTED_VALUE"""),44348.0)</f>
        <v>44348</v>
      </c>
      <c r="K22" s="1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9" t="str">
        <f>IFERROR(__xludf.DUMMYFUNCTION("""COMPUTED_VALUE"""),"Anderson")</f>
        <v>Anderson</v>
      </c>
      <c r="B23" s="8" t="str">
        <f>IFERROR(__xludf.DUMMYFUNCTION("""COMPUTED_VALUE"""),"Charles ""Chip""")</f>
        <v>Charles "Chip"</v>
      </c>
      <c r="C23" s="8" t="str">
        <f>IFERROR(__xludf.DUMMYFUNCTION("""COMPUTED_VALUE"""),"Rolette")</f>
        <v>Rolette</v>
      </c>
      <c r="D23" s="8" t="str">
        <f>IFERROR(__xludf.DUMMYFUNCTION("""COMPUTED_VALUE"""),"ND")</f>
        <v>ND</v>
      </c>
      <c r="E23" s="8" t="str">
        <f>IFERROR(__xludf.DUMMYFUNCTION("""COMPUTED_VALUE"""),"USA")</f>
        <v>USA</v>
      </c>
      <c r="F23" s="8" t="str">
        <f>IFERROR(__xludf.DUMMYFUNCTION("""COMPUTED_VALUE"""),"Top Gun Singles")</f>
        <v>Top Gun Singles</v>
      </c>
      <c r="G23" s="8" t="str">
        <f>IFERROR(__xludf.DUMMYFUNCTION("""COMPUTED_VALUE"""),"2nd")</f>
        <v>2nd</v>
      </c>
      <c r="H23" s="8" t="str">
        <f>IFERROR(__xludf.DUMMYFUNCTION("""COMPUTED_VALUE"""),"BS 33 Finals")</f>
        <v>BS 33 Finals</v>
      </c>
      <c r="I23" s="10">
        <f>IFERROR(__xludf.DUMMYFUNCTION("""COMPUTED_VALUE"""),43252.0)</f>
        <v>43252</v>
      </c>
      <c r="J23" s="10">
        <f>IFERROR(__xludf.DUMMYFUNCTION("""COMPUTED_VALUE"""),44348.0)</f>
        <v>44348</v>
      </c>
      <c r="K23" s="1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9" t="str">
        <f>IFERROR(__xludf.DUMMYFUNCTION("""COMPUTED_VALUE"""),"Anderson")</f>
        <v>Anderson</v>
      </c>
      <c r="B24" s="8" t="str">
        <f>IFERROR(__xludf.DUMMYFUNCTION("""COMPUTED_VALUE"""),"Richard")</f>
        <v>Richard</v>
      </c>
      <c r="C24" s="8" t="str">
        <f>IFERROR(__xludf.DUMMYFUNCTION("""COMPUTED_VALUE"""),"Houlton")</f>
        <v>Houlton</v>
      </c>
      <c r="D24" s="8" t="str">
        <f>IFERROR(__xludf.DUMMYFUNCTION("""COMPUTED_VALUE"""),"WI")</f>
        <v>WI</v>
      </c>
      <c r="E24" s="8" t="str">
        <f>IFERROR(__xludf.DUMMYFUNCTION("""COMPUTED_VALUE"""),"USA")</f>
        <v>USA</v>
      </c>
      <c r="F24" s="8" t="str">
        <f>IFERROR(__xludf.DUMMYFUNCTION("""COMPUTED_VALUE"""),"Top Gun Triples")</f>
        <v>Top Gun Triples</v>
      </c>
      <c r="G24" s="8" t="str">
        <f>IFERROR(__xludf.DUMMYFUNCTION("""COMPUTED_VALUE"""),"2nd")</f>
        <v>2nd</v>
      </c>
      <c r="H24" s="8" t="str">
        <f>IFERROR(__xludf.DUMMYFUNCTION("""COMPUTED_VALUE"""),"BS 33 Finals")</f>
        <v>BS 33 Finals</v>
      </c>
      <c r="I24" s="10">
        <f>IFERROR(__xludf.DUMMYFUNCTION("""COMPUTED_VALUE"""),41791.0)</f>
        <v>41791</v>
      </c>
      <c r="J24" s="10">
        <f>IFERROR(__xludf.DUMMYFUNCTION("""COMPUTED_VALUE"""),44348.0)</f>
        <v>44348</v>
      </c>
      <c r="K24" s="1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9" t="str">
        <f>IFERROR(__xludf.DUMMYFUNCTION("""COMPUTED_VALUE"""),"Anderson")</f>
        <v>Anderson</v>
      </c>
      <c r="B25" s="8" t="str">
        <f>IFERROR(__xludf.DUMMYFUNCTION("""COMPUTED_VALUE"""),"Robert")</f>
        <v>Robert</v>
      </c>
      <c r="C25" s="8" t="str">
        <f>IFERROR(__xludf.DUMMYFUNCTION("""COMPUTED_VALUE"""),"Indianapolis")</f>
        <v>Indianapolis</v>
      </c>
      <c r="D25" s="8" t="str">
        <f>IFERROR(__xludf.DUMMYFUNCTION("""COMPUTED_VALUE"""),"IN")</f>
        <v>IN</v>
      </c>
      <c r="E25" s="8" t="str">
        <f>IFERROR(__xludf.DUMMYFUNCTION("""COMPUTED_VALUE"""),"USA")</f>
        <v>USA</v>
      </c>
      <c r="F25" s="8" t="str">
        <f>IFERROR(__xludf.DUMMYFUNCTION("""COMPUTED_VALUE"""),"Mens Doubles")</f>
        <v>Mens Doubles</v>
      </c>
      <c r="G25" s="8" t="str">
        <f>IFERROR(__xludf.DUMMYFUNCTION("""COMPUTED_VALUE"""),"1st")</f>
        <v>1st</v>
      </c>
      <c r="H25" s="8" t="str">
        <f>IFERROR(__xludf.DUMMYFUNCTION("""COMPUTED_VALUE"""),"IN Regional 32")</f>
        <v>IN Regional 32</v>
      </c>
      <c r="I25" s="10">
        <f>IFERROR(__xludf.DUMMYFUNCTION("""COMPUTED_VALUE"""),42887.0)</f>
        <v>42887</v>
      </c>
      <c r="J25" s="10">
        <f>IFERROR(__xludf.DUMMYFUNCTION("""COMPUTED_VALUE"""),43983.0)</f>
        <v>43983</v>
      </c>
      <c r="K25" s="11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9" t="str">
        <f>IFERROR(__xludf.DUMMYFUNCTION("""COMPUTED_VALUE"""),"Anderson")</f>
        <v>Anderson</v>
      </c>
      <c r="B26" s="8" t="str">
        <f>IFERROR(__xludf.DUMMYFUNCTION("""COMPUTED_VALUE"""),"Robert")</f>
        <v>Robert</v>
      </c>
      <c r="C26" s="8" t="str">
        <f>IFERROR(__xludf.DUMMYFUNCTION("""COMPUTED_VALUE"""),"Little Suamico")</f>
        <v>Little Suamico</v>
      </c>
      <c r="D26" s="8" t="str">
        <f>IFERROR(__xludf.DUMMYFUNCTION("""COMPUTED_VALUE"""),"WI")</f>
        <v>WI</v>
      </c>
      <c r="E26" s="8" t="str">
        <f>IFERROR(__xludf.DUMMYFUNCTION("""COMPUTED_VALUE"""),"USA")</f>
        <v>USA</v>
      </c>
      <c r="F26" s="8" t="str">
        <f>IFERROR(__xludf.DUMMYFUNCTION("""COMPUTED_VALUE"""),"Pro Doubles")</f>
        <v>Pro Doubles</v>
      </c>
      <c r="G26" s="8" t="str">
        <f>IFERROR(__xludf.DUMMYFUNCTION("""COMPUTED_VALUE"""),"2nd")</f>
        <v>2nd</v>
      </c>
      <c r="H26" s="8" t="str">
        <f>IFERROR(__xludf.DUMMYFUNCTION("""COMPUTED_VALUE"""),"BullShooter 31")</f>
        <v>BullShooter 31</v>
      </c>
      <c r="I26" s="10">
        <f>IFERROR(__xludf.DUMMYFUNCTION("""COMPUTED_VALUE"""),42522.0)</f>
        <v>42522</v>
      </c>
      <c r="J26" s="10">
        <f>IFERROR(__xludf.DUMMYFUNCTION("""COMPUTED_VALUE"""),44713.0)</f>
        <v>44713</v>
      </c>
      <c r="K26" s="1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9" t="str">
        <f>IFERROR(__xludf.DUMMYFUNCTION("""COMPUTED_VALUE"""),"Anderson")</f>
        <v>Anderson</v>
      </c>
      <c r="B27" s="8" t="str">
        <f>IFERROR(__xludf.DUMMYFUNCTION("""COMPUTED_VALUE"""),"Scott")</f>
        <v>Scott</v>
      </c>
      <c r="C27" s="8" t="str">
        <f>IFERROR(__xludf.DUMMYFUNCTION("""COMPUTED_VALUE"""),"Erie")</f>
        <v>Erie</v>
      </c>
      <c r="D27" s="8" t="str">
        <f>IFERROR(__xludf.DUMMYFUNCTION("""COMPUTED_VALUE"""),"PA")</f>
        <v>PA</v>
      </c>
      <c r="E27" s="8" t="str">
        <f>IFERROR(__xludf.DUMMYFUNCTION("""COMPUTED_VALUE"""),"USA")</f>
        <v>USA</v>
      </c>
      <c r="F27" s="8" t="str">
        <f>IFERROR(__xludf.DUMMYFUNCTION("""COMPUTED_VALUE"""),"Men Doubles 501")</f>
        <v>Men Doubles 501</v>
      </c>
      <c r="G27" s="8" t="str">
        <f>IFERROR(__xludf.DUMMYFUNCTION("""COMPUTED_VALUE"""),"2nd")</f>
        <v>2nd</v>
      </c>
      <c r="H27" s="8" t="str">
        <f>IFERROR(__xludf.DUMMYFUNCTION("""COMPUTED_VALUE"""),"New York BS 34")</f>
        <v>New York BS 34</v>
      </c>
      <c r="I27" s="10">
        <f>IFERROR(__xludf.DUMMYFUNCTION("""COMPUTED_VALUE"""),43617.0)</f>
        <v>43617</v>
      </c>
      <c r="J27" s="10">
        <f>IFERROR(__xludf.DUMMYFUNCTION("""COMPUTED_VALUE"""),44713.0)</f>
        <v>44713</v>
      </c>
      <c r="K27" s="1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9" t="str">
        <f>IFERROR(__xludf.DUMMYFUNCTION("""COMPUTED_VALUE"""),"Ang")</f>
        <v>Ang</v>
      </c>
      <c r="B28" s="8" t="str">
        <f>IFERROR(__xludf.DUMMYFUNCTION("""COMPUTED_VALUE"""),"River")</f>
        <v>River</v>
      </c>
      <c r="C28" s="8" t="str">
        <f>IFERROR(__xludf.DUMMYFUNCTION("""COMPUTED_VALUE"""),"")</f>
        <v/>
      </c>
      <c r="D28" s="8" t="str">
        <f>IFERROR(__xludf.DUMMYFUNCTION("""COMPUTED_VALUE"""),"UNK")</f>
        <v>UNK</v>
      </c>
      <c r="E28" s="8" t="str">
        <f>IFERROR(__xludf.DUMMYFUNCTION("""COMPUTED_VALUE"""),"Malaysia")</f>
        <v>Malaysia</v>
      </c>
      <c r="F28" s="8" t="str">
        <f>IFERROR(__xludf.DUMMYFUNCTION("""COMPUTED_VALUE"""),"DL")</f>
        <v>DL</v>
      </c>
      <c r="G28" s="8" t="str">
        <f>IFERROR(__xludf.DUMMYFUNCTION("""COMPUTED_VALUE"""),"41st")</f>
        <v>41st</v>
      </c>
      <c r="H28" s="8" t="str">
        <f>IFERROR(__xludf.DUMMYFUNCTION("""COMPUTED_VALUE"""),"Malaysia")</f>
        <v>Malaysia</v>
      </c>
      <c r="I28" s="10">
        <f>IFERROR(__xludf.DUMMYFUNCTION("""COMPUTED_VALUE"""),42401.0)</f>
        <v>42401</v>
      </c>
      <c r="J28" s="10">
        <f>IFERROR(__xludf.DUMMYFUNCTION("""COMPUTED_VALUE"""),44713.0)</f>
        <v>44713</v>
      </c>
      <c r="K28" s="11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9" t="str">
        <f>IFERROR(__xludf.DUMMYFUNCTION("""COMPUTED_VALUE"""),"Antonio")</f>
        <v>Antonio</v>
      </c>
      <c r="B29" s="8" t="str">
        <f>IFERROR(__xludf.DUMMYFUNCTION("""COMPUTED_VALUE"""),"Jose")</f>
        <v>Jose</v>
      </c>
      <c r="C29" s="8" t="str">
        <f>IFERROR(__xludf.DUMMYFUNCTION("""COMPUTED_VALUE"""),"")</f>
        <v/>
      </c>
      <c r="D29" s="8" t="str">
        <f>IFERROR(__xludf.DUMMYFUNCTION("""COMPUTED_VALUE"""),"UNK")</f>
        <v>UNK</v>
      </c>
      <c r="E29" s="8" t="str">
        <f>IFERROR(__xludf.DUMMYFUNCTION("""COMPUTED_VALUE"""),"Spain")</f>
        <v>Spain</v>
      </c>
      <c r="F29" s="8" t="str">
        <f>IFERROR(__xludf.DUMMYFUNCTION("""COMPUTED_VALUE"""),"DL")</f>
        <v>DL</v>
      </c>
      <c r="G29" s="8" t="str">
        <f>IFERROR(__xludf.DUMMYFUNCTION("""COMPUTED_VALUE"""),"94th")</f>
        <v>94th</v>
      </c>
      <c r="H29" s="8" t="str">
        <f>IFERROR(__xludf.DUMMYFUNCTION("""COMPUTED_VALUE"""),"DL")</f>
        <v>DL</v>
      </c>
      <c r="I29" s="10">
        <f>IFERROR(__xludf.DUMMYFUNCTION("""COMPUTED_VALUE"""),42401.0)</f>
        <v>42401</v>
      </c>
      <c r="J29" s="10">
        <f>IFERROR(__xludf.DUMMYFUNCTION("""COMPUTED_VALUE"""),44713.0)</f>
        <v>44713</v>
      </c>
      <c r="K29" s="11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9" t="str">
        <f>IFERROR(__xludf.DUMMYFUNCTION("""COMPUTED_VALUE"""),"Archibald")</f>
        <v>Archibald</v>
      </c>
      <c r="B30" s="8" t="str">
        <f>IFERROR(__xludf.DUMMYFUNCTION("""COMPUTED_VALUE"""),"David")</f>
        <v>David</v>
      </c>
      <c r="C30" s="8" t="str">
        <f>IFERROR(__xludf.DUMMYFUNCTION("""COMPUTED_VALUE"""),"Myrtle Beach")</f>
        <v>Myrtle Beach</v>
      </c>
      <c r="D30" s="8" t="str">
        <f>IFERROR(__xludf.DUMMYFUNCTION("""COMPUTED_VALUE"""),"SC")</f>
        <v>SC</v>
      </c>
      <c r="E30" s="8" t="str">
        <f>IFERROR(__xludf.DUMMYFUNCTION("""COMPUTED_VALUE"""),"USA")</f>
        <v>USA</v>
      </c>
      <c r="F30" s="8" t="str">
        <f>IFERROR(__xludf.DUMMYFUNCTION("""COMPUTED_VALUE"""),"Men Doubles Cricket")</f>
        <v>Men Doubles Cricket</v>
      </c>
      <c r="G30" s="8" t="str">
        <f>IFERROR(__xludf.DUMMYFUNCTION("""COMPUTED_VALUE"""),"3rd")</f>
        <v>3rd</v>
      </c>
      <c r="H30" s="8" t="str">
        <f>IFERROR(__xludf.DUMMYFUNCTION("""COMPUTED_VALUE"""),"South Carolina BS 34")</f>
        <v>South Carolina BS 34</v>
      </c>
      <c r="I30" s="10">
        <f>IFERROR(__xludf.DUMMYFUNCTION("""COMPUTED_VALUE"""),43617.0)</f>
        <v>43617</v>
      </c>
      <c r="J30" s="10">
        <f>IFERROR(__xludf.DUMMYFUNCTION("""COMPUTED_VALUE"""),44713.0)</f>
        <v>44713</v>
      </c>
      <c r="K30" s="11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9" t="str">
        <f>IFERROR(__xludf.DUMMYFUNCTION("""COMPUTED_VALUE"""),"Aromy")</f>
        <v>Aromy</v>
      </c>
      <c r="B31" s="8" t="str">
        <f>IFERROR(__xludf.DUMMYFUNCTION("""COMPUTED_VALUE"""),"Donovan")</f>
        <v>Donovan</v>
      </c>
      <c r="C31" s="8" t="str">
        <f>IFERROR(__xludf.DUMMYFUNCTION("""COMPUTED_VALUE"""),"Metairie")</f>
        <v>Metairie</v>
      </c>
      <c r="D31" s="8" t="str">
        <f>IFERROR(__xludf.DUMMYFUNCTION("""COMPUTED_VALUE"""),"LA")</f>
        <v>LA</v>
      </c>
      <c r="E31" s="8" t="str">
        <f>IFERROR(__xludf.DUMMYFUNCTION("""COMPUTED_VALUE"""),"USA")</f>
        <v>USA</v>
      </c>
      <c r="F31" s="8" t="str">
        <f>IFERROR(__xludf.DUMMYFUNCTION("""COMPUTED_VALUE"""),"Men 501 Doubles")</f>
        <v>Men 501 Doubles</v>
      </c>
      <c r="G31" s="8" t="str">
        <f>IFERROR(__xludf.DUMMYFUNCTION("""COMPUTED_VALUE"""),"3rd")</f>
        <v>3rd</v>
      </c>
      <c r="H31" s="8" t="str">
        <f>IFERROR(__xludf.DUMMYFUNCTION("""COMPUTED_VALUE"""),"BullShooter 34 Finals")</f>
        <v>BullShooter 34 Finals</v>
      </c>
      <c r="I31" s="10">
        <f>IFERROR(__xludf.DUMMYFUNCTION("""COMPUTED_VALUE"""),43617.0)</f>
        <v>43617</v>
      </c>
      <c r="J31" s="10">
        <f>IFERROR(__xludf.DUMMYFUNCTION("""COMPUTED_VALUE"""),44713.0)</f>
        <v>44713</v>
      </c>
      <c r="K31" s="11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9" t="str">
        <f>IFERROR(__xludf.DUMMYFUNCTION("""COMPUTED_VALUE"""),"Arreola, Jr.")</f>
        <v>Arreola, Jr.</v>
      </c>
      <c r="B32" s="8" t="str">
        <f>IFERROR(__xludf.DUMMYFUNCTION("""COMPUTED_VALUE"""),"Ramon")</f>
        <v>Ramon</v>
      </c>
      <c r="C32" s="8" t="str">
        <f>IFERROR(__xludf.DUMMYFUNCTION("""COMPUTED_VALUE"""),"Mesa")</f>
        <v>Mesa</v>
      </c>
      <c r="D32" s="8" t="str">
        <f>IFERROR(__xludf.DUMMYFUNCTION("""COMPUTED_VALUE"""),"AZ")</f>
        <v>AZ</v>
      </c>
      <c r="E32" s="8" t="str">
        <f>IFERROR(__xludf.DUMMYFUNCTION("""COMPUTED_VALUE"""),"USA")</f>
        <v>USA</v>
      </c>
      <c r="F32" s="8" t="str">
        <f>IFERROR(__xludf.DUMMYFUNCTION("""COMPUTED_VALUE"""),"Mens Doubles")</f>
        <v>Mens Doubles</v>
      </c>
      <c r="G32" s="8" t="str">
        <f>IFERROR(__xludf.DUMMYFUNCTION("""COMPUTED_VALUE"""),"2nd")</f>
        <v>2nd</v>
      </c>
      <c r="H32" s="8" t="str">
        <f>IFERROR(__xludf.DUMMYFUNCTION("""COMPUTED_VALUE"""),"NV Regional 32")</f>
        <v>NV Regional 32</v>
      </c>
      <c r="I32" s="10">
        <f>IFERROR(__xludf.DUMMYFUNCTION("""COMPUTED_VALUE"""),42887.0)</f>
        <v>42887</v>
      </c>
      <c r="J32" s="10">
        <f>IFERROR(__xludf.DUMMYFUNCTION("""COMPUTED_VALUE"""),43983.0)</f>
        <v>43983</v>
      </c>
      <c r="K32" s="1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9" t="str">
        <f>IFERROR(__xludf.DUMMYFUNCTION("""COMPUTED_VALUE"""),"Artut")</f>
        <v>Artut</v>
      </c>
      <c r="B33" s="8" t="str">
        <f>IFERROR(__xludf.DUMMYFUNCTION("""COMPUTED_VALUE"""),"Jyhan")</f>
        <v>Jyhan</v>
      </c>
      <c r="C33" s="8" t="str">
        <f>IFERROR(__xludf.DUMMYFUNCTION("""COMPUTED_VALUE"""),"")</f>
        <v/>
      </c>
      <c r="D33" s="8" t="str">
        <f>IFERROR(__xludf.DUMMYFUNCTION("""COMPUTED_VALUE"""),"UNK")</f>
        <v>UNK</v>
      </c>
      <c r="E33" s="8" t="str">
        <f>IFERROR(__xludf.DUMMYFUNCTION("""COMPUTED_VALUE"""),"Germany")</f>
        <v>Germany</v>
      </c>
      <c r="F33" s="8" t="str">
        <f>IFERROR(__xludf.DUMMYFUNCTION("""COMPUTED_VALUE"""),"PDC Merit Ranking")</f>
        <v>PDC Merit Ranking</v>
      </c>
      <c r="G33" s="8" t="str">
        <f>IFERROR(__xludf.DUMMYFUNCTION("""COMPUTED_VALUE"""),"59th")</f>
        <v>59th</v>
      </c>
      <c r="H33" s="8" t="str">
        <f>IFERROR(__xludf.DUMMYFUNCTION("""COMPUTED_VALUE"""),"PDC Merit Ranking")</f>
        <v>PDC Merit Ranking</v>
      </c>
      <c r="I33" s="10">
        <f>IFERROR(__xludf.DUMMYFUNCTION("""COMPUTED_VALUE"""),42401.0)</f>
        <v>42401</v>
      </c>
      <c r="J33" s="10">
        <f>IFERROR(__xludf.DUMMYFUNCTION("""COMPUTED_VALUE"""),44713.0)</f>
        <v>44713</v>
      </c>
      <c r="K33" s="11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9" t="str">
        <f>IFERROR(__xludf.DUMMYFUNCTION("""COMPUTED_VALUE"""),"Ashton")</f>
        <v>Ashton</v>
      </c>
      <c r="B34" s="8" t="str">
        <f>IFERROR(__xludf.DUMMYFUNCTION("""COMPUTED_VALUE"""),"Lisa")</f>
        <v>Lisa</v>
      </c>
      <c r="C34" s="8" t="str">
        <f>IFERROR(__xludf.DUMMYFUNCTION("""COMPUTED_VALUE"""),"")</f>
        <v/>
      </c>
      <c r="D34" s="8" t="str">
        <f>IFERROR(__xludf.DUMMYFUNCTION("""COMPUTED_VALUE"""),"UNK")</f>
        <v>UNK</v>
      </c>
      <c r="E34" s="8" t="str">
        <f>IFERROR(__xludf.DUMMYFUNCTION("""COMPUTED_VALUE"""),"England")</f>
        <v>England</v>
      </c>
      <c r="F34" s="8" t="str">
        <f>IFERROR(__xludf.DUMMYFUNCTION("""COMPUTED_VALUE"""),"PDC Merit Ranking")</f>
        <v>PDC Merit Ranking</v>
      </c>
      <c r="G34" s="8" t="str">
        <f>IFERROR(__xludf.DUMMYFUNCTION("""COMPUTED_VALUE"""),"76th")</f>
        <v>76th</v>
      </c>
      <c r="H34" s="8" t="str">
        <f>IFERROR(__xludf.DUMMYFUNCTION("""COMPUTED_VALUE"""),"PDC Merit Ranking")</f>
        <v>PDC Merit Ranking</v>
      </c>
      <c r="I34" s="10">
        <f>IFERROR(__xludf.DUMMYFUNCTION("""COMPUTED_VALUE"""),42401.0)</f>
        <v>42401</v>
      </c>
      <c r="J34" s="10">
        <f>IFERROR(__xludf.DUMMYFUNCTION("""COMPUTED_VALUE"""),44713.0)</f>
        <v>44713</v>
      </c>
      <c r="K34" s="11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9" t="str">
        <f>IFERROR(__xludf.DUMMYFUNCTION("""COMPUTED_VALUE"""),"Aspinall")</f>
        <v>Aspinall</v>
      </c>
      <c r="B35" s="8" t="str">
        <f>IFERROR(__xludf.DUMMYFUNCTION("""COMPUTED_VALUE"""),"Nathan")</f>
        <v>Nathan</v>
      </c>
      <c r="C35" s="8" t="str">
        <f>IFERROR(__xludf.DUMMYFUNCTION("""COMPUTED_VALUE"""),"")</f>
        <v/>
      </c>
      <c r="D35" s="8" t="str">
        <f>IFERROR(__xludf.DUMMYFUNCTION("""COMPUTED_VALUE"""),"UNK")</f>
        <v>UNK</v>
      </c>
      <c r="E35" s="8" t="str">
        <f>IFERROR(__xludf.DUMMYFUNCTION("""COMPUTED_VALUE"""),"UNK")</f>
        <v>UNK</v>
      </c>
      <c r="F35" s="8" t="str">
        <f>IFERROR(__xludf.DUMMYFUNCTION("""COMPUTED_VALUE"""),"PDC Merit Ranking")</f>
        <v>PDC Merit Ranking</v>
      </c>
      <c r="G35" s="8" t="str">
        <f>IFERROR(__xludf.DUMMYFUNCTION("""COMPUTED_VALUE"""),"97th")</f>
        <v>97th</v>
      </c>
      <c r="H35" s="8" t="str">
        <f>IFERROR(__xludf.DUMMYFUNCTION("""COMPUTED_VALUE"""),"PDC Merit Ranking")</f>
        <v>PDC Merit Ranking</v>
      </c>
      <c r="I35" s="10">
        <f>IFERROR(__xludf.DUMMYFUNCTION("""COMPUTED_VALUE"""),42401.0)</f>
        <v>42401</v>
      </c>
      <c r="J35" s="10">
        <f>IFERROR(__xludf.DUMMYFUNCTION("""COMPUTED_VALUE"""),44713.0)</f>
        <v>44713</v>
      </c>
      <c r="K35" s="11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9" t="str">
        <f>IFERROR(__xludf.DUMMYFUNCTION("""COMPUTED_VALUE"""),"Attapol")</f>
        <v>Attapol</v>
      </c>
      <c r="B36" s="8" t="str">
        <f>IFERROR(__xludf.DUMMYFUNCTION("""COMPUTED_VALUE"""),"")</f>
        <v/>
      </c>
      <c r="C36" s="8" t="str">
        <f>IFERROR(__xludf.DUMMYFUNCTION("""COMPUTED_VALUE"""),"")</f>
        <v/>
      </c>
      <c r="D36" s="8" t="str">
        <f>IFERROR(__xludf.DUMMYFUNCTION("""COMPUTED_VALUE"""),"UNK")</f>
        <v>UNK</v>
      </c>
      <c r="E36" s="8" t="str">
        <f>IFERROR(__xludf.DUMMYFUNCTION("""COMPUTED_VALUE"""),"Thailand")</f>
        <v>Thailand</v>
      </c>
      <c r="F36" s="8" t="str">
        <f>IFERROR(__xludf.DUMMYFUNCTION("""COMPUTED_VALUE"""),"DL")</f>
        <v>DL</v>
      </c>
      <c r="G36" s="8" t="str">
        <f>IFERROR(__xludf.DUMMYFUNCTION("""COMPUTED_VALUE"""),"47th")</f>
        <v>47th</v>
      </c>
      <c r="H36" s="8" t="str">
        <f>IFERROR(__xludf.DUMMYFUNCTION("""COMPUTED_VALUE"""),"DL")</f>
        <v>DL</v>
      </c>
      <c r="I36" s="10">
        <f>IFERROR(__xludf.DUMMYFUNCTION("""COMPUTED_VALUE"""),42401.0)</f>
        <v>42401</v>
      </c>
      <c r="J36" s="10">
        <f>IFERROR(__xludf.DUMMYFUNCTION("""COMPUTED_VALUE"""),44713.0)</f>
        <v>44713</v>
      </c>
      <c r="K36" s="1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9" t="str">
        <f>IFERROR(__xludf.DUMMYFUNCTION("""COMPUTED_VALUE"""),"Auckland")</f>
        <v>Auckland</v>
      </c>
      <c r="B37" s="8" t="str">
        <f>IFERROR(__xludf.DUMMYFUNCTION("""COMPUTED_VALUE"""),"Darrin")</f>
        <v>Darrin</v>
      </c>
      <c r="C37" s="8" t="str">
        <f>IFERROR(__xludf.DUMMYFUNCTION("""COMPUTED_VALUE"""),"Genoa City")</f>
        <v>Genoa City</v>
      </c>
      <c r="D37" s="8" t="str">
        <f>IFERROR(__xludf.DUMMYFUNCTION("""COMPUTED_VALUE"""),"WI")</f>
        <v>WI</v>
      </c>
      <c r="E37" s="8" t="str">
        <f>IFERROR(__xludf.DUMMYFUNCTION("""COMPUTED_VALUE"""),"USA")</f>
        <v>USA</v>
      </c>
      <c r="F37" s="8" t="str">
        <f>IFERROR(__xludf.DUMMYFUNCTION("""COMPUTED_VALUE"""),"Pro 501 Singles")</f>
        <v>Pro 501 Singles</v>
      </c>
      <c r="G37" s="8" t="str">
        <f>IFERROR(__xludf.DUMMYFUNCTION("""COMPUTED_VALUE"""),"5th/6th")</f>
        <v>5th/6th</v>
      </c>
      <c r="H37" s="8" t="str">
        <f>IFERROR(__xludf.DUMMYFUNCTION("""COMPUTED_VALUE"""),"BullShooter 32")</f>
        <v>BullShooter 32</v>
      </c>
      <c r="I37" s="10">
        <f>IFERROR(__xludf.DUMMYFUNCTION("""COMPUTED_VALUE"""),42887.0)</f>
        <v>42887</v>
      </c>
      <c r="J37" s="10">
        <f>IFERROR(__xludf.DUMMYFUNCTION("""COMPUTED_VALUE"""),43983.0)</f>
        <v>43983</v>
      </c>
      <c r="K37" s="1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9" t="str">
        <f>IFERROR(__xludf.DUMMYFUNCTION("""COMPUTED_VALUE"""),"Austin")</f>
        <v>Austin</v>
      </c>
      <c r="B38" s="8" t="str">
        <f>IFERROR(__xludf.DUMMYFUNCTION("""COMPUTED_VALUE"""),"Reace")</f>
        <v>Reace</v>
      </c>
      <c r="C38" s="8" t="str">
        <f>IFERROR(__xludf.DUMMYFUNCTION("""COMPUTED_VALUE"""),"St. Cloud")</f>
        <v>St. Cloud</v>
      </c>
      <c r="D38" s="8" t="str">
        <f>IFERROR(__xludf.DUMMYFUNCTION("""COMPUTED_VALUE"""),"FL")</f>
        <v>FL</v>
      </c>
      <c r="E38" s="8" t="str">
        <f>IFERROR(__xludf.DUMMYFUNCTION("""COMPUTED_VALUE"""),"USA")</f>
        <v>USA</v>
      </c>
      <c r="F38" s="8" t="str">
        <f>IFERROR(__xludf.DUMMYFUNCTION("""COMPUTED_VALUE"""),"Mens Cricket Doubles")</f>
        <v>Mens Cricket Doubles</v>
      </c>
      <c r="G38" s="8" t="str">
        <f>IFERROR(__xludf.DUMMYFUNCTION("""COMPUTED_VALUE"""),"2nd")</f>
        <v>2nd</v>
      </c>
      <c r="H38" s="8" t="str">
        <f>IFERROR(__xludf.DUMMYFUNCTION("""COMPUTED_VALUE"""),"GA Regional 33")</f>
        <v>GA Regional 33</v>
      </c>
      <c r="I38" s="10">
        <f>IFERROR(__xludf.DUMMYFUNCTION("""COMPUTED_VALUE"""),43252.0)</f>
        <v>43252</v>
      </c>
      <c r="J38" s="10">
        <f>IFERROR(__xludf.DUMMYFUNCTION("""COMPUTED_VALUE"""),44348.0)</f>
        <v>44348</v>
      </c>
      <c r="K38" s="1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9" t="str">
        <f>IFERROR(__xludf.DUMMYFUNCTION("""COMPUTED_VALUE"""),"Baer")</f>
        <v>Baer</v>
      </c>
      <c r="B39" s="8" t="str">
        <f>IFERROR(__xludf.DUMMYFUNCTION("""COMPUTED_VALUE"""),"James")</f>
        <v>James</v>
      </c>
      <c r="C39" s="8" t="str">
        <f>IFERROR(__xludf.DUMMYFUNCTION("""COMPUTED_VALUE"""),"St. Cloud")</f>
        <v>St. Cloud</v>
      </c>
      <c r="D39" s="8" t="str">
        <f>IFERROR(__xludf.DUMMYFUNCTION("""COMPUTED_VALUE"""),"FL")</f>
        <v>FL</v>
      </c>
      <c r="E39" s="8" t="str">
        <f>IFERROR(__xludf.DUMMYFUNCTION("""COMPUTED_VALUE"""),"USA")</f>
        <v>USA</v>
      </c>
      <c r="F39" s="8" t="str">
        <f>IFERROR(__xludf.DUMMYFUNCTION("""COMPUTED_VALUE"""),"Mens Singles")</f>
        <v>Mens Singles</v>
      </c>
      <c r="G39" s="8" t="str">
        <f>IFERROR(__xludf.DUMMYFUNCTION("""COMPUTED_VALUE"""),"2nd")</f>
        <v>2nd</v>
      </c>
      <c r="H39" s="8" t="str">
        <f>IFERROR(__xludf.DUMMYFUNCTION("""COMPUTED_VALUE"""),"FL Regional 33")</f>
        <v>FL Regional 33</v>
      </c>
      <c r="I39" s="10">
        <f>IFERROR(__xludf.DUMMYFUNCTION("""COMPUTED_VALUE"""),43252.0)</f>
        <v>43252</v>
      </c>
      <c r="J39" s="10">
        <f>IFERROR(__xludf.DUMMYFUNCTION("""COMPUTED_VALUE"""),44348.0)</f>
        <v>44348</v>
      </c>
      <c r="K39" s="1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9" t="str">
        <f>IFERROR(__xludf.DUMMYFUNCTION("""COMPUTED_VALUE"""),"Baier")</f>
        <v>Baier</v>
      </c>
      <c r="B40" s="8" t="str">
        <f>IFERROR(__xludf.DUMMYFUNCTION("""COMPUTED_VALUE"""),"Travis")</f>
        <v>Travis</v>
      </c>
      <c r="C40" s="8" t="str">
        <f>IFERROR(__xludf.DUMMYFUNCTION("""COMPUTED_VALUE"""),"Grand Island")</f>
        <v>Grand Island</v>
      </c>
      <c r="D40" s="8" t="str">
        <f>IFERROR(__xludf.DUMMYFUNCTION("""COMPUTED_VALUE"""),"NE")</f>
        <v>NE</v>
      </c>
      <c r="E40" s="8" t="str">
        <f>IFERROR(__xludf.DUMMYFUNCTION("""COMPUTED_VALUE"""),"USA")</f>
        <v>USA</v>
      </c>
      <c r="F40" s="8" t="str">
        <f>IFERROR(__xludf.DUMMYFUNCTION("""COMPUTED_VALUE"""),"Mixed Triples 701")</f>
        <v>Mixed Triples 701</v>
      </c>
      <c r="G40" s="8" t="str">
        <f>IFERROR(__xludf.DUMMYFUNCTION("""COMPUTED_VALUE"""),"1st")</f>
        <v>1st</v>
      </c>
      <c r="H40" s="8" t="str">
        <f>IFERROR(__xludf.DUMMYFUNCTION("""COMPUTED_VALUE"""),"Nebraska BS 34")</f>
        <v>Nebraska BS 34</v>
      </c>
      <c r="I40" s="10">
        <f>IFERROR(__xludf.DUMMYFUNCTION("""COMPUTED_VALUE"""),43617.0)</f>
        <v>43617</v>
      </c>
      <c r="J40" s="10">
        <f>IFERROR(__xludf.DUMMYFUNCTION("""COMPUTED_VALUE"""),44713.0)</f>
        <v>44713</v>
      </c>
      <c r="K40" s="1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9" t="str">
        <f>IFERROR(__xludf.DUMMYFUNCTION("""COMPUTED_VALUE"""),"Bailey")</f>
        <v>Bailey</v>
      </c>
      <c r="B41" s="8" t="str">
        <f>IFERROR(__xludf.DUMMYFUNCTION("""COMPUTED_VALUE"""),"Anthony")</f>
        <v>Anthony</v>
      </c>
      <c r="C41" s="8" t="str">
        <f>IFERROR(__xludf.DUMMYFUNCTION("""COMPUTED_VALUE"""),"Lexington")</f>
        <v>Lexington</v>
      </c>
      <c r="D41" s="8" t="str">
        <f>IFERROR(__xludf.DUMMYFUNCTION("""COMPUTED_VALUE"""),"OH")</f>
        <v>OH</v>
      </c>
      <c r="E41" s="8" t="str">
        <f>IFERROR(__xludf.DUMMYFUNCTION("""COMPUTED_VALUE"""),"USA")</f>
        <v>USA</v>
      </c>
      <c r="F41" s="8" t="str">
        <f>IFERROR(__xludf.DUMMYFUNCTION("""COMPUTED_VALUE"""),"Men Doubles Cricket")</f>
        <v>Men Doubles Cricket</v>
      </c>
      <c r="G41" s="8" t="str">
        <f>IFERROR(__xludf.DUMMYFUNCTION("""COMPUTED_VALUE"""),"2nd")</f>
        <v>2nd</v>
      </c>
      <c r="H41" s="8" t="str">
        <f>IFERROR(__xludf.DUMMYFUNCTION("""COMPUTED_VALUE"""),"Indiana BS 34")</f>
        <v>Indiana BS 34</v>
      </c>
      <c r="I41" s="10">
        <f>IFERROR(__xludf.DUMMYFUNCTION("""COMPUTED_VALUE"""),43617.0)</f>
        <v>43617</v>
      </c>
      <c r="J41" s="10">
        <f>IFERROR(__xludf.DUMMYFUNCTION("""COMPUTED_VALUE"""),44713.0)</f>
        <v>44713</v>
      </c>
      <c r="K41" s="1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9" t="str">
        <f>IFERROR(__xludf.DUMMYFUNCTION("""COMPUTED_VALUE"""),"Bailey")</f>
        <v>Bailey</v>
      </c>
      <c r="B42" s="8" t="str">
        <f>IFERROR(__xludf.DUMMYFUNCTION("""COMPUTED_VALUE"""),"Dan")</f>
        <v>Dan</v>
      </c>
      <c r="C42" s="8" t="str">
        <f>IFERROR(__xludf.DUMMYFUNCTION("""COMPUTED_VALUE"""),"")</f>
        <v/>
      </c>
      <c r="D42" s="8" t="str">
        <f>IFERROR(__xludf.DUMMYFUNCTION("""COMPUTED_VALUE"""),"CA")</f>
        <v>CA</v>
      </c>
      <c r="E42" s="8" t="str">
        <f>IFERROR(__xludf.DUMMYFUNCTION("""COMPUTED_VALUE"""),"USA")</f>
        <v>USA</v>
      </c>
      <c r="F42" s="8" t="str">
        <f>IFERROR(__xludf.DUMMYFUNCTION("""COMPUTED_VALUE"""),"Mens Doubles")</f>
        <v>Mens Doubles</v>
      </c>
      <c r="G42" s="8" t="str">
        <f>IFERROR(__xludf.DUMMYFUNCTION("""COMPUTED_VALUE"""),"1st")</f>
        <v>1st</v>
      </c>
      <c r="H42" s="8" t="str">
        <f>IFERROR(__xludf.DUMMYFUNCTION("""COMPUTED_VALUE"""),"CA Regional 33")</f>
        <v>CA Regional 33</v>
      </c>
      <c r="I42" s="10">
        <f>IFERROR(__xludf.DUMMYFUNCTION("""COMPUTED_VALUE"""),43252.0)</f>
        <v>43252</v>
      </c>
      <c r="J42" s="10">
        <f>IFERROR(__xludf.DUMMYFUNCTION("""COMPUTED_VALUE"""),44348.0)</f>
        <v>44348</v>
      </c>
      <c r="K42" s="1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9" t="str">
        <f>IFERROR(__xludf.DUMMYFUNCTION("""COMPUTED_VALUE"""),"Baker")</f>
        <v>Baker</v>
      </c>
      <c r="B43" s="8" t="str">
        <f>IFERROR(__xludf.DUMMYFUNCTION("""COMPUTED_VALUE"""),"Ryan")</f>
        <v>Ryan</v>
      </c>
      <c r="C43" s="8" t="str">
        <f>IFERROR(__xludf.DUMMYFUNCTION("""COMPUTED_VALUE"""),"Pittsburgh")</f>
        <v>Pittsburgh</v>
      </c>
      <c r="D43" s="8" t="str">
        <f>IFERROR(__xludf.DUMMYFUNCTION("""COMPUTED_VALUE"""),"PA")</f>
        <v>PA</v>
      </c>
      <c r="E43" s="8" t="str">
        <f>IFERROR(__xludf.DUMMYFUNCTION("""COMPUTED_VALUE"""),"USA")</f>
        <v>USA</v>
      </c>
      <c r="F43" s="8" t="str">
        <f>IFERROR(__xludf.DUMMYFUNCTION("""COMPUTED_VALUE"""),"Mens Cricket Doubles")</f>
        <v>Mens Cricket Doubles</v>
      </c>
      <c r="G43" s="8" t="str">
        <f>IFERROR(__xludf.DUMMYFUNCTION("""COMPUTED_VALUE"""),"3rd")</f>
        <v>3rd</v>
      </c>
      <c r="H43" s="8" t="str">
        <f>IFERROR(__xludf.DUMMYFUNCTION("""COMPUTED_VALUE"""),"PA Regional 32")</f>
        <v>PA Regional 32</v>
      </c>
      <c r="I43" s="10">
        <f>IFERROR(__xludf.DUMMYFUNCTION("""COMPUTED_VALUE"""),42887.0)</f>
        <v>42887</v>
      </c>
      <c r="J43" s="10">
        <f>IFERROR(__xludf.DUMMYFUNCTION("""COMPUTED_VALUE"""),43983.0)</f>
        <v>43983</v>
      </c>
      <c r="K43" s="1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9" t="str">
        <f>IFERROR(__xludf.DUMMYFUNCTION("""COMPUTED_VALUE"""),"Ball")</f>
        <v>Ball</v>
      </c>
      <c r="B44" s="8" t="str">
        <f>IFERROR(__xludf.DUMMYFUNCTION("""COMPUTED_VALUE"""),"Charles")</f>
        <v>Charles</v>
      </c>
      <c r="C44" s="8" t="str">
        <f>IFERROR(__xludf.DUMMYFUNCTION("""COMPUTED_VALUE"""),"Mingo Junction")</f>
        <v>Mingo Junction</v>
      </c>
      <c r="D44" s="8" t="str">
        <f>IFERROR(__xludf.DUMMYFUNCTION("""COMPUTED_VALUE"""),"OH")</f>
        <v>OH</v>
      </c>
      <c r="E44" s="8" t="str">
        <f>IFERROR(__xludf.DUMMYFUNCTION("""COMPUTED_VALUE"""),"USA")</f>
        <v>USA</v>
      </c>
      <c r="F44" s="8" t="str">
        <f>IFERROR(__xludf.DUMMYFUNCTION("""COMPUTED_VALUE"""),"Pro/Am Cricket")</f>
        <v>Pro/Am Cricket</v>
      </c>
      <c r="G44" s="8" t="str">
        <f>IFERROR(__xludf.DUMMYFUNCTION("""COMPUTED_VALUE"""),"1st")</f>
        <v>1st</v>
      </c>
      <c r="H44" s="8" t="str">
        <f>IFERROR(__xludf.DUMMYFUNCTION("""COMPUTED_VALUE"""),"Pennsylvania BS 34")</f>
        <v>Pennsylvania BS 34</v>
      </c>
      <c r="I44" s="10">
        <f>IFERROR(__xludf.DUMMYFUNCTION("""COMPUTED_VALUE"""),43617.0)</f>
        <v>43617</v>
      </c>
      <c r="J44" s="10">
        <f>IFERROR(__xludf.DUMMYFUNCTION("""COMPUTED_VALUE"""),44713.0)</f>
        <v>44713</v>
      </c>
      <c r="K44" s="1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9" t="str">
        <f>IFERROR(__xludf.DUMMYFUNCTION("""COMPUTED_VALUE"""),"Barkley, Sr.")</f>
        <v>Barkley, Sr.</v>
      </c>
      <c r="B45" s="8" t="str">
        <f>IFERROR(__xludf.DUMMYFUNCTION("""COMPUTED_VALUE"""),"Emory (Rookie)")</f>
        <v>Emory (Rookie)</v>
      </c>
      <c r="C45" s="8" t="str">
        <f>IFERROR(__xludf.DUMMYFUNCTION("""COMPUTED_VALUE"""),"Dalzell")</f>
        <v>Dalzell</v>
      </c>
      <c r="D45" s="8" t="str">
        <f>IFERROR(__xludf.DUMMYFUNCTION("""COMPUTED_VALUE"""),"SC")</f>
        <v>SC</v>
      </c>
      <c r="E45" s="8" t="str">
        <f>IFERROR(__xludf.DUMMYFUNCTION("""COMPUTED_VALUE"""),"USA")</f>
        <v>USA</v>
      </c>
      <c r="F45" s="8" t="str">
        <f>IFERROR(__xludf.DUMMYFUNCTION("""COMPUTED_VALUE"""),"Pro/Am Cricket")</f>
        <v>Pro/Am Cricket</v>
      </c>
      <c r="G45" s="8" t="str">
        <f>IFERROR(__xludf.DUMMYFUNCTION("""COMPUTED_VALUE"""),"2nd")</f>
        <v>2nd</v>
      </c>
      <c r="H45" s="8" t="str">
        <f>IFERROR(__xludf.DUMMYFUNCTION("""COMPUTED_VALUE"""),"SC Regional 32")</f>
        <v>SC Regional 32</v>
      </c>
      <c r="I45" s="10">
        <f>IFERROR(__xludf.DUMMYFUNCTION("""COMPUTED_VALUE"""),42887.0)</f>
        <v>42887</v>
      </c>
      <c r="J45" s="10">
        <f>IFERROR(__xludf.DUMMYFUNCTION("""COMPUTED_VALUE"""),43983.0)</f>
        <v>43983</v>
      </c>
      <c r="K45" s="1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9" t="str">
        <f>IFERROR(__xludf.DUMMYFUNCTION("""COMPUTED_VALUE"""),"Barr")</f>
        <v>Barr</v>
      </c>
      <c r="B46" s="8" t="str">
        <f>IFERROR(__xludf.DUMMYFUNCTION("""COMPUTED_VALUE"""),"Michael")</f>
        <v>Michael</v>
      </c>
      <c r="C46" s="8" t="str">
        <f>IFERROR(__xludf.DUMMYFUNCTION("""COMPUTED_VALUE"""),"San Antonio")</f>
        <v>San Antonio</v>
      </c>
      <c r="D46" s="8" t="str">
        <f>IFERROR(__xludf.DUMMYFUNCTION("""COMPUTED_VALUE"""),"TX")</f>
        <v>TX</v>
      </c>
      <c r="E46" s="8" t="str">
        <f>IFERROR(__xludf.DUMMYFUNCTION("""COMPUTED_VALUE"""),"USA")</f>
        <v>USA</v>
      </c>
      <c r="F46" s="8" t="str">
        <f>IFERROR(__xludf.DUMMYFUNCTION("""COMPUTED_VALUE"""),"Pro/Am Cricket")</f>
        <v>Pro/Am Cricket</v>
      </c>
      <c r="G46" s="8" t="str">
        <f>IFERROR(__xludf.DUMMYFUNCTION("""COMPUTED_VALUE"""),"2nd")</f>
        <v>2nd</v>
      </c>
      <c r="H46" s="8" t="str">
        <f>IFERROR(__xludf.DUMMYFUNCTION("""COMPUTED_VALUE"""),"TX Regional 32")</f>
        <v>TX Regional 32</v>
      </c>
      <c r="I46" s="10">
        <f>IFERROR(__xludf.DUMMYFUNCTION("""COMPUTED_VALUE"""),42887.0)</f>
        <v>42887</v>
      </c>
      <c r="J46" s="10">
        <f>IFERROR(__xludf.DUMMYFUNCTION("""COMPUTED_VALUE"""),43983.0)</f>
        <v>43983</v>
      </c>
      <c r="K46" s="11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9" t="str">
        <f>IFERROR(__xludf.DUMMYFUNCTION("""COMPUTED_VALUE"""),"Barth")</f>
        <v>Barth</v>
      </c>
      <c r="B47" s="8" t="str">
        <f>IFERROR(__xludf.DUMMYFUNCTION("""COMPUTED_VALUE"""),"Dennis")</f>
        <v>Dennis</v>
      </c>
      <c r="C47" s="8" t="str">
        <f>IFERROR(__xludf.DUMMYFUNCTION("""COMPUTED_VALUE"""),"Amherst")</f>
        <v>Amherst</v>
      </c>
      <c r="D47" s="8" t="str">
        <f>IFERROR(__xludf.DUMMYFUNCTION("""COMPUTED_VALUE"""),"WI")</f>
        <v>WI</v>
      </c>
      <c r="E47" s="8" t="str">
        <f>IFERROR(__xludf.DUMMYFUNCTION("""COMPUTED_VALUE"""),"USA")</f>
        <v>USA</v>
      </c>
      <c r="F47" s="8" t="str">
        <f>IFERROR(__xludf.DUMMYFUNCTION("""COMPUTED_VALUE"""),"Men Doubles Cricket")</f>
        <v>Men Doubles Cricket</v>
      </c>
      <c r="G47" s="8" t="str">
        <f>IFERROR(__xludf.DUMMYFUNCTION("""COMPUTED_VALUE"""),"1st")</f>
        <v>1st</v>
      </c>
      <c r="H47" s="8" t="str">
        <f>IFERROR(__xludf.DUMMYFUNCTION("""COMPUTED_VALUE"""),"Wisconsin BS 34")</f>
        <v>Wisconsin BS 34</v>
      </c>
      <c r="I47" s="10">
        <f>IFERROR(__xludf.DUMMYFUNCTION("""COMPUTED_VALUE"""),43617.0)</f>
        <v>43617</v>
      </c>
      <c r="J47" s="10">
        <f>IFERROR(__xludf.DUMMYFUNCTION("""COMPUTED_VALUE"""),44713.0)</f>
        <v>44713</v>
      </c>
      <c r="K47" s="11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9" t="str">
        <f>IFERROR(__xludf.DUMMYFUNCTION("""COMPUTED_VALUE"""),"Bartow")</f>
        <v>Bartow</v>
      </c>
      <c r="B48" s="8" t="str">
        <f>IFERROR(__xludf.DUMMYFUNCTION("""COMPUTED_VALUE"""),"Josh")</f>
        <v>Josh</v>
      </c>
      <c r="C48" s="8" t="str">
        <f>IFERROR(__xludf.DUMMYFUNCTION("""COMPUTED_VALUE"""),"Oshkosh")</f>
        <v>Oshkosh</v>
      </c>
      <c r="D48" s="8" t="str">
        <f>IFERROR(__xludf.DUMMYFUNCTION("""COMPUTED_VALUE"""),"WI")</f>
        <v>WI</v>
      </c>
      <c r="E48" s="8" t="str">
        <f>IFERROR(__xludf.DUMMYFUNCTION("""COMPUTED_VALUE"""),"USA")</f>
        <v>USA</v>
      </c>
      <c r="F48" s="8" t="str">
        <f>IFERROR(__xludf.DUMMYFUNCTION("""COMPUTED_VALUE"""),"Mens Cricket Doubles")</f>
        <v>Mens Cricket Doubles</v>
      </c>
      <c r="G48" s="8" t="str">
        <f>IFERROR(__xludf.DUMMYFUNCTION("""COMPUTED_VALUE"""),"3rd")</f>
        <v>3rd</v>
      </c>
      <c r="H48" s="8" t="str">
        <f>IFERROR(__xludf.DUMMYFUNCTION("""COMPUTED_VALUE"""),"WI Regional 32")</f>
        <v>WI Regional 32</v>
      </c>
      <c r="I48" s="10">
        <f>IFERROR(__xludf.DUMMYFUNCTION("""COMPUTED_VALUE"""),42887.0)</f>
        <v>42887</v>
      </c>
      <c r="J48" s="10">
        <f>IFERROR(__xludf.DUMMYFUNCTION("""COMPUTED_VALUE"""),43983.0)</f>
        <v>43983</v>
      </c>
      <c r="K48" s="11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9" t="str">
        <f>IFERROR(__xludf.DUMMYFUNCTION("""COMPUTED_VALUE"""),"Bastien")</f>
        <v>Bastien</v>
      </c>
      <c r="B49" s="8" t="str">
        <f>IFERROR(__xludf.DUMMYFUNCTION("""COMPUTED_VALUE"""),"Andrew")</f>
        <v>Andrew</v>
      </c>
      <c r="C49" s="8" t="str">
        <f>IFERROR(__xludf.DUMMYFUNCTION("""COMPUTED_VALUE"""),"New Port Richey")</f>
        <v>New Port Richey</v>
      </c>
      <c r="D49" s="8" t="str">
        <f>IFERROR(__xludf.DUMMYFUNCTION("""COMPUTED_VALUE"""),"FL")</f>
        <v>FL</v>
      </c>
      <c r="E49" s="8" t="str">
        <f>IFERROR(__xludf.DUMMYFUNCTION("""COMPUTED_VALUE"""),"USA")</f>
        <v>USA</v>
      </c>
      <c r="F49" s="8" t="str">
        <f>IFERROR(__xludf.DUMMYFUNCTION("""COMPUTED_VALUE"""),"Mens Doubles")</f>
        <v>Mens Doubles</v>
      </c>
      <c r="G49" s="8" t="str">
        <f>IFERROR(__xludf.DUMMYFUNCTION("""COMPUTED_VALUE"""),"3rd")</f>
        <v>3rd</v>
      </c>
      <c r="H49" s="8" t="str">
        <f>IFERROR(__xludf.DUMMYFUNCTION("""COMPUTED_VALUE"""),"TN Regional 32")</f>
        <v>TN Regional 32</v>
      </c>
      <c r="I49" s="10">
        <f>IFERROR(__xludf.DUMMYFUNCTION("""COMPUTED_VALUE"""),42887.0)</f>
        <v>42887</v>
      </c>
      <c r="J49" s="10">
        <f>IFERROR(__xludf.DUMMYFUNCTION("""COMPUTED_VALUE"""),43983.0)</f>
        <v>43983</v>
      </c>
      <c r="K49" s="11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9" t="str">
        <f>IFERROR(__xludf.DUMMYFUNCTION("""COMPUTED_VALUE"""),"Baugh")</f>
        <v>Baugh</v>
      </c>
      <c r="B50" s="8" t="str">
        <f>IFERROR(__xludf.DUMMYFUNCTION("""COMPUTED_VALUE"""),"Thomas")</f>
        <v>Thomas</v>
      </c>
      <c r="C50" s="8" t="str">
        <f>IFERROR(__xludf.DUMMYFUNCTION("""COMPUTED_VALUE"""),"")</f>
        <v/>
      </c>
      <c r="D50" s="8" t="str">
        <f>IFERROR(__xludf.DUMMYFUNCTION("""COMPUTED_VALUE"""),"UNK")</f>
        <v>UNK</v>
      </c>
      <c r="E50" s="8" t="str">
        <f>IFERROR(__xludf.DUMMYFUNCTION("""COMPUTED_VALUE"""),"USA")</f>
        <v>USA</v>
      </c>
      <c r="F50" s="8" t="str">
        <f>IFERROR(__xludf.DUMMYFUNCTION("""COMPUTED_VALUE"""),"ADO 2016")</f>
        <v>ADO 2016</v>
      </c>
      <c r="G50" s="8" t="str">
        <f>IFERROR(__xludf.DUMMYFUNCTION("""COMPUTED_VALUE"""),"34th")</f>
        <v>34th</v>
      </c>
      <c r="H50" s="8" t="str">
        <f>IFERROR(__xludf.DUMMYFUNCTION("""COMPUTED_VALUE"""),"ADO 2016")</f>
        <v>ADO 2016</v>
      </c>
      <c r="I50" s="10">
        <f>IFERROR(__xludf.DUMMYFUNCTION("""COMPUTED_VALUE"""),42401.0)</f>
        <v>42401</v>
      </c>
      <c r="J50" s="10">
        <f>IFERROR(__xludf.DUMMYFUNCTION("""COMPUTED_VALUE"""),44713.0)</f>
        <v>44713</v>
      </c>
      <c r="K50" s="11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9" t="str">
        <f>IFERROR(__xludf.DUMMYFUNCTION("""COMPUTED_VALUE"""),"Baxter")</f>
        <v>Baxter</v>
      </c>
      <c r="B51" s="8" t="str">
        <f>IFERROR(__xludf.DUMMYFUNCTION("""COMPUTED_VALUE"""),"Ronnie")</f>
        <v>Ronnie</v>
      </c>
      <c r="C51" s="8" t="str">
        <f>IFERROR(__xludf.DUMMYFUNCTION("""COMPUTED_VALUE"""),"")</f>
        <v/>
      </c>
      <c r="D51" s="8" t="str">
        <f>IFERROR(__xludf.DUMMYFUNCTION("""COMPUTED_VALUE"""),"UNK")</f>
        <v>UNK</v>
      </c>
      <c r="E51" s="8" t="str">
        <f>IFERROR(__xludf.DUMMYFUNCTION("""COMPUTED_VALUE"""),"England")</f>
        <v>England</v>
      </c>
      <c r="F51" s="8" t="str">
        <f>IFERROR(__xludf.DUMMYFUNCTION("""COMPUTED_VALUE"""),"PDC Merit Ranking")</f>
        <v>PDC Merit Ranking</v>
      </c>
      <c r="G51" s="8" t="str">
        <f>IFERROR(__xludf.DUMMYFUNCTION("""COMPUTED_VALUE"""),"50th")</f>
        <v>50th</v>
      </c>
      <c r="H51" s="8" t="str">
        <f>IFERROR(__xludf.DUMMYFUNCTION("""COMPUTED_VALUE"""),"PDC Merit Ranking")</f>
        <v>PDC Merit Ranking</v>
      </c>
      <c r="I51" s="10">
        <f>IFERROR(__xludf.DUMMYFUNCTION("""COMPUTED_VALUE"""),42401.0)</f>
        <v>42401</v>
      </c>
      <c r="J51" s="10">
        <f>IFERROR(__xludf.DUMMYFUNCTION("""COMPUTED_VALUE"""),44713.0)</f>
        <v>44713</v>
      </c>
      <c r="K51" s="11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9" t="str">
        <f>IFERROR(__xludf.DUMMYFUNCTION("""COMPUTED_VALUE"""),"Beard")</f>
        <v>Beard</v>
      </c>
      <c r="B52" s="8" t="str">
        <f>IFERROR(__xludf.DUMMYFUNCTION("""COMPUTED_VALUE"""),"John")</f>
        <v>John</v>
      </c>
      <c r="C52" s="8" t="str">
        <f>IFERROR(__xludf.DUMMYFUNCTION("""COMPUTED_VALUE"""),"Land o Lakes")</f>
        <v>Land o Lakes</v>
      </c>
      <c r="D52" s="8" t="str">
        <f>IFERROR(__xludf.DUMMYFUNCTION("""COMPUTED_VALUE"""),"FL")</f>
        <v>FL</v>
      </c>
      <c r="E52" s="8" t="str">
        <f>IFERROR(__xludf.DUMMYFUNCTION("""COMPUTED_VALUE"""),"USA")</f>
        <v>USA</v>
      </c>
      <c r="F52" s="8" t="str">
        <f>IFERROR(__xludf.DUMMYFUNCTION("""COMPUTED_VALUE"""),"Mens Doubles")</f>
        <v>Mens Doubles</v>
      </c>
      <c r="G52" s="8" t="str">
        <f>IFERROR(__xludf.DUMMYFUNCTION("""COMPUTED_VALUE"""),"1st")</f>
        <v>1st</v>
      </c>
      <c r="H52" s="8" t="str">
        <f>IFERROR(__xludf.DUMMYFUNCTION("""COMPUTED_VALUE"""),"FL Regional 33")</f>
        <v>FL Regional 33</v>
      </c>
      <c r="I52" s="10">
        <f>IFERROR(__xludf.DUMMYFUNCTION("""COMPUTED_VALUE"""),43252.0)</f>
        <v>43252</v>
      </c>
      <c r="J52" s="10">
        <f>IFERROR(__xludf.DUMMYFUNCTION("""COMPUTED_VALUE"""),44348.0)</f>
        <v>44348</v>
      </c>
      <c r="K52" s="11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9" t="str">
        <f>IFERROR(__xludf.DUMMYFUNCTION("""COMPUTED_VALUE"""),"Beauchamp")</f>
        <v>Beauchamp</v>
      </c>
      <c r="B53" s="8" t="str">
        <f>IFERROR(__xludf.DUMMYFUNCTION("""COMPUTED_VALUE"""),"Corey")</f>
        <v>Corey</v>
      </c>
      <c r="C53" s="8" t="str">
        <f>IFERROR(__xludf.DUMMYFUNCTION("""COMPUTED_VALUE"""),"Greenwood")</f>
        <v>Greenwood</v>
      </c>
      <c r="D53" s="8" t="str">
        <f>IFERROR(__xludf.DUMMYFUNCTION("""COMPUTED_VALUE"""),"IN")</f>
        <v>IN</v>
      </c>
      <c r="E53" s="8" t="str">
        <f>IFERROR(__xludf.DUMMYFUNCTION("""COMPUTED_VALUE"""),"USA")</f>
        <v>USA</v>
      </c>
      <c r="F53" s="8" t="str">
        <f>IFERROR(__xludf.DUMMYFUNCTION("""COMPUTED_VALUE"""),"Men Doubles Cricket")</f>
        <v>Men Doubles Cricket</v>
      </c>
      <c r="G53" s="8" t="str">
        <f>IFERROR(__xludf.DUMMYFUNCTION("""COMPUTED_VALUE"""),"3rd")</f>
        <v>3rd</v>
      </c>
      <c r="H53" s="8" t="str">
        <f>IFERROR(__xludf.DUMMYFUNCTION("""COMPUTED_VALUE"""),"Indiana BS 34")</f>
        <v>Indiana BS 34</v>
      </c>
      <c r="I53" s="10">
        <f>IFERROR(__xludf.DUMMYFUNCTION("""COMPUTED_VALUE"""),43617.0)</f>
        <v>43617</v>
      </c>
      <c r="J53" s="10">
        <f>IFERROR(__xludf.DUMMYFUNCTION("""COMPUTED_VALUE"""),44713.0)</f>
        <v>44713</v>
      </c>
      <c r="K53" s="11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9" t="str">
        <f>IFERROR(__xludf.DUMMYFUNCTION("""COMPUTED_VALUE"""),"Beaudette")</f>
        <v>Beaudette</v>
      </c>
      <c r="B54" s="8" t="str">
        <f>IFERROR(__xludf.DUMMYFUNCTION("""COMPUTED_VALUE"""),"Christopher")</f>
        <v>Christopher</v>
      </c>
      <c r="C54" s="8" t="str">
        <f>IFERROR(__xludf.DUMMYFUNCTION("""COMPUTED_VALUE"""),"Peru")</f>
        <v>Peru</v>
      </c>
      <c r="D54" s="8" t="str">
        <f>IFERROR(__xludf.DUMMYFUNCTION("""COMPUTED_VALUE"""),"NY")</f>
        <v>NY</v>
      </c>
      <c r="E54" s="8" t="str">
        <f>IFERROR(__xludf.DUMMYFUNCTION("""COMPUTED_VALUE"""),"USA")</f>
        <v>USA</v>
      </c>
      <c r="F54" s="8" t="str">
        <f>IFERROR(__xludf.DUMMYFUNCTION("""COMPUTED_VALUE"""),"Mens Doubles")</f>
        <v>Mens Doubles</v>
      </c>
      <c r="G54" s="8" t="str">
        <f>IFERROR(__xludf.DUMMYFUNCTION("""COMPUTED_VALUE"""),"1st")</f>
        <v>1st</v>
      </c>
      <c r="H54" s="8" t="str">
        <f>IFERROR(__xludf.DUMMYFUNCTION("""COMPUTED_VALUE"""),"NY Regional 32")</f>
        <v>NY Regional 32</v>
      </c>
      <c r="I54" s="10">
        <f>IFERROR(__xludf.DUMMYFUNCTION("""COMPUTED_VALUE"""),42887.0)</f>
        <v>42887</v>
      </c>
      <c r="J54" s="10">
        <f>IFERROR(__xludf.DUMMYFUNCTION("""COMPUTED_VALUE"""),43983.0)</f>
        <v>43983</v>
      </c>
      <c r="K54" s="11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9" t="str">
        <f>IFERROR(__xludf.DUMMYFUNCTION("""COMPUTED_VALUE"""),"Beebe")</f>
        <v>Beebe</v>
      </c>
      <c r="B55" s="8" t="str">
        <f>IFERROR(__xludf.DUMMYFUNCTION("""COMPUTED_VALUE"""),"Derek")</f>
        <v>Derek</v>
      </c>
      <c r="C55" s="8" t="str">
        <f>IFERROR(__xludf.DUMMYFUNCTION("""COMPUTED_VALUE"""),"Lakeland")</f>
        <v>Lakeland</v>
      </c>
      <c r="D55" s="8" t="str">
        <f>IFERROR(__xludf.DUMMYFUNCTION("""COMPUTED_VALUE"""),"FL")</f>
        <v>FL</v>
      </c>
      <c r="E55" s="8" t="str">
        <f>IFERROR(__xludf.DUMMYFUNCTION("""COMPUTED_VALUE"""),"USA")</f>
        <v>USA</v>
      </c>
      <c r="F55" s="8" t="str">
        <f>IFERROR(__xludf.DUMMYFUNCTION("""COMPUTED_VALUE"""),"Mens Doubles")</f>
        <v>Mens Doubles</v>
      </c>
      <c r="G55" s="8" t="str">
        <f>IFERROR(__xludf.DUMMYFUNCTION("""COMPUTED_VALUE"""),"1st")</f>
        <v>1st</v>
      </c>
      <c r="H55" s="8" t="str">
        <f>IFERROR(__xludf.DUMMYFUNCTION("""COMPUTED_VALUE"""),"BullShooter 32")</f>
        <v>BullShooter 32</v>
      </c>
      <c r="I55" s="10">
        <f>IFERROR(__xludf.DUMMYFUNCTION("""COMPUTED_VALUE"""),42887.0)</f>
        <v>42887</v>
      </c>
      <c r="J55" s="10">
        <f>IFERROR(__xludf.DUMMYFUNCTION("""COMPUTED_VALUE"""),43983.0)</f>
        <v>43983</v>
      </c>
      <c r="K55" s="11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9" t="str">
        <f>IFERROR(__xludf.DUMMYFUNCTION("""COMPUTED_VALUE"""),"Beecroft")</f>
        <v>Beecroft</v>
      </c>
      <c r="B56" s="8" t="str">
        <f>IFERROR(__xludf.DUMMYFUNCTION("""COMPUTED_VALUE"""),"Joey")</f>
        <v>Joey</v>
      </c>
      <c r="C56" s="8" t="str">
        <f>IFERROR(__xludf.DUMMYFUNCTION("""COMPUTED_VALUE"""),"Crystal Lake")</f>
        <v>Crystal Lake</v>
      </c>
      <c r="D56" s="8" t="str">
        <f>IFERROR(__xludf.DUMMYFUNCTION("""COMPUTED_VALUE"""),"IL")</f>
        <v>IL</v>
      </c>
      <c r="E56" s="8" t="str">
        <f>IFERROR(__xludf.DUMMYFUNCTION("""COMPUTED_VALUE"""),"USA")</f>
        <v>USA</v>
      </c>
      <c r="F56" s="8" t="str">
        <f>IFERROR(__xludf.DUMMYFUNCTION("""COMPUTED_VALUE"""),"Pro Doubles")</f>
        <v>Pro Doubles</v>
      </c>
      <c r="G56" s="8" t="str">
        <f>IFERROR(__xludf.DUMMYFUNCTION("""COMPUTED_VALUE"""),"1st")</f>
        <v>1st</v>
      </c>
      <c r="H56" s="8" t="str">
        <f>IFERROR(__xludf.DUMMYFUNCTION("""COMPUTED_VALUE"""),"Known Ability")</f>
        <v>Known Ability</v>
      </c>
      <c r="I56" s="10">
        <f>IFERROR(__xludf.DUMMYFUNCTION("""COMPUTED_VALUE"""),41061.0)</f>
        <v>41061</v>
      </c>
      <c r="J56" s="10">
        <f>IFERROR(__xludf.DUMMYFUNCTION("""COMPUTED_VALUE"""),45809.0)</f>
        <v>45809</v>
      </c>
      <c r="K56" s="11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9" t="str">
        <f>IFERROR(__xludf.DUMMYFUNCTION("""COMPUTED_VALUE"""),"Beijleveld")</f>
        <v>Beijleveld</v>
      </c>
      <c r="B57" s="8" t="str">
        <f>IFERROR(__xludf.DUMMYFUNCTION("""COMPUTED_VALUE"""),"Ferry")</f>
        <v>Ferry</v>
      </c>
      <c r="C57" s="8" t="str">
        <f>IFERROR(__xludf.DUMMYFUNCTION("""COMPUTED_VALUE"""),"")</f>
        <v/>
      </c>
      <c r="D57" s="8" t="str">
        <f>IFERROR(__xludf.DUMMYFUNCTION("""COMPUTED_VALUE"""),"UNK")</f>
        <v>UNK</v>
      </c>
      <c r="E57" s="8" t="str">
        <f>IFERROR(__xludf.DUMMYFUNCTION("""COMPUTED_VALUE"""),"Netherlands")</f>
        <v>Netherlands</v>
      </c>
      <c r="F57" s="8" t="str">
        <f>IFERROR(__xludf.DUMMYFUNCTION("""COMPUTED_VALUE"""),"Pro Cricket Singles")</f>
        <v>Pro Cricket Singles</v>
      </c>
      <c r="G57" s="8" t="str">
        <f>IFERROR(__xludf.DUMMYFUNCTION("""COMPUTED_VALUE"""),"2nd")</f>
        <v>2nd</v>
      </c>
      <c r="H57" s="8" t="str">
        <f>IFERROR(__xludf.DUMMYFUNCTION("""COMPUTED_VALUE"""),"Off AA List")</f>
        <v>Off AA List</v>
      </c>
      <c r="I57" s="10">
        <f>IFERROR(__xludf.DUMMYFUNCTION("""COMPUTED_VALUE"""),42887.0)</f>
        <v>42887</v>
      </c>
      <c r="J57" s="10">
        <f>IFERROR(__xludf.DUMMYFUNCTION("""COMPUTED_VALUE"""),43983.0)</f>
        <v>43983</v>
      </c>
      <c r="K57" s="11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9" t="str">
        <f>IFERROR(__xludf.DUMMYFUNCTION("""COMPUTED_VALUE"""),"Bell")</f>
        <v>Bell</v>
      </c>
      <c r="B58" s="8" t="str">
        <f>IFERROR(__xludf.DUMMYFUNCTION("""COMPUTED_VALUE"""),"Bill")</f>
        <v>Bill</v>
      </c>
      <c r="C58" s="8" t="str">
        <f>IFERROR(__xludf.DUMMYFUNCTION("""COMPUTED_VALUE"""),"")</f>
        <v/>
      </c>
      <c r="D58" s="8" t="str">
        <f>IFERROR(__xludf.DUMMYFUNCTION("""COMPUTED_VALUE"""),"UNK")</f>
        <v>UNK</v>
      </c>
      <c r="E58" s="8" t="str">
        <f>IFERROR(__xludf.DUMMYFUNCTION("""COMPUTED_VALUE"""),"USA")</f>
        <v>USA</v>
      </c>
      <c r="F58" s="8" t="str">
        <f>IFERROR(__xludf.DUMMYFUNCTION("""COMPUTED_VALUE"""),"ADO 2014")</f>
        <v>ADO 2014</v>
      </c>
      <c r="G58" s="8" t="str">
        <f>IFERROR(__xludf.DUMMYFUNCTION("""COMPUTED_VALUE"""),"16th")</f>
        <v>16th</v>
      </c>
      <c r="H58" s="8" t="str">
        <f>IFERROR(__xludf.DUMMYFUNCTION("""COMPUTED_VALUE"""),"Off AA List")</f>
        <v>Off AA List</v>
      </c>
      <c r="I58" s="10">
        <f>IFERROR(__xludf.DUMMYFUNCTION("""COMPUTED_VALUE"""),42887.0)</f>
        <v>42887</v>
      </c>
      <c r="J58" s="10">
        <f>IFERROR(__xludf.DUMMYFUNCTION("""COMPUTED_VALUE"""),43983.0)</f>
        <v>43983</v>
      </c>
      <c r="K58" s="11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9" t="str">
        <f>IFERROR(__xludf.DUMMYFUNCTION("""COMPUTED_VALUE"""),"Bell")</f>
        <v>Bell</v>
      </c>
      <c r="B59" s="8" t="str">
        <f>IFERROR(__xludf.DUMMYFUNCTION("""COMPUTED_VALUE"""),"Richard")</f>
        <v>Richard</v>
      </c>
      <c r="C59" s="8" t="str">
        <f>IFERROR(__xludf.DUMMYFUNCTION("""COMPUTED_VALUE"""),"")</f>
        <v/>
      </c>
      <c r="D59" s="8" t="str">
        <f>IFERROR(__xludf.DUMMYFUNCTION("""COMPUTED_VALUE"""),"")</f>
        <v/>
      </c>
      <c r="E59" s="8" t="str">
        <f>IFERROR(__xludf.DUMMYFUNCTION("""COMPUTED_VALUE"""),"Canada")</f>
        <v>Canada</v>
      </c>
      <c r="F59" s="8" t="str">
        <f>IFERROR(__xludf.DUMMYFUNCTION("""COMPUTED_VALUE"""),"Mens Cricket Doubles")</f>
        <v>Mens Cricket Doubles</v>
      </c>
      <c r="G59" s="8" t="str">
        <f>IFERROR(__xludf.DUMMYFUNCTION("""COMPUTED_VALUE"""),"3rd")</f>
        <v>3rd</v>
      </c>
      <c r="H59" s="8" t="str">
        <f>IFERROR(__xludf.DUMMYFUNCTION("""COMPUTED_VALUE"""),"NY Regional 33")</f>
        <v>NY Regional 33</v>
      </c>
      <c r="I59" s="10">
        <f>IFERROR(__xludf.DUMMYFUNCTION("""COMPUTED_VALUE"""),43252.0)</f>
        <v>43252</v>
      </c>
      <c r="J59" s="10">
        <f>IFERROR(__xludf.DUMMYFUNCTION("""COMPUTED_VALUE"""),44348.0)</f>
        <v>44348</v>
      </c>
      <c r="K59" s="11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9" t="str">
        <f>IFERROR(__xludf.DUMMYFUNCTION("""COMPUTED_VALUE"""),"Beltz")</f>
        <v>Beltz</v>
      </c>
      <c r="B60" s="8" t="str">
        <f>IFERROR(__xludf.DUMMYFUNCTION("""COMPUTED_VALUE"""),"Ben")</f>
        <v>Ben</v>
      </c>
      <c r="C60" s="8" t="str">
        <f>IFERROR(__xludf.DUMMYFUNCTION("""COMPUTED_VALUE"""),"Fairfield")</f>
        <v>Fairfield</v>
      </c>
      <c r="D60" s="8" t="str">
        <f>IFERROR(__xludf.DUMMYFUNCTION("""COMPUTED_VALUE"""),"OH")</f>
        <v>OH</v>
      </c>
      <c r="E60" s="8" t="str">
        <f>IFERROR(__xludf.DUMMYFUNCTION("""COMPUTED_VALUE"""),"USA")</f>
        <v>USA</v>
      </c>
      <c r="F60" s="8" t="str">
        <f>IFERROR(__xludf.DUMMYFUNCTION("""COMPUTED_VALUE"""),"Mens Cricket Doubles")</f>
        <v>Mens Cricket Doubles</v>
      </c>
      <c r="G60" s="8" t="str">
        <f>IFERROR(__xludf.DUMMYFUNCTION("""COMPUTED_VALUE"""),"2nd")</f>
        <v>2nd</v>
      </c>
      <c r="H60" s="8" t="str">
        <f>IFERROR(__xludf.DUMMYFUNCTION("""COMPUTED_VALUE"""),"IN Regional 33")</f>
        <v>IN Regional 33</v>
      </c>
      <c r="I60" s="10">
        <f>IFERROR(__xludf.DUMMYFUNCTION("""COMPUTED_VALUE"""),43252.0)</f>
        <v>43252</v>
      </c>
      <c r="J60" s="10">
        <f>IFERROR(__xludf.DUMMYFUNCTION("""COMPUTED_VALUE"""),44348.0)</f>
        <v>44348</v>
      </c>
      <c r="K60" s="11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9" t="str">
        <f>IFERROR(__xludf.DUMMYFUNCTION("""COMPUTED_VALUE"""),"Beneke")</f>
        <v>Beneke</v>
      </c>
      <c r="B61" s="8" t="str">
        <f>IFERROR(__xludf.DUMMYFUNCTION("""COMPUTED_VALUE"""),"Dion")</f>
        <v>Dion</v>
      </c>
      <c r="C61" s="8" t="str">
        <f>IFERROR(__xludf.DUMMYFUNCTION("""COMPUTED_VALUE"""),"Mandan")</f>
        <v>Mandan</v>
      </c>
      <c r="D61" s="8" t="str">
        <f>IFERROR(__xludf.DUMMYFUNCTION("""COMPUTED_VALUE"""),"ND")</f>
        <v>ND</v>
      </c>
      <c r="E61" s="8" t="str">
        <f>IFERROR(__xludf.DUMMYFUNCTION("""COMPUTED_VALUE"""),"USA")</f>
        <v>USA</v>
      </c>
      <c r="F61" s="8" t="str">
        <f>IFERROR(__xludf.DUMMYFUNCTION("""COMPUTED_VALUE"""),"Top Gun Singles")</f>
        <v>Top Gun Singles</v>
      </c>
      <c r="G61" s="8" t="str">
        <f>IFERROR(__xludf.DUMMYFUNCTION("""COMPUTED_VALUE"""),"3rd")</f>
        <v>3rd</v>
      </c>
      <c r="H61" s="8" t="str">
        <f>IFERROR(__xludf.DUMMYFUNCTION("""COMPUTED_VALUE"""),"BS 33 Finals")</f>
        <v>BS 33 Finals</v>
      </c>
      <c r="I61" s="10">
        <f>IFERROR(__xludf.DUMMYFUNCTION("""COMPUTED_VALUE"""),41426.0)</f>
        <v>41426</v>
      </c>
      <c r="J61" s="10">
        <f>IFERROR(__xludf.DUMMYFUNCTION("""COMPUTED_VALUE"""),44348.0)</f>
        <v>44348</v>
      </c>
      <c r="K61" s="11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9" t="str">
        <f>IFERROR(__xludf.DUMMYFUNCTION("""COMPUTED_VALUE"""),"Bennett")</f>
        <v>Bennett</v>
      </c>
      <c r="B62" s="8" t="str">
        <f>IFERROR(__xludf.DUMMYFUNCTION("""COMPUTED_VALUE"""),"John")</f>
        <v>John</v>
      </c>
      <c r="C62" s="8" t="str">
        <f>IFERROR(__xludf.DUMMYFUNCTION("""COMPUTED_VALUE"""),"Akron")</f>
        <v>Akron</v>
      </c>
      <c r="D62" s="8" t="str">
        <f>IFERROR(__xludf.DUMMYFUNCTION("""COMPUTED_VALUE"""),"OH")</f>
        <v>OH</v>
      </c>
      <c r="E62" s="8" t="str">
        <f>IFERROR(__xludf.DUMMYFUNCTION("""COMPUTED_VALUE"""),"USA")</f>
        <v>USA</v>
      </c>
      <c r="F62" s="8" t="str">
        <f>IFERROR(__xludf.DUMMYFUNCTION("""COMPUTED_VALUE"""),"Pro Doubles 501")</f>
        <v>Pro Doubles 501</v>
      </c>
      <c r="G62" s="8" t="str">
        <f>IFERROR(__xludf.DUMMYFUNCTION("""COMPUTED_VALUE"""),"3rd")</f>
        <v>3rd</v>
      </c>
      <c r="H62" s="8" t="str">
        <f>IFERROR(__xludf.DUMMYFUNCTION("""COMPUTED_VALUE"""),"Ohio BS 34")</f>
        <v>Ohio BS 34</v>
      </c>
      <c r="I62" s="10">
        <f>IFERROR(__xludf.DUMMYFUNCTION("""COMPUTED_VALUE"""),43617.0)</f>
        <v>43617</v>
      </c>
      <c r="J62" s="10">
        <f>IFERROR(__xludf.DUMMYFUNCTION("""COMPUTED_VALUE"""),44713.0)</f>
        <v>44713</v>
      </c>
      <c r="K62" s="11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9" t="str">
        <f>IFERROR(__xludf.DUMMYFUNCTION("""COMPUTED_VALUE"""),"Bennett")</f>
        <v>Bennett</v>
      </c>
      <c r="B63" s="8" t="str">
        <f>IFERROR(__xludf.DUMMYFUNCTION("""COMPUTED_VALUE"""),"Taylor")</f>
        <v>Taylor</v>
      </c>
      <c r="C63" s="8" t="str">
        <f>IFERROR(__xludf.DUMMYFUNCTION("""COMPUTED_VALUE"""),"Rochester")</f>
        <v>Rochester</v>
      </c>
      <c r="D63" s="8" t="str">
        <f>IFERROR(__xludf.DUMMYFUNCTION("""COMPUTED_VALUE"""),"NY")</f>
        <v>NY</v>
      </c>
      <c r="E63" s="8" t="str">
        <f>IFERROR(__xludf.DUMMYFUNCTION("""COMPUTED_VALUE"""),"USA")</f>
        <v>USA</v>
      </c>
      <c r="F63" s="8" t="str">
        <f>IFERROR(__xludf.DUMMYFUNCTION("""COMPUTED_VALUE"""),"Mens Singles")</f>
        <v>Mens Singles</v>
      </c>
      <c r="G63" s="8" t="str">
        <f>IFERROR(__xludf.DUMMYFUNCTION("""COMPUTED_VALUE"""),"3rd")</f>
        <v>3rd</v>
      </c>
      <c r="H63" s="8" t="str">
        <f>IFERROR(__xludf.DUMMYFUNCTION("""COMPUTED_VALUE"""),"NY Regional 33")</f>
        <v>NY Regional 33</v>
      </c>
      <c r="I63" s="10">
        <f>IFERROR(__xludf.DUMMYFUNCTION("""COMPUTED_VALUE"""),43252.0)</f>
        <v>43252</v>
      </c>
      <c r="J63" s="10">
        <f>IFERROR(__xludf.DUMMYFUNCTION("""COMPUTED_VALUE"""),44348.0)</f>
        <v>44348</v>
      </c>
      <c r="K63" s="11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9" t="str">
        <f>IFERROR(__xludf.DUMMYFUNCTION("""COMPUTED_VALUE"""),"Bennington")</f>
        <v>Bennington</v>
      </c>
      <c r="B64" s="8" t="str">
        <f>IFERROR(__xludf.DUMMYFUNCTION("""COMPUTED_VALUE"""),"Sean")</f>
        <v>Sean</v>
      </c>
      <c r="C64" s="8" t="str">
        <f>IFERROR(__xludf.DUMMYFUNCTION("""COMPUTED_VALUE"""),"Jacksonville")</f>
        <v>Jacksonville</v>
      </c>
      <c r="D64" s="8" t="str">
        <f>IFERROR(__xludf.DUMMYFUNCTION("""COMPUTED_VALUE"""),"FL")</f>
        <v>FL</v>
      </c>
      <c r="E64" s="8" t="str">
        <f>IFERROR(__xludf.DUMMYFUNCTION("""COMPUTED_VALUE"""),"USA")</f>
        <v>USA</v>
      </c>
      <c r="F64" s="8" t="str">
        <f>IFERROR(__xludf.DUMMYFUNCTION("""COMPUTED_VALUE"""),"Mens Doubles")</f>
        <v>Mens Doubles</v>
      </c>
      <c r="G64" s="8" t="str">
        <f>IFERROR(__xludf.DUMMYFUNCTION("""COMPUTED_VALUE"""),"3rd")</f>
        <v>3rd</v>
      </c>
      <c r="H64" s="8" t="str">
        <f>IFERROR(__xludf.DUMMYFUNCTION("""COMPUTED_VALUE"""),"Florida Regional 32")</f>
        <v>Florida Regional 32</v>
      </c>
      <c r="I64" s="10">
        <f>IFERROR(__xludf.DUMMYFUNCTION("""COMPUTED_VALUE"""),42887.0)</f>
        <v>42887</v>
      </c>
      <c r="J64" s="10">
        <f>IFERROR(__xludf.DUMMYFUNCTION("""COMPUTED_VALUE"""),43983.0)</f>
        <v>43983</v>
      </c>
      <c r="K64" s="11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9" t="str">
        <f>IFERROR(__xludf.DUMMYFUNCTION("""COMPUTED_VALUE"""),"Benson")</f>
        <v>Benson</v>
      </c>
      <c r="B65" s="8" t="str">
        <f>IFERROR(__xludf.DUMMYFUNCTION("""COMPUTED_VALUE"""),"Dominick")</f>
        <v>Dominick</v>
      </c>
      <c r="C65" s="8" t="str">
        <f>IFERROR(__xludf.DUMMYFUNCTION("""COMPUTED_VALUE"""),"Harbor Creek")</f>
        <v>Harbor Creek</v>
      </c>
      <c r="D65" s="8" t="str">
        <f>IFERROR(__xludf.DUMMYFUNCTION("""COMPUTED_VALUE"""),"PA")</f>
        <v>PA</v>
      </c>
      <c r="E65" s="8" t="str">
        <f>IFERROR(__xludf.DUMMYFUNCTION("""COMPUTED_VALUE"""),"USA")</f>
        <v>USA</v>
      </c>
      <c r="F65" s="8" t="str">
        <f>IFERROR(__xludf.DUMMYFUNCTION("""COMPUTED_VALUE"""),"Mens Doubles")</f>
        <v>Mens Doubles</v>
      </c>
      <c r="G65" s="8" t="str">
        <f>IFERROR(__xludf.DUMMYFUNCTION("""COMPUTED_VALUE"""),"2nd")</f>
        <v>2nd</v>
      </c>
      <c r="H65" s="8" t="str">
        <f>IFERROR(__xludf.DUMMYFUNCTION("""COMPUTED_VALUE"""),"NY Regional 32")</f>
        <v>NY Regional 32</v>
      </c>
      <c r="I65" s="10">
        <f>IFERROR(__xludf.DUMMYFUNCTION("""COMPUTED_VALUE"""),42887.0)</f>
        <v>42887</v>
      </c>
      <c r="J65" s="10">
        <f>IFERROR(__xludf.DUMMYFUNCTION("""COMPUTED_VALUE"""),43983.0)</f>
        <v>43983</v>
      </c>
      <c r="K65" s="11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9" t="str">
        <f>IFERROR(__xludf.DUMMYFUNCTION("""COMPUTED_VALUE"""),"Bertell")</f>
        <v>Bertell</v>
      </c>
      <c r="B66" s="8" t="str">
        <f>IFERROR(__xludf.DUMMYFUNCTION("""COMPUTED_VALUE"""),"Tom")</f>
        <v>Tom</v>
      </c>
      <c r="C66" s="8" t="str">
        <f>IFERROR(__xludf.DUMMYFUNCTION("""COMPUTED_VALUE"""),"Iowa City")</f>
        <v>Iowa City</v>
      </c>
      <c r="D66" s="8" t="str">
        <f>IFERROR(__xludf.DUMMYFUNCTION("""COMPUTED_VALUE"""),"IA")</f>
        <v>IA</v>
      </c>
      <c r="E66" s="8" t="str">
        <f>IFERROR(__xludf.DUMMYFUNCTION("""COMPUTED_VALUE"""),"USA")</f>
        <v>USA</v>
      </c>
      <c r="F66" s="8" t="str">
        <f>IFERROR(__xludf.DUMMYFUNCTION("""COMPUTED_VALUE"""),"Mens Singles Cricket")</f>
        <v>Mens Singles Cricket</v>
      </c>
      <c r="G66" s="8" t="str">
        <f>IFERROR(__xludf.DUMMYFUNCTION("""COMPUTED_VALUE"""),"2nd")</f>
        <v>2nd</v>
      </c>
      <c r="H66" s="8" t="str">
        <f>IFERROR(__xludf.DUMMYFUNCTION("""COMPUTED_VALUE"""),"WI Regional 32")</f>
        <v>WI Regional 32</v>
      </c>
      <c r="I66" s="10">
        <f>IFERROR(__xludf.DUMMYFUNCTION("""COMPUTED_VALUE"""),42887.0)</f>
        <v>42887</v>
      </c>
      <c r="J66" s="10">
        <f>IFERROR(__xludf.DUMMYFUNCTION("""COMPUTED_VALUE"""),43983.0)</f>
        <v>43983</v>
      </c>
      <c r="K66" s="11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9" t="str">
        <f>IFERROR(__xludf.DUMMYFUNCTION("""COMPUTED_VALUE"""),"Beyer")</f>
        <v>Beyer</v>
      </c>
      <c r="B67" s="8" t="str">
        <f>IFERROR(__xludf.DUMMYFUNCTION("""COMPUTED_VALUE"""),"Tim")</f>
        <v>Tim</v>
      </c>
      <c r="C67" s="8" t="str">
        <f>IFERROR(__xludf.DUMMYFUNCTION("""COMPUTED_VALUE"""),"Bartlett")</f>
        <v>Bartlett</v>
      </c>
      <c r="D67" s="8" t="str">
        <f>IFERROR(__xludf.DUMMYFUNCTION("""COMPUTED_VALUE"""),"TN")</f>
        <v>TN</v>
      </c>
      <c r="E67" s="8" t="str">
        <f>IFERROR(__xludf.DUMMYFUNCTION("""COMPUTED_VALUE"""),"USA")</f>
        <v>USA</v>
      </c>
      <c r="F67" s="8" t="str">
        <f>IFERROR(__xludf.DUMMYFUNCTION("""COMPUTED_VALUE"""),"Mens Cricket Doubles")</f>
        <v>Mens Cricket Doubles</v>
      </c>
      <c r="G67" s="8" t="str">
        <f>IFERROR(__xludf.DUMMYFUNCTION("""COMPUTED_VALUE"""),"3rd")</f>
        <v>3rd</v>
      </c>
      <c r="H67" s="8" t="str">
        <f>IFERROR(__xludf.DUMMYFUNCTION("""COMPUTED_VALUE"""),"TN Regional 32")</f>
        <v>TN Regional 32</v>
      </c>
      <c r="I67" s="10">
        <f>IFERROR(__xludf.DUMMYFUNCTION("""COMPUTED_VALUE"""),42887.0)</f>
        <v>42887</v>
      </c>
      <c r="J67" s="10">
        <f>IFERROR(__xludf.DUMMYFUNCTION("""COMPUTED_VALUE"""),43983.0)</f>
        <v>43983</v>
      </c>
      <c r="K67" s="11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9" t="str">
        <f>IFERROR(__xludf.DUMMYFUNCTION("""COMPUTED_VALUE"""),"Bice")</f>
        <v>Bice</v>
      </c>
      <c r="B68" s="8" t="str">
        <f>IFERROR(__xludf.DUMMYFUNCTION("""COMPUTED_VALUE"""),"Charles")</f>
        <v>Charles</v>
      </c>
      <c r="C68" s="8" t="str">
        <f>IFERROR(__xludf.DUMMYFUNCTION("""COMPUTED_VALUE"""),"Crest Hill")</f>
        <v>Crest Hill</v>
      </c>
      <c r="D68" s="8" t="str">
        <f>IFERROR(__xludf.DUMMYFUNCTION("""COMPUTED_VALUE"""),"IL")</f>
        <v>IL</v>
      </c>
      <c r="E68" s="8" t="str">
        <f>IFERROR(__xludf.DUMMYFUNCTION("""COMPUTED_VALUE"""),"USA")</f>
        <v>USA</v>
      </c>
      <c r="F68" s="8" t="str">
        <f>IFERROR(__xludf.DUMMYFUNCTION("""COMPUTED_VALUE"""),"Mens Doubles")</f>
        <v>Mens Doubles</v>
      </c>
      <c r="G68" s="8" t="str">
        <f>IFERROR(__xludf.DUMMYFUNCTION("""COMPUTED_VALUE"""),"1st")</f>
        <v>1st</v>
      </c>
      <c r="H68" s="8" t="str">
        <f>IFERROR(__xludf.DUMMYFUNCTION("""COMPUTED_VALUE"""),"WI Regional 32")</f>
        <v>WI Regional 32</v>
      </c>
      <c r="I68" s="10">
        <f>IFERROR(__xludf.DUMMYFUNCTION("""COMPUTED_VALUE"""),42887.0)</f>
        <v>42887</v>
      </c>
      <c r="J68" s="10">
        <f>IFERROR(__xludf.DUMMYFUNCTION("""COMPUTED_VALUE"""),43983.0)</f>
        <v>43983</v>
      </c>
      <c r="K68" s="11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9" t="str">
        <f>IFERROR(__xludf.DUMMYFUNCTION("""COMPUTED_VALUE"""),"Biever")</f>
        <v>Biever</v>
      </c>
      <c r="B69" s="8" t="str">
        <f>IFERROR(__xludf.DUMMYFUNCTION("""COMPUTED_VALUE"""),"Joshua")</f>
        <v>Joshua</v>
      </c>
      <c r="C69" s="8" t="str">
        <f>IFERROR(__xludf.DUMMYFUNCTION("""COMPUTED_VALUE"""),"Vermillion")</f>
        <v>Vermillion</v>
      </c>
      <c r="D69" s="8" t="str">
        <f>IFERROR(__xludf.DUMMYFUNCTION("""COMPUTED_VALUE"""),"SD")</f>
        <v>SD</v>
      </c>
      <c r="E69" s="8" t="str">
        <f>IFERROR(__xludf.DUMMYFUNCTION("""COMPUTED_VALUE"""),"USA")</f>
        <v>USA</v>
      </c>
      <c r="F69" s="8" t="str">
        <f>IFERROR(__xludf.DUMMYFUNCTION("""COMPUTED_VALUE"""),"Mens Cricket Doubles")</f>
        <v>Mens Cricket Doubles</v>
      </c>
      <c r="G69" s="8" t="str">
        <f>IFERROR(__xludf.DUMMYFUNCTION("""COMPUTED_VALUE"""),"2nd")</f>
        <v>2nd</v>
      </c>
      <c r="H69" s="8" t="str">
        <f>IFERROR(__xludf.DUMMYFUNCTION("""COMPUTED_VALUE"""),"NE Regional 33")</f>
        <v>NE Regional 33</v>
      </c>
      <c r="I69" s="10">
        <f>IFERROR(__xludf.DUMMYFUNCTION("""COMPUTED_VALUE"""),43252.0)</f>
        <v>43252</v>
      </c>
      <c r="J69" s="10">
        <f>IFERROR(__xludf.DUMMYFUNCTION("""COMPUTED_VALUE"""),44348.0)</f>
        <v>44348</v>
      </c>
      <c r="K69" s="11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9" t="str">
        <f>IFERROR(__xludf.DUMMYFUNCTION("""COMPUTED_VALUE"""),"Bilger")</f>
        <v>Bilger</v>
      </c>
      <c r="B70" s="8" t="str">
        <f>IFERROR(__xludf.DUMMYFUNCTION("""COMPUTED_VALUE"""),"Levi")</f>
        <v>Levi</v>
      </c>
      <c r="C70" s="8" t="str">
        <f>IFERROR(__xludf.DUMMYFUNCTION("""COMPUTED_VALUE"""),"McVeytown")</f>
        <v>McVeytown</v>
      </c>
      <c r="D70" s="8" t="str">
        <f>IFERROR(__xludf.DUMMYFUNCTION("""COMPUTED_VALUE"""),"PA")</f>
        <v>PA</v>
      </c>
      <c r="E70" s="8" t="str">
        <f>IFERROR(__xludf.DUMMYFUNCTION("""COMPUTED_VALUE"""),"USA")</f>
        <v>USA</v>
      </c>
      <c r="F70" s="8" t="str">
        <f>IFERROR(__xludf.DUMMYFUNCTION("""COMPUTED_VALUE"""),"Pro Doubles")</f>
        <v>Pro Doubles</v>
      </c>
      <c r="G70" s="8" t="str">
        <f>IFERROR(__xludf.DUMMYFUNCTION("""COMPUTED_VALUE"""),"1st")</f>
        <v>1st</v>
      </c>
      <c r="H70" s="8" t="str">
        <f>IFERROR(__xludf.DUMMYFUNCTION("""COMPUTED_VALUE"""),"PA Regional 33")</f>
        <v>PA Regional 33</v>
      </c>
      <c r="I70" s="10">
        <f>IFERROR(__xludf.DUMMYFUNCTION("""COMPUTED_VALUE"""),42887.0)</f>
        <v>42887</v>
      </c>
      <c r="J70" s="10">
        <f>IFERROR(__xludf.DUMMYFUNCTION("""COMPUTED_VALUE"""),44348.0)</f>
        <v>44348</v>
      </c>
      <c r="K70" s="11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9" t="str">
        <f>IFERROR(__xludf.DUMMYFUNCTION("""COMPUTED_VALUE"""),"Bingham")</f>
        <v>Bingham</v>
      </c>
      <c r="B71" s="8" t="str">
        <f>IFERROR(__xludf.DUMMYFUNCTION("""COMPUTED_VALUE"""),"Dave")</f>
        <v>Dave</v>
      </c>
      <c r="C71" s="8" t="str">
        <f>IFERROR(__xludf.DUMMYFUNCTION("""COMPUTED_VALUE"""),"Myrtle Beach")</f>
        <v>Myrtle Beach</v>
      </c>
      <c r="D71" s="8" t="str">
        <f>IFERROR(__xludf.DUMMYFUNCTION("""COMPUTED_VALUE"""),"SC")</f>
        <v>SC</v>
      </c>
      <c r="E71" s="8" t="str">
        <f>IFERROR(__xludf.DUMMYFUNCTION("""COMPUTED_VALUE"""),"USA")</f>
        <v>USA</v>
      </c>
      <c r="F71" s="8" t="str">
        <f>IFERROR(__xludf.DUMMYFUNCTION("""COMPUTED_VALUE"""),"Mens Cricket Doubles")</f>
        <v>Mens Cricket Doubles</v>
      </c>
      <c r="G71" s="8" t="str">
        <f>IFERROR(__xludf.DUMMYFUNCTION("""COMPUTED_VALUE"""),"3rd")</f>
        <v>3rd</v>
      </c>
      <c r="H71" s="8" t="str">
        <f>IFERROR(__xludf.DUMMYFUNCTION("""COMPUTED_VALUE"""),"SC Regional 33")</f>
        <v>SC Regional 33</v>
      </c>
      <c r="I71" s="10">
        <f>IFERROR(__xludf.DUMMYFUNCTION("""COMPUTED_VALUE"""),43252.0)</f>
        <v>43252</v>
      </c>
      <c r="J71" s="10">
        <f>IFERROR(__xludf.DUMMYFUNCTION("""COMPUTED_VALUE"""),44348.0)</f>
        <v>44348</v>
      </c>
      <c r="K71" s="11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9" t="str">
        <f>IFERROR(__xludf.DUMMYFUNCTION("""COMPUTED_VALUE"""),"Biot")</f>
        <v>Biot</v>
      </c>
      <c r="B72" s="8" t="str">
        <f>IFERROR(__xludf.DUMMYFUNCTION("""COMPUTED_VALUE"""),"Cyril")</f>
        <v>Cyril</v>
      </c>
      <c r="C72" s="8" t="str">
        <f>IFERROR(__xludf.DUMMYFUNCTION("""COMPUTED_VALUE"""),"")</f>
        <v/>
      </c>
      <c r="D72" s="8" t="str">
        <f>IFERROR(__xludf.DUMMYFUNCTION("""COMPUTED_VALUE"""),"UNK")</f>
        <v>UNK</v>
      </c>
      <c r="E72" s="8" t="str">
        <f>IFERROR(__xludf.DUMMYFUNCTION("""COMPUTED_VALUE"""),"France")</f>
        <v>France</v>
      </c>
      <c r="F72" s="8" t="str">
        <f>IFERROR(__xludf.DUMMYFUNCTION("""COMPUTED_VALUE"""),"DL")</f>
        <v>DL</v>
      </c>
      <c r="G72" s="8" t="str">
        <f>IFERROR(__xludf.DUMMYFUNCTION("""COMPUTED_VALUE"""),"31st")</f>
        <v>31st</v>
      </c>
      <c r="H72" s="8" t="str">
        <f>IFERROR(__xludf.DUMMYFUNCTION("""COMPUTED_VALUE"""),"DL")</f>
        <v>DL</v>
      </c>
      <c r="I72" s="10">
        <f>IFERROR(__xludf.DUMMYFUNCTION("""COMPUTED_VALUE"""),42401.0)</f>
        <v>42401</v>
      </c>
      <c r="J72" s="10">
        <f>IFERROR(__xludf.DUMMYFUNCTION("""COMPUTED_VALUE"""),44713.0)</f>
        <v>44713</v>
      </c>
      <c r="K72" s="11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9" t="str">
        <f>IFERROR(__xludf.DUMMYFUNCTION("""COMPUTED_VALUE"""),"Bivens")</f>
        <v>Bivens</v>
      </c>
      <c r="B73" s="8" t="str">
        <f>IFERROR(__xludf.DUMMYFUNCTION("""COMPUTED_VALUE"""),"Chad")</f>
        <v>Chad</v>
      </c>
      <c r="C73" s="8" t="str">
        <f>IFERROR(__xludf.DUMMYFUNCTION("""COMPUTED_VALUE"""),"Springfield")</f>
        <v>Springfield</v>
      </c>
      <c r="D73" s="8" t="str">
        <f>IFERROR(__xludf.DUMMYFUNCTION("""COMPUTED_VALUE"""),"OH")</f>
        <v>OH</v>
      </c>
      <c r="E73" s="8" t="str">
        <f>IFERROR(__xludf.DUMMYFUNCTION("""COMPUTED_VALUE"""),"USA")</f>
        <v>USA</v>
      </c>
      <c r="F73" s="8" t="str">
        <f>IFERROR(__xludf.DUMMYFUNCTION("""COMPUTED_VALUE"""),"Mens Doubles")</f>
        <v>Mens Doubles</v>
      </c>
      <c r="G73" s="8" t="str">
        <f>IFERROR(__xludf.DUMMYFUNCTION("""COMPUTED_VALUE"""),"2nd")</f>
        <v>2nd</v>
      </c>
      <c r="H73" s="8" t="str">
        <f>IFERROR(__xludf.DUMMYFUNCTION("""COMPUTED_VALUE"""),"OH Regional 33")</f>
        <v>OH Regional 33</v>
      </c>
      <c r="I73" s="10">
        <f>IFERROR(__xludf.DUMMYFUNCTION("""COMPUTED_VALUE"""),43252.0)</f>
        <v>43252</v>
      </c>
      <c r="J73" s="10">
        <f>IFERROR(__xludf.DUMMYFUNCTION("""COMPUTED_VALUE"""),44348.0)</f>
        <v>44348</v>
      </c>
      <c r="K73" s="11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9" t="str">
        <f>IFERROR(__xludf.DUMMYFUNCTION("""COMPUTED_VALUE"""),"Blackburn")</f>
        <v>Blackburn</v>
      </c>
      <c r="B74" s="8" t="str">
        <f>IFERROR(__xludf.DUMMYFUNCTION("""COMPUTED_VALUE"""),"Mathew")</f>
        <v>Mathew</v>
      </c>
      <c r="C74" s="8" t="str">
        <f>IFERROR(__xludf.DUMMYFUNCTION("""COMPUTED_VALUE"""),"Follansbee")</f>
        <v>Follansbee</v>
      </c>
      <c r="D74" s="8" t="str">
        <f>IFERROR(__xludf.DUMMYFUNCTION("""COMPUTED_VALUE"""),"WV")</f>
        <v>WV</v>
      </c>
      <c r="E74" s="8" t="str">
        <f>IFERROR(__xludf.DUMMYFUNCTION("""COMPUTED_VALUE"""),"USA")</f>
        <v>USA</v>
      </c>
      <c r="F74" s="8" t="str">
        <f>IFERROR(__xludf.DUMMYFUNCTION("""COMPUTED_VALUE"""),"Mens Cricket Doubles")</f>
        <v>Mens Cricket Doubles</v>
      </c>
      <c r="G74" s="8" t="str">
        <f>IFERROR(__xludf.DUMMYFUNCTION("""COMPUTED_VALUE"""),"1st")</f>
        <v>1st</v>
      </c>
      <c r="H74" s="8" t="str">
        <f>IFERROR(__xludf.DUMMYFUNCTION("""COMPUTED_VALUE"""),"OH Regional 32")</f>
        <v>OH Regional 32</v>
      </c>
      <c r="I74" s="10">
        <f>IFERROR(__xludf.DUMMYFUNCTION("""COMPUTED_VALUE"""),42887.0)</f>
        <v>42887</v>
      </c>
      <c r="J74" s="10">
        <f>IFERROR(__xludf.DUMMYFUNCTION("""COMPUTED_VALUE"""),43983.0)</f>
        <v>43983</v>
      </c>
      <c r="K74" s="11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9" t="str">
        <f>IFERROR(__xludf.DUMMYFUNCTION("""COMPUTED_VALUE"""),"Blackledge")</f>
        <v>Blackledge</v>
      </c>
      <c r="B75" s="8" t="str">
        <f>IFERROR(__xludf.DUMMYFUNCTION("""COMPUTED_VALUE"""),"Eric")</f>
        <v>Eric</v>
      </c>
      <c r="C75" s="8" t="str">
        <f>IFERROR(__xludf.DUMMYFUNCTION("""COMPUTED_VALUE"""),"St. Louis")</f>
        <v>St. Louis</v>
      </c>
      <c r="D75" s="8" t="str">
        <f>IFERROR(__xludf.DUMMYFUNCTION("""COMPUTED_VALUE"""),"MO")</f>
        <v>MO</v>
      </c>
      <c r="E75" s="8" t="str">
        <f>IFERROR(__xludf.DUMMYFUNCTION("""COMPUTED_VALUE"""),"USA")</f>
        <v>USA</v>
      </c>
      <c r="F75" s="8" t="str">
        <f>IFERROR(__xludf.DUMMYFUNCTION("""COMPUTED_VALUE"""),"Top Gun Pro/AA Singles")</f>
        <v>Top Gun Pro/AA Singles</v>
      </c>
      <c r="G75" s="8" t="str">
        <f>IFERROR(__xludf.DUMMYFUNCTION("""COMPUTED_VALUE"""),"1st")</f>
        <v>1st</v>
      </c>
      <c r="H75" s="8" t="str">
        <f>IFERROR(__xludf.DUMMYFUNCTION("""COMPUTED_VALUE"""),"BullShooter 31")</f>
        <v>BullShooter 31</v>
      </c>
      <c r="I75" s="10">
        <f>IFERROR(__xludf.DUMMYFUNCTION("""COMPUTED_VALUE"""),42522.0)</f>
        <v>42522</v>
      </c>
      <c r="J75" s="10">
        <f>IFERROR(__xludf.DUMMYFUNCTION("""COMPUTED_VALUE"""),44713.0)</f>
        <v>44713</v>
      </c>
      <c r="K75" s="11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9" t="str">
        <f>IFERROR(__xludf.DUMMYFUNCTION("""COMPUTED_VALUE"""),"Blake")</f>
        <v>Blake</v>
      </c>
      <c r="B76" s="8" t="str">
        <f>IFERROR(__xludf.DUMMYFUNCTION("""COMPUTED_VALUE"""),"Brian")</f>
        <v>Brian</v>
      </c>
      <c r="C76" s="8" t="str">
        <f>IFERROR(__xludf.DUMMYFUNCTION("""COMPUTED_VALUE"""),"Hope Mills")</f>
        <v>Hope Mills</v>
      </c>
      <c r="D76" s="8" t="str">
        <f>IFERROR(__xludf.DUMMYFUNCTION("""COMPUTED_VALUE"""),"NC")</f>
        <v>NC</v>
      </c>
      <c r="E76" s="8" t="str">
        <f>IFERROR(__xludf.DUMMYFUNCTION("""COMPUTED_VALUE"""),"USA")</f>
        <v>USA</v>
      </c>
      <c r="F76" s="8" t="str">
        <f>IFERROR(__xludf.DUMMYFUNCTION("""COMPUTED_VALUE"""),"Men Doubles Cricket")</f>
        <v>Men Doubles Cricket</v>
      </c>
      <c r="G76" s="8" t="str">
        <f>IFERROR(__xludf.DUMMYFUNCTION("""COMPUTED_VALUE"""),"1st")</f>
        <v>1st</v>
      </c>
      <c r="H76" s="8" t="str">
        <f>IFERROR(__xludf.DUMMYFUNCTION("""COMPUTED_VALUE"""),"South Carolina BS 34")</f>
        <v>South Carolina BS 34</v>
      </c>
      <c r="I76" s="10">
        <f>IFERROR(__xludf.DUMMYFUNCTION("""COMPUTED_VALUE"""),43617.0)</f>
        <v>43617</v>
      </c>
      <c r="J76" s="10">
        <f>IFERROR(__xludf.DUMMYFUNCTION("""COMPUTED_VALUE"""),44713.0)</f>
        <v>44713</v>
      </c>
      <c r="K76" s="11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9" t="str">
        <f>IFERROR(__xludf.DUMMYFUNCTION("""COMPUTED_VALUE"""),"Blake")</f>
        <v>Blake</v>
      </c>
      <c r="B77" s="8" t="str">
        <f>IFERROR(__xludf.DUMMYFUNCTION("""COMPUTED_VALUE"""),"Terry")</f>
        <v>Terry</v>
      </c>
      <c r="C77" s="8" t="str">
        <f>IFERROR(__xludf.DUMMYFUNCTION("""COMPUTED_VALUE"""),"Cary")</f>
        <v>Cary</v>
      </c>
      <c r="D77" s="8" t="str">
        <f>IFERROR(__xludf.DUMMYFUNCTION("""COMPUTED_VALUE"""),"NC")</f>
        <v>NC</v>
      </c>
      <c r="E77" s="8" t="str">
        <f>IFERROR(__xludf.DUMMYFUNCTION("""COMPUTED_VALUE"""),"USA")</f>
        <v>USA</v>
      </c>
      <c r="F77" s="8" t="str">
        <f>IFERROR(__xludf.DUMMYFUNCTION("""COMPUTED_VALUE"""),"Men Doubles 501")</f>
        <v>Men Doubles 501</v>
      </c>
      <c r="G77" s="8" t="str">
        <f>IFERROR(__xludf.DUMMYFUNCTION("""COMPUTED_VALUE"""),"3rd")</f>
        <v>3rd</v>
      </c>
      <c r="H77" s="8" t="str">
        <f>IFERROR(__xludf.DUMMYFUNCTION("""COMPUTED_VALUE"""),"South Carolina BS 34")</f>
        <v>South Carolina BS 34</v>
      </c>
      <c r="I77" s="10">
        <f>IFERROR(__xludf.DUMMYFUNCTION("""COMPUTED_VALUE"""),43617.0)</f>
        <v>43617</v>
      </c>
      <c r="J77" s="10">
        <f>IFERROR(__xludf.DUMMYFUNCTION("""COMPUTED_VALUE"""),44713.0)</f>
        <v>44713</v>
      </c>
      <c r="K77" s="11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9" t="str">
        <f>IFERROR(__xludf.DUMMYFUNCTION("""COMPUTED_VALUE"""),"Blanchard III")</f>
        <v>Blanchard III</v>
      </c>
      <c r="B78" s="8" t="str">
        <f>IFERROR(__xludf.DUMMYFUNCTION("""COMPUTED_VALUE"""),"William")</f>
        <v>William</v>
      </c>
      <c r="C78" s="8" t="str">
        <f>IFERROR(__xludf.DUMMYFUNCTION("""COMPUTED_VALUE"""),"Aurora")</f>
        <v>Aurora</v>
      </c>
      <c r="D78" s="8" t="str">
        <f>IFERROR(__xludf.DUMMYFUNCTION("""COMPUTED_VALUE"""),"IL")</f>
        <v>IL</v>
      </c>
      <c r="E78" s="8" t="str">
        <f>IFERROR(__xludf.DUMMYFUNCTION("""COMPUTED_VALUE"""),"USA")</f>
        <v>USA</v>
      </c>
      <c r="F78" s="8" t="str">
        <f>IFERROR(__xludf.DUMMYFUNCTION("""COMPUTED_VALUE"""),"Mens Cricket Doubles")</f>
        <v>Mens Cricket Doubles</v>
      </c>
      <c r="G78" s="8" t="str">
        <f>IFERROR(__xludf.DUMMYFUNCTION("""COMPUTED_VALUE"""),"1st")</f>
        <v>1st</v>
      </c>
      <c r="H78" s="8" t="str">
        <f>IFERROR(__xludf.DUMMYFUNCTION("""COMPUTED_VALUE"""),"WI Regional 32")</f>
        <v>WI Regional 32</v>
      </c>
      <c r="I78" s="10">
        <f>IFERROR(__xludf.DUMMYFUNCTION("""COMPUTED_VALUE"""),42887.0)</f>
        <v>42887</v>
      </c>
      <c r="J78" s="10">
        <f>IFERROR(__xludf.DUMMYFUNCTION("""COMPUTED_VALUE"""),43983.0)</f>
        <v>43983</v>
      </c>
      <c r="K78" s="11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9" t="str">
        <f>IFERROR(__xludf.DUMMYFUNCTION("""COMPUTED_VALUE"""),"Blasel")</f>
        <v>Blasel</v>
      </c>
      <c r="B79" s="8" t="str">
        <f>IFERROR(__xludf.DUMMYFUNCTION("""COMPUTED_VALUE"""),"Jeremy")</f>
        <v>Jeremy</v>
      </c>
      <c r="C79" s="8" t="str">
        <f>IFERROR(__xludf.DUMMYFUNCTION("""COMPUTED_VALUE"""),"Stesonville")</f>
        <v>Stesonville</v>
      </c>
      <c r="D79" s="8" t="str">
        <f>IFERROR(__xludf.DUMMYFUNCTION("""COMPUTED_VALUE"""),"WI")</f>
        <v>WI</v>
      </c>
      <c r="E79" s="8" t="str">
        <f>IFERROR(__xludf.DUMMYFUNCTION("""COMPUTED_VALUE"""),"USA")</f>
        <v>USA</v>
      </c>
      <c r="F79" s="8" t="str">
        <f>IFERROR(__xludf.DUMMYFUNCTION("""COMPUTED_VALUE"""),"Men Cricket Doubles")</f>
        <v>Men Cricket Doubles</v>
      </c>
      <c r="G79" s="8" t="str">
        <f>IFERROR(__xludf.DUMMYFUNCTION("""COMPUTED_VALUE"""),"3rd")</f>
        <v>3rd</v>
      </c>
      <c r="H79" s="8" t="str">
        <f>IFERROR(__xludf.DUMMYFUNCTION("""COMPUTED_VALUE"""),"BullShooter 34 Finals")</f>
        <v>BullShooter 34 Finals</v>
      </c>
      <c r="I79" s="10">
        <f>IFERROR(__xludf.DUMMYFUNCTION("""COMPUTED_VALUE"""),43617.0)</f>
        <v>43617</v>
      </c>
      <c r="J79" s="10">
        <f>IFERROR(__xludf.DUMMYFUNCTION("""COMPUTED_VALUE"""),44713.0)</f>
        <v>44713</v>
      </c>
      <c r="K79" s="1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9" t="str">
        <f>IFERROR(__xludf.DUMMYFUNCTION("""COMPUTED_VALUE"""),"Bobzien")</f>
        <v>Bobzien</v>
      </c>
      <c r="B80" s="8" t="str">
        <f>IFERROR(__xludf.DUMMYFUNCTION("""COMPUTED_VALUE"""),"Aric")</f>
        <v>Aric</v>
      </c>
      <c r="C80" s="8" t="str">
        <f>IFERROR(__xludf.DUMMYFUNCTION("""COMPUTED_VALUE"""),"Janesville")</f>
        <v>Janesville</v>
      </c>
      <c r="D80" s="8" t="str">
        <f>IFERROR(__xludf.DUMMYFUNCTION("""COMPUTED_VALUE"""),"WI")</f>
        <v>WI</v>
      </c>
      <c r="E80" s="8" t="str">
        <f>IFERROR(__xludf.DUMMYFUNCTION("""COMPUTED_VALUE"""),"USA")</f>
        <v>USA</v>
      </c>
      <c r="F80" s="8" t="str">
        <f>IFERROR(__xludf.DUMMYFUNCTION("""COMPUTED_VALUE"""),"Men Singles Cricket")</f>
        <v>Men Singles Cricket</v>
      </c>
      <c r="G80" s="8" t="str">
        <f>IFERROR(__xludf.DUMMYFUNCTION("""COMPUTED_VALUE"""),"1st")</f>
        <v>1st</v>
      </c>
      <c r="H80" s="8" t="str">
        <f>IFERROR(__xludf.DUMMYFUNCTION("""COMPUTED_VALUE"""),"Wisconsin BS 34")</f>
        <v>Wisconsin BS 34</v>
      </c>
      <c r="I80" s="10">
        <f>IFERROR(__xludf.DUMMYFUNCTION("""COMPUTED_VALUE"""),43617.0)</f>
        <v>43617</v>
      </c>
      <c r="J80" s="10">
        <f>IFERROR(__xludf.DUMMYFUNCTION("""COMPUTED_VALUE"""),44713.0)</f>
        <v>44713</v>
      </c>
      <c r="K80" s="11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9" t="str">
        <f>IFERROR(__xludf.DUMMYFUNCTION("""COMPUTED_VALUE"""),"Bogas")</f>
        <v>Bogas</v>
      </c>
      <c r="B81" s="8" t="str">
        <f>IFERROR(__xludf.DUMMYFUNCTION("""COMPUTED_VALUE"""),"Les")</f>
        <v>Les</v>
      </c>
      <c r="C81" s="8" t="str">
        <f>IFERROR(__xludf.DUMMYFUNCTION("""COMPUTED_VALUE"""),"")</f>
        <v/>
      </c>
      <c r="D81" s="8" t="str">
        <f>IFERROR(__xludf.DUMMYFUNCTION("""COMPUTED_VALUE"""),"UNK")</f>
        <v>UNK</v>
      </c>
      <c r="E81" s="8" t="str">
        <f>IFERROR(__xludf.DUMMYFUNCTION("""COMPUTED_VALUE"""),"UNK")</f>
        <v>UNK</v>
      </c>
      <c r="F81" s="8" t="str">
        <f>IFERROR(__xludf.DUMMYFUNCTION("""COMPUTED_VALUE"""),"Pro Cricket Doubles")</f>
        <v>Pro Cricket Doubles</v>
      </c>
      <c r="G81" s="8" t="str">
        <f>IFERROR(__xludf.DUMMYFUNCTION("""COMPUTED_VALUE"""),"3rd")</f>
        <v>3rd</v>
      </c>
      <c r="H81" s="8" t="str">
        <f>IFERROR(__xludf.DUMMYFUNCTION("""COMPUTED_VALUE"""),"Off AA List")</f>
        <v>Off AA List</v>
      </c>
      <c r="I81" s="10">
        <f>IFERROR(__xludf.DUMMYFUNCTION("""COMPUTED_VALUE"""),42887.0)</f>
        <v>42887</v>
      </c>
      <c r="J81" s="10">
        <f>IFERROR(__xludf.DUMMYFUNCTION("""COMPUTED_VALUE"""),43983.0)</f>
        <v>43983</v>
      </c>
      <c r="K81" s="11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9" t="str">
        <f>IFERROR(__xludf.DUMMYFUNCTION("""COMPUTED_VALUE"""),"Bomba")</f>
        <v>Bomba</v>
      </c>
      <c r="B82" s="8" t="str">
        <f>IFERROR(__xludf.DUMMYFUNCTION("""COMPUTED_VALUE"""),"Nasir")</f>
        <v>Nasir</v>
      </c>
      <c r="C82" s="8" t="str">
        <f>IFERROR(__xludf.DUMMYFUNCTION("""COMPUTED_VALUE"""),"")</f>
        <v/>
      </c>
      <c r="D82" s="8" t="str">
        <f>IFERROR(__xludf.DUMMYFUNCTION("""COMPUTED_VALUE"""),"UNK")</f>
        <v>UNK</v>
      </c>
      <c r="E82" s="8" t="str">
        <f>IFERROR(__xludf.DUMMYFUNCTION("""COMPUTED_VALUE"""),"Malaysia")</f>
        <v>Malaysia</v>
      </c>
      <c r="F82" s="8" t="str">
        <f>IFERROR(__xludf.DUMMYFUNCTION("""COMPUTED_VALUE"""),"DL")</f>
        <v>DL</v>
      </c>
      <c r="G82" s="8" t="str">
        <f>IFERROR(__xludf.DUMMYFUNCTION("""COMPUTED_VALUE"""),"61st")</f>
        <v>61st</v>
      </c>
      <c r="H82" s="8" t="str">
        <f>IFERROR(__xludf.DUMMYFUNCTION("""COMPUTED_VALUE"""),"DL")</f>
        <v>DL</v>
      </c>
      <c r="I82" s="10">
        <f>IFERROR(__xludf.DUMMYFUNCTION("""COMPUTED_VALUE"""),42401.0)</f>
        <v>42401</v>
      </c>
      <c r="J82" s="10">
        <f>IFERROR(__xludf.DUMMYFUNCTION("""COMPUTED_VALUE"""),44713.0)</f>
        <v>44713</v>
      </c>
      <c r="K82" s="11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9" t="str">
        <f>IFERROR(__xludf.DUMMYFUNCTION("""COMPUTED_VALUE"""),"Bong Woo")</f>
        <v>Bong Woo</v>
      </c>
      <c r="B83" s="8" t="str">
        <f>IFERROR(__xludf.DUMMYFUNCTION("""COMPUTED_VALUE"""),"Kim")</f>
        <v>Kim</v>
      </c>
      <c r="C83" s="8" t="str">
        <f>IFERROR(__xludf.DUMMYFUNCTION("""COMPUTED_VALUE"""),"")</f>
        <v/>
      </c>
      <c r="D83" s="8" t="str">
        <f>IFERROR(__xludf.DUMMYFUNCTION("""COMPUTED_VALUE"""),"UNK")</f>
        <v>UNK</v>
      </c>
      <c r="E83" s="8" t="str">
        <f>IFERROR(__xludf.DUMMYFUNCTION("""COMPUTED_VALUE"""),"Korea")</f>
        <v>Korea</v>
      </c>
      <c r="F83" s="8" t="str">
        <f>IFERROR(__xludf.DUMMYFUNCTION("""COMPUTED_VALUE"""),"DL")</f>
        <v>DL</v>
      </c>
      <c r="G83" s="8" t="str">
        <f>IFERROR(__xludf.DUMMYFUNCTION("""COMPUTED_VALUE"""),"94th")</f>
        <v>94th</v>
      </c>
      <c r="H83" s="8" t="str">
        <f>IFERROR(__xludf.DUMMYFUNCTION("""COMPUTED_VALUE"""),"DL")</f>
        <v>DL</v>
      </c>
      <c r="I83" s="10">
        <f>IFERROR(__xludf.DUMMYFUNCTION("""COMPUTED_VALUE"""),42401.0)</f>
        <v>42401</v>
      </c>
      <c r="J83" s="10">
        <f>IFERROR(__xludf.DUMMYFUNCTION("""COMPUTED_VALUE"""),44713.0)</f>
        <v>44713</v>
      </c>
      <c r="K83" s="1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9" t="str">
        <f>IFERROR(__xludf.DUMMYFUNCTION("""COMPUTED_VALUE"""),"Bonk")</f>
        <v>Bonk</v>
      </c>
      <c r="B84" s="8" t="str">
        <f>IFERROR(__xludf.DUMMYFUNCTION("""COMPUTED_VALUE"""),"Lenny")</f>
        <v>Lenny</v>
      </c>
      <c r="C84" s="8" t="str">
        <f>IFERROR(__xludf.DUMMYFUNCTION("""COMPUTED_VALUE"""),"Mishawaka")</f>
        <v>Mishawaka</v>
      </c>
      <c r="D84" s="8" t="str">
        <f>IFERROR(__xludf.DUMMYFUNCTION("""COMPUTED_VALUE"""),"IN")</f>
        <v>IN</v>
      </c>
      <c r="E84" s="8" t="str">
        <f>IFERROR(__xludf.DUMMYFUNCTION("""COMPUTED_VALUE"""),"USA")</f>
        <v>USA</v>
      </c>
      <c r="F84" s="8" t="str">
        <f>IFERROR(__xludf.DUMMYFUNCTION("""COMPUTED_VALUE"""),"Known Pro")</f>
        <v>Known Pro</v>
      </c>
      <c r="G84" s="8" t="str">
        <f>IFERROR(__xludf.DUMMYFUNCTION("""COMPUTED_VALUE"""),"")</f>
        <v/>
      </c>
      <c r="H84" s="8" t="str">
        <f>IFERROR(__xludf.DUMMYFUNCTION("""COMPUTED_VALUE"""),"Known Ability")</f>
        <v>Known Ability</v>
      </c>
      <c r="I84" s="10">
        <f>IFERROR(__xludf.DUMMYFUNCTION("""COMPUTED_VALUE"""),36892.0)</f>
        <v>36892</v>
      </c>
      <c r="J84" s="10">
        <f>IFERROR(__xludf.DUMMYFUNCTION("""COMPUTED_VALUE"""),45809.0)</f>
        <v>45809</v>
      </c>
      <c r="K84" s="11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9" t="str">
        <f>IFERROR(__xludf.DUMMYFUNCTION("""COMPUTED_VALUE"""),"Borland")</f>
        <v>Borland</v>
      </c>
      <c r="B85" s="8" t="str">
        <f>IFERROR(__xludf.DUMMYFUNCTION("""COMPUTED_VALUE"""),"Nathan")</f>
        <v>Nathan</v>
      </c>
      <c r="C85" s="8" t="str">
        <f>IFERROR(__xludf.DUMMYFUNCTION("""COMPUTED_VALUE"""),"Evansville")</f>
        <v>Evansville</v>
      </c>
      <c r="D85" s="8" t="str">
        <f>IFERROR(__xludf.DUMMYFUNCTION("""COMPUTED_VALUE"""),"IN")</f>
        <v>IN</v>
      </c>
      <c r="E85" s="8" t="str">
        <f>IFERROR(__xludf.DUMMYFUNCTION("""COMPUTED_VALUE"""),"USA")</f>
        <v>USA</v>
      </c>
      <c r="F85" s="8" t="str">
        <f>IFERROR(__xludf.DUMMYFUNCTION("""COMPUTED_VALUE"""),"Pro Singles Cricket")</f>
        <v>Pro Singles Cricket</v>
      </c>
      <c r="G85" s="8" t="str">
        <f>IFERROR(__xludf.DUMMYFUNCTION("""COMPUTED_VALUE"""),"3rd")</f>
        <v>3rd</v>
      </c>
      <c r="H85" s="8" t="str">
        <f>IFERROR(__xludf.DUMMYFUNCTION("""COMPUTED_VALUE"""),"Indiana BS 34")</f>
        <v>Indiana BS 34</v>
      </c>
      <c r="I85" s="10">
        <f>IFERROR(__xludf.DUMMYFUNCTION("""COMPUTED_VALUE"""),43617.0)</f>
        <v>43617</v>
      </c>
      <c r="J85" s="10">
        <f>IFERROR(__xludf.DUMMYFUNCTION("""COMPUTED_VALUE"""),44713.0)</f>
        <v>44713</v>
      </c>
      <c r="K85" s="11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12" t="str">
        <f>IFERROR(__xludf.DUMMYFUNCTION("""COMPUTED_VALUE"""),"Borrelli")</f>
        <v>Borrelli</v>
      </c>
      <c r="B86" s="13" t="str">
        <f>IFERROR(__xludf.DUMMYFUNCTION("""COMPUTED_VALUE"""),"Corey")</f>
        <v>Corey</v>
      </c>
      <c r="C86" s="13" t="str">
        <f>IFERROR(__xludf.DUMMYFUNCTION("""COMPUTED_VALUE"""),"Lyons")</f>
        <v>Lyons</v>
      </c>
      <c r="D86" s="13" t="str">
        <f>IFERROR(__xludf.DUMMYFUNCTION("""COMPUTED_VALUE"""),"NY")</f>
        <v>NY</v>
      </c>
      <c r="E86" s="13" t="str">
        <f>IFERROR(__xludf.DUMMYFUNCTION("""COMPUTED_VALUE"""),"USA")</f>
        <v>USA</v>
      </c>
      <c r="F86" s="13" t="str">
        <f>IFERROR(__xludf.DUMMYFUNCTION("""COMPUTED_VALUE"""),"Mens Doubles")</f>
        <v>Mens Doubles</v>
      </c>
      <c r="G86" s="13" t="str">
        <f>IFERROR(__xludf.DUMMYFUNCTION("""COMPUTED_VALUE"""),"2nd")</f>
        <v>2nd</v>
      </c>
      <c r="H86" s="13" t="str">
        <f>IFERROR(__xludf.DUMMYFUNCTION("""COMPUTED_VALUE"""),"NY Regional 33")</f>
        <v>NY Regional 33</v>
      </c>
      <c r="I86" s="15">
        <f>IFERROR(__xludf.DUMMYFUNCTION("""COMPUTED_VALUE"""),43252.0)</f>
        <v>43252</v>
      </c>
      <c r="J86" s="15">
        <f>IFERROR(__xludf.DUMMYFUNCTION("""COMPUTED_VALUE"""),44348.0)</f>
        <v>44348</v>
      </c>
      <c r="K86" s="11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9" t="str">
        <f>IFERROR(__xludf.DUMMYFUNCTION("""COMPUTED_VALUE"""),"Bouffard")</f>
        <v>Bouffard</v>
      </c>
      <c r="B87" s="8" t="str">
        <f>IFERROR(__xludf.DUMMYFUNCTION("""COMPUTED_VALUE"""),"Elzear")</f>
        <v>Elzear</v>
      </c>
      <c r="C87" s="8" t="str">
        <f>IFERROR(__xludf.DUMMYFUNCTION("""COMPUTED_VALUE"""),"Concord")</f>
        <v>Concord</v>
      </c>
      <c r="D87" s="8" t="str">
        <f>IFERROR(__xludf.DUMMYFUNCTION("""COMPUTED_VALUE"""),"NH")</f>
        <v>NH</v>
      </c>
      <c r="E87" s="8" t="str">
        <f>IFERROR(__xludf.DUMMYFUNCTION("""COMPUTED_VALUE"""),"USA")</f>
        <v>USA</v>
      </c>
      <c r="F87" s="8" t="str">
        <f>IFERROR(__xludf.DUMMYFUNCTION("""COMPUTED_VALUE"""),"Men Doubles Cricket")</f>
        <v>Men Doubles Cricket</v>
      </c>
      <c r="G87" s="8" t="str">
        <f>IFERROR(__xludf.DUMMYFUNCTION("""COMPUTED_VALUE"""),"1st")</f>
        <v>1st</v>
      </c>
      <c r="H87" s="8" t="str">
        <f>IFERROR(__xludf.DUMMYFUNCTION("""COMPUTED_VALUE"""),"New York BS 34")</f>
        <v>New York BS 34</v>
      </c>
      <c r="I87" s="10">
        <f>IFERROR(__xludf.DUMMYFUNCTION("""COMPUTED_VALUE"""),43617.0)</f>
        <v>43617</v>
      </c>
      <c r="J87" s="10">
        <f>IFERROR(__xludf.DUMMYFUNCTION("""COMPUTED_VALUE"""),44713.0)</f>
        <v>44713</v>
      </c>
      <c r="K87" s="1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9" t="str">
        <f>IFERROR(__xludf.DUMMYFUNCTION("""COMPUTED_VALUE"""),"Bouffard")</f>
        <v>Bouffard</v>
      </c>
      <c r="B88" s="8" t="str">
        <f>IFERROR(__xludf.DUMMYFUNCTION("""COMPUTED_VALUE"""),"Joshua")</f>
        <v>Joshua</v>
      </c>
      <c r="C88" s="8" t="str">
        <f>IFERROR(__xludf.DUMMYFUNCTION("""COMPUTED_VALUE"""),"Rochester")</f>
        <v>Rochester</v>
      </c>
      <c r="D88" s="8" t="str">
        <f>IFERROR(__xludf.DUMMYFUNCTION("""COMPUTED_VALUE"""),"NY")</f>
        <v>NY</v>
      </c>
      <c r="E88" s="8" t="str">
        <f>IFERROR(__xludf.DUMMYFUNCTION("""COMPUTED_VALUE"""),"USA")</f>
        <v>USA</v>
      </c>
      <c r="F88" s="8" t="str">
        <f>IFERROR(__xludf.DUMMYFUNCTION("""COMPUTED_VALUE"""),"Men Doubles Cricket")</f>
        <v>Men Doubles Cricket</v>
      </c>
      <c r="G88" s="8" t="str">
        <f>IFERROR(__xludf.DUMMYFUNCTION("""COMPUTED_VALUE"""),"1st")</f>
        <v>1st</v>
      </c>
      <c r="H88" s="8" t="str">
        <f>IFERROR(__xludf.DUMMYFUNCTION("""COMPUTED_VALUE"""),"New York BS 34")</f>
        <v>New York BS 34</v>
      </c>
      <c r="I88" s="10">
        <f>IFERROR(__xludf.DUMMYFUNCTION("""COMPUTED_VALUE"""),43617.0)</f>
        <v>43617</v>
      </c>
      <c r="J88" s="10">
        <f>IFERROR(__xludf.DUMMYFUNCTION("""COMPUTED_VALUE"""),44713.0)</f>
        <v>44713</v>
      </c>
      <c r="K88" s="1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9" t="str">
        <f>IFERROR(__xludf.DUMMYFUNCTION("""COMPUTED_VALUE"""),"Boulton")</f>
        <v>Boulton</v>
      </c>
      <c r="B89" s="8" t="str">
        <f>IFERROR(__xludf.DUMMYFUNCTION("""COMPUTED_VALUE"""),"Andy")</f>
        <v>Andy</v>
      </c>
      <c r="C89" s="8" t="str">
        <f>IFERROR(__xludf.DUMMYFUNCTION("""COMPUTED_VALUE"""),"")</f>
        <v/>
      </c>
      <c r="D89" s="8" t="str">
        <f>IFERROR(__xludf.DUMMYFUNCTION("""COMPUTED_VALUE"""),"UNK")</f>
        <v>UNK</v>
      </c>
      <c r="E89" s="8" t="str">
        <f>IFERROR(__xludf.DUMMYFUNCTION("""COMPUTED_VALUE"""),"England")</f>
        <v>England</v>
      </c>
      <c r="F89" s="8" t="str">
        <f>IFERROR(__xludf.DUMMYFUNCTION("""COMPUTED_VALUE"""),"PDC Merit Ranking")</f>
        <v>PDC Merit Ranking</v>
      </c>
      <c r="G89" s="8" t="str">
        <f>IFERROR(__xludf.DUMMYFUNCTION("""COMPUTED_VALUE"""),"78th")</f>
        <v>78th</v>
      </c>
      <c r="H89" s="8" t="str">
        <f>IFERROR(__xludf.DUMMYFUNCTION("""COMPUTED_VALUE"""),"PDC Merit Ranking")</f>
        <v>PDC Merit Ranking</v>
      </c>
      <c r="I89" s="10">
        <f>IFERROR(__xludf.DUMMYFUNCTION("""COMPUTED_VALUE"""),42401.0)</f>
        <v>42401</v>
      </c>
      <c r="J89" s="10">
        <f>IFERROR(__xludf.DUMMYFUNCTION("""COMPUTED_VALUE"""),44713.0)</f>
        <v>44713</v>
      </c>
      <c r="K89" s="11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9" t="str">
        <f>IFERROR(__xludf.DUMMYFUNCTION("""COMPUTED_VALUE"""),"Bourne")</f>
        <v>Bourne</v>
      </c>
      <c r="B90" s="8" t="str">
        <f>IFERROR(__xludf.DUMMYFUNCTION("""COMPUTED_VALUE"""),"Ralph")</f>
        <v>Ralph</v>
      </c>
      <c r="C90" s="8" t="str">
        <f>IFERROR(__xludf.DUMMYFUNCTION("""COMPUTED_VALUE"""),"Mesa")</f>
        <v>Mesa</v>
      </c>
      <c r="D90" s="8" t="str">
        <f>IFERROR(__xludf.DUMMYFUNCTION("""COMPUTED_VALUE"""),"AZ")</f>
        <v>AZ</v>
      </c>
      <c r="E90" s="8" t="str">
        <f>IFERROR(__xludf.DUMMYFUNCTION("""COMPUTED_VALUE"""),"USA")</f>
        <v>USA</v>
      </c>
      <c r="F90" s="8" t="str">
        <f>IFERROR(__xludf.DUMMYFUNCTION("""COMPUTED_VALUE"""),"Mens Doubles")</f>
        <v>Mens Doubles</v>
      </c>
      <c r="G90" s="8" t="str">
        <f>IFERROR(__xludf.DUMMYFUNCTION("""COMPUTED_VALUE"""),"2nd")</f>
        <v>2nd</v>
      </c>
      <c r="H90" s="8" t="str">
        <f>IFERROR(__xludf.DUMMYFUNCTION("""COMPUTED_VALUE"""),"NV Regional 32")</f>
        <v>NV Regional 32</v>
      </c>
      <c r="I90" s="10">
        <f>IFERROR(__xludf.DUMMYFUNCTION("""COMPUTED_VALUE"""),42887.0)</f>
        <v>42887</v>
      </c>
      <c r="J90" s="10">
        <f>IFERROR(__xludf.DUMMYFUNCTION("""COMPUTED_VALUE"""),43983.0)</f>
        <v>43983</v>
      </c>
      <c r="K90" s="11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9" t="str">
        <f>IFERROR(__xludf.DUMMYFUNCTION("""COMPUTED_VALUE"""),"Bower")</f>
        <v>Bower</v>
      </c>
      <c r="B91" s="8" t="str">
        <f>IFERROR(__xludf.DUMMYFUNCTION("""COMPUTED_VALUE"""),"Thomas")</f>
        <v>Thomas</v>
      </c>
      <c r="C91" s="8" t="str">
        <f>IFERROR(__xludf.DUMMYFUNCTION("""COMPUTED_VALUE"""),"Orlando")</f>
        <v>Orlando</v>
      </c>
      <c r="D91" s="8" t="str">
        <f>IFERROR(__xludf.DUMMYFUNCTION("""COMPUTED_VALUE"""),"FL")</f>
        <v>FL</v>
      </c>
      <c r="E91" s="8" t="str">
        <f>IFERROR(__xludf.DUMMYFUNCTION("""COMPUTED_VALUE"""),"USA")</f>
        <v>USA</v>
      </c>
      <c r="F91" s="8" t="str">
        <f>IFERROR(__xludf.DUMMYFUNCTION("""COMPUTED_VALUE"""),"Men Cricket Doubles")</f>
        <v>Men Cricket Doubles</v>
      </c>
      <c r="G91" s="8" t="str">
        <f>IFERROR(__xludf.DUMMYFUNCTION("""COMPUTED_VALUE"""),"2nd")</f>
        <v>2nd</v>
      </c>
      <c r="H91" s="8" t="str">
        <f>IFERROR(__xludf.DUMMYFUNCTION("""COMPUTED_VALUE"""),"Florida BS 34")</f>
        <v>Florida BS 34</v>
      </c>
      <c r="I91" s="10">
        <f>IFERROR(__xludf.DUMMYFUNCTION("""COMPUTED_VALUE"""),43617.0)</f>
        <v>43617</v>
      </c>
      <c r="J91" s="10">
        <f>IFERROR(__xludf.DUMMYFUNCTION("""COMPUTED_VALUE"""),44713.0)</f>
        <v>44713</v>
      </c>
      <c r="K91" s="11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9" t="str">
        <f>IFERROR(__xludf.DUMMYFUNCTION("""COMPUTED_VALUE"""),"Bowles")</f>
        <v>Bowles</v>
      </c>
      <c r="B92" s="8" t="str">
        <f>IFERROR(__xludf.DUMMYFUNCTION("""COMPUTED_VALUE"""),"John")</f>
        <v>John</v>
      </c>
      <c r="C92" s="8" t="str">
        <f>IFERROR(__xludf.DUMMYFUNCTION("""COMPUTED_VALUE"""),"")</f>
        <v/>
      </c>
      <c r="D92" s="8" t="str">
        <f>IFERROR(__xludf.DUMMYFUNCTION("""COMPUTED_VALUE"""),"UNK")</f>
        <v>UNK</v>
      </c>
      <c r="E92" s="8" t="str">
        <f>IFERROR(__xludf.DUMMYFUNCTION("""COMPUTED_VALUE"""),"England")</f>
        <v>England</v>
      </c>
      <c r="F92" s="8" t="str">
        <f>IFERROR(__xludf.DUMMYFUNCTION("""COMPUTED_VALUE"""),"PDC Merit Ranking")</f>
        <v>PDC Merit Ranking</v>
      </c>
      <c r="G92" s="8" t="str">
        <f>IFERROR(__xludf.DUMMYFUNCTION("""COMPUTED_VALUE"""),"48th")</f>
        <v>48th</v>
      </c>
      <c r="H92" s="8" t="str">
        <f>IFERROR(__xludf.DUMMYFUNCTION("""COMPUTED_VALUE"""),"Off AA List")</f>
        <v>Off AA List</v>
      </c>
      <c r="I92" s="10">
        <f>IFERROR(__xludf.DUMMYFUNCTION("""COMPUTED_VALUE"""),42887.0)</f>
        <v>42887</v>
      </c>
      <c r="J92" s="10">
        <f>IFERROR(__xludf.DUMMYFUNCTION("""COMPUTED_VALUE"""),43983.0)</f>
        <v>43983</v>
      </c>
      <c r="K92" s="11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9" t="str">
        <f>IFERROR(__xludf.DUMMYFUNCTION("""COMPUTED_VALUE"""),"Bowsell")</f>
        <v>Bowsell</v>
      </c>
      <c r="B93" s="8" t="str">
        <f>IFERROR(__xludf.DUMMYFUNCTION("""COMPUTED_VALUE"""),"Eric")</f>
        <v>Eric</v>
      </c>
      <c r="C93" s="8" t="str">
        <f>IFERROR(__xludf.DUMMYFUNCTION("""COMPUTED_VALUE"""),"Winter Haven")</f>
        <v>Winter Haven</v>
      </c>
      <c r="D93" s="8" t="str">
        <f>IFERROR(__xludf.DUMMYFUNCTION("""COMPUTED_VALUE"""),"FL")</f>
        <v>FL</v>
      </c>
      <c r="E93" s="8" t="str">
        <f>IFERROR(__xludf.DUMMYFUNCTION("""COMPUTED_VALUE"""),"USA")</f>
        <v>USA</v>
      </c>
      <c r="F93" s="8" t="str">
        <f>IFERROR(__xludf.DUMMYFUNCTION("""COMPUTED_VALUE"""),"Mens Cricket Doubles")</f>
        <v>Mens Cricket Doubles</v>
      </c>
      <c r="G93" s="8" t="str">
        <f>IFERROR(__xludf.DUMMYFUNCTION("""COMPUTED_VALUE"""),"3rd")</f>
        <v>3rd</v>
      </c>
      <c r="H93" s="8" t="str">
        <f>IFERROR(__xludf.DUMMYFUNCTION("""COMPUTED_VALUE"""),"Florida Regional 32")</f>
        <v>Florida Regional 32</v>
      </c>
      <c r="I93" s="10">
        <f>IFERROR(__xludf.DUMMYFUNCTION("""COMPUTED_VALUE"""),42887.0)</f>
        <v>42887</v>
      </c>
      <c r="J93" s="10">
        <f>IFERROR(__xludf.DUMMYFUNCTION("""COMPUTED_VALUE"""),43983.0)</f>
        <v>43983</v>
      </c>
      <c r="K93" s="11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9" t="str">
        <f>IFERROR(__xludf.DUMMYFUNCTION("""COMPUTED_VALUE"""),"Boyd")</f>
        <v>Boyd</v>
      </c>
      <c r="B94" s="8" t="str">
        <f>IFERROR(__xludf.DUMMYFUNCTION("""COMPUTED_VALUE"""),"Scott")</f>
        <v>Scott</v>
      </c>
      <c r="C94" s="8" t="str">
        <f>IFERROR(__xludf.DUMMYFUNCTION("""COMPUTED_VALUE"""),"Hamilton")</f>
        <v>Hamilton</v>
      </c>
      <c r="D94" s="8" t="str">
        <f>IFERROR(__xludf.DUMMYFUNCTION("""COMPUTED_VALUE"""),"OH")</f>
        <v>OH</v>
      </c>
      <c r="E94" s="8" t="str">
        <f>IFERROR(__xludf.DUMMYFUNCTION("""COMPUTED_VALUE"""),"USA")</f>
        <v>USA</v>
      </c>
      <c r="F94" s="8" t="str">
        <f>IFERROR(__xludf.DUMMYFUNCTION("""COMPUTED_VALUE"""),"Mens Cricket Doubles")</f>
        <v>Mens Cricket Doubles</v>
      </c>
      <c r="G94" s="8" t="str">
        <f>IFERROR(__xludf.DUMMYFUNCTION("""COMPUTED_VALUE"""),"2nd")</f>
        <v>2nd</v>
      </c>
      <c r="H94" s="8" t="str">
        <f>IFERROR(__xludf.DUMMYFUNCTION("""COMPUTED_VALUE"""),"IN Regional 33")</f>
        <v>IN Regional 33</v>
      </c>
      <c r="I94" s="10">
        <f>IFERROR(__xludf.DUMMYFUNCTION("""COMPUTED_VALUE"""),43252.0)</f>
        <v>43252</v>
      </c>
      <c r="J94" s="10">
        <f>IFERROR(__xludf.DUMMYFUNCTION("""COMPUTED_VALUE"""),44348.0)</f>
        <v>44348</v>
      </c>
      <c r="K94" s="11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9" t="str">
        <f>IFERROR(__xludf.DUMMYFUNCTION("""COMPUTED_VALUE"""),"Bozzetti")</f>
        <v>Bozzetti</v>
      </c>
      <c r="B95" s="8" t="str">
        <f>IFERROR(__xludf.DUMMYFUNCTION("""COMPUTED_VALUE"""),"Avery")</f>
        <v>Avery</v>
      </c>
      <c r="C95" s="8" t="str">
        <f>IFERROR(__xludf.DUMMYFUNCTION("""COMPUTED_VALUE"""),"New York")</f>
        <v>New York</v>
      </c>
      <c r="D95" s="8" t="str">
        <f>IFERROR(__xludf.DUMMYFUNCTION("""COMPUTED_VALUE"""),"NY")</f>
        <v>NY</v>
      </c>
      <c r="E95" s="8" t="str">
        <f>IFERROR(__xludf.DUMMYFUNCTION("""COMPUTED_VALUE"""),"USA")</f>
        <v>USA</v>
      </c>
      <c r="F95" s="8" t="str">
        <f>IFERROR(__xludf.DUMMYFUNCTION("""COMPUTED_VALUE"""),"Mixed Triples 701")</f>
        <v>Mixed Triples 701</v>
      </c>
      <c r="G95" s="8" t="str">
        <f>IFERROR(__xludf.DUMMYFUNCTION("""COMPUTED_VALUE"""),"3rd")</f>
        <v>3rd</v>
      </c>
      <c r="H95" s="8" t="str">
        <f>IFERROR(__xludf.DUMMYFUNCTION("""COMPUTED_VALUE"""),"BullShooter 32")</f>
        <v>BullShooter 32</v>
      </c>
      <c r="I95" s="10">
        <f>IFERROR(__xludf.DUMMYFUNCTION("""COMPUTED_VALUE"""),42887.0)</f>
        <v>42887</v>
      </c>
      <c r="J95" s="10">
        <f>IFERROR(__xludf.DUMMYFUNCTION("""COMPUTED_VALUE"""),43983.0)</f>
        <v>43983</v>
      </c>
      <c r="K95" s="11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9" t="str">
        <f>IFERROR(__xludf.DUMMYFUNCTION("""COMPUTED_VALUE"""),"Bradley")</f>
        <v>Bradley</v>
      </c>
      <c r="B96" s="8" t="str">
        <f>IFERROR(__xludf.DUMMYFUNCTION("""COMPUTED_VALUE"""),"Anthony")</f>
        <v>Anthony</v>
      </c>
      <c r="C96" s="8" t="str">
        <f>IFERROR(__xludf.DUMMYFUNCTION("""COMPUTED_VALUE"""),"Clarksville")</f>
        <v>Clarksville</v>
      </c>
      <c r="D96" s="8" t="str">
        <f>IFERROR(__xludf.DUMMYFUNCTION("""COMPUTED_VALUE"""),"TN")</f>
        <v>TN</v>
      </c>
      <c r="E96" s="8" t="str">
        <f>IFERROR(__xludf.DUMMYFUNCTION("""COMPUTED_VALUE"""),"USA")</f>
        <v>USA</v>
      </c>
      <c r="F96" s="8" t="str">
        <f>IFERROR(__xludf.DUMMYFUNCTION("""COMPUTED_VALUE"""),"Pro/Am Cricket")</f>
        <v>Pro/Am Cricket</v>
      </c>
      <c r="G96" s="8" t="str">
        <f>IFERROR(__xludf.DUMMYFUNCTION("""COMPUTED_VALUE"""),"2nd")</f>
        <v>2nd</v>
      </c>
      <c r="H96" s="8" t="str">
        <f>IFERROR(__xludf.DUMMYFUNCTION("""COMPUTED_VALUE"""),"Tennessee BS 34")</f>
        <v>Tennessee BS 34</v>
      </c>
      <c r="I96" s="10">
        <f>IFERROR(__xludf.DUMMYFUNCTION("""COMPUTED_VALUE"""),43617.0)</f>
        <v>43617</v>
      </c>
      <c r="J96" s="10">
        <f>IFERROR(__xludf.DUMMYFUNCTION("""COMPUTED_VALUE"""),44713.0)</f>
        <v>44713</v>
      </c>
      <c r="K96" s="11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9" t="str">
        <f>IFERROR(__xludf.DUMMYFUNCTION("""COMPUTED_VALUE"""),"Brant")</f>
        <v>Brant</v>
      </c>
      <c r="B97" s="8" t="str">
        <f>IFERROR(__xludf.DUMMYFUNCTION("""COMPUTED_VALUE"""),"Alexander")</f>
        <v>Alexander</v>
      </c>
      <c r="C97" s="8" t="str">
        <f>IFERROR(__xludf.DUMMYFUNCTION("""COMPUTED_VALUE"""),"Rochester")</f>
        <v>Rochester</v>
      </c>
      <c r="D97" s="8" t="str">
        <f>IFERROR(__xludf.DUMMYFUNCTION("""COMPUTED_VALUE"""),"NY")</f>
        <v>NY</v>
      </c>
      <c r="E97" s="8" t="str">
        <f>IFERROR(__xludf.DUMMYFUNCTION("""COMPUTED_VALUE"""),"USA")</f>
        <v>USA</v>
      </c>
      <c r="F97" s="8" t="str">
        <f>IFERROR(__xludf.DUMMYFUNCTION("""COMPUTED_VALUE"""),"Pro Doubles 501")</f>
        <v>Pro Doubles 501</v>
      </c>
      <c r="G97" s="8" t="str">
        <f>IFERROR(__xludf.DUMMYFUNCTION("""COMPUTED_VALUE"""),"2nd")</f>
        <v>2nd</v>
      </c>
      <c r="H97" s="8" t="str">
        <f>IFERROR(__xludf.DUMMYFUNCTION("""COMPUTED_VALUE"""),"New York BS 34")</f>
        <v>New York BS 34</v>
      </c>
      <c r="I97" s="10">
        <f>IFERROR(__xludf.DUMMYFUNCTION("""COMPUTED_VALUE"""),43617.0)</f>
        <v>43617</v>
      </c>
      <c r="J97" s="10">
        <f>IFERROR(__xludf.DUMMYFUNCTION("""COMPUTED_VALUE"""),44713.0)</f>
        <v>44713</v>
      </c>
      <c r="K97" s="1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9" t="str">
        <f>IFERROR(__xludf.DUMMYFUNCTION("""COMPUTED_VALUE"""),"Braughler")</f>
        <v>Braughler</v>
      </c>
      <c r="B98" s="8" t="str">
        <f>IFERROR(__xludf.DUMMYFUNCTION("""COMPUTED_VALUE"""),"Bob")</f>
        <v>Bob</v>
      </c>
      <c r="C98" s="8" t="str">
        <f>IFERROR(__xludf.DUMMYFUNCTION("""COMPUTED_VALUE"""),"Buffalo")</f>
        <v>Buffalo</v>
      </c>
      <c r="D98" s="8" t="str">
        <f>IFERROR(__xludf.DUMMYFUNCTION("""COMPUTED_VALUE"""),"NY")</f>
        <v>NY</v>
      </c>
      <c r="E98" s="8" t="str">
        <f>IFERROR(__xludf.DUMMYFUNCTION("""COMPUTED_VALUE"""),"USA")</f>
        <v>USA</v>
      </c>
      <c r="F98" s="8" t="str">
        <f>IFERROR(__xludf.DUMMYFUNCTION("""COMPUTED_VALUE"""),"Pro Doubles 501")</f>
        <v>Pro Doubles 501</v>
      </c>
      <c r="G98" s="8" t="str">
        <f>IFERROR(__xludf.DUMMYFUNCTION("""COMPUTED_VALUE"""),"3rd")</f>
        <v>3rd</v>
      </c>
      <c r="H98" s="8" t="str">
        <f>IFERROR(__xludf.DUMMYFUNCTION("""COMPUTED_VALUE"""),"New York BS 34")</f>
        <v>New York BS 34</v>
      </c>
      <c r="I98" s="10">
        <f>IFERROR(__xludf.DUMMYFUNCTION("""COMPUTED_VALUE"""),43617.0)</f>
        <v>43617</v>
      </c>
      <c r="J98" s="10">
        <f>IFERROR(__xludf.DUMMYFUNCTION("""COMPUTED_VALUE"""),44713.0)</f>
        <v>44713</v>
      </c>
      <c r="K98" s="1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9" t="str">
        <f>IFERROR(__xludf.DUMMYFUNCTION("""COMPUTED_VALUE"""),"Brewer")</f>
        <v>Brewer</v>
      </c>
      <c r="B99" s="8" t="str">
        <f>IFERROR(__xludf.DUMMYFUNCTION("""COMPUTED_VALUE"""),"Michael")</f>
        <v>Michael</v>
      </c>
      <c r="C99" s="8" t="str">
        <f>IFERROR(__xludf.DUMMYFUNCTION("""COMPUTED_VALUE"""),"Olathe")</f>
        <v>Olathe</v>
      </c>
      <c r="D99" s="8" t="str">
        <f>IFERROR(__xludf.DUMMYFUNCTION("""COMPUTED_VALUE"""),"KS")</f>
        <v>KS</v>
      </c>
      <c r="E99" s="8" t="str">
        <f>IFERROR(__xludf.DUMMYFUNCTION("""COMPUTED_VALUE"""),"USA")</f>
        <v>USA</v>
      </c>
      <c r="F99" s="8" t="str">
        <f>IFERROR(__xludf.DUMMYFUNCTION("""COMPUTED_VALUE"""),"Mixed Triples")</f>
        <v>Mixed Triples</v>
      </c>
      <c r="G99" s="8" t="str">
        <f>IFERROR(__xludf.DUMMYFUNCTION("""COMPUTED_VALUE"""),"1st")</f>
        <v>1st</v>
      </c>
      <c r="H99" s="8" t="str">
        <f>IFERROR(__xludf.DUMMYFUNCTION("""COMPUTED_VALUE"""),"NE Regional 33")</f>
        <v>NE Regional 33</v>
      </c>
      <c r="I99" s="10">
        <f>IFERROR(__xludf.DUMMYFUNCTION("""COMPUTED_VALUE"""),41791.0)</f>
        <v>41791</v>
      </c>
      <c r="J99" s="10">
        <f>IFERROR(__xludf.DUMMYFUNCTION("""COMPUTED_VALUE"""),44348.0)</f>
        <v>44348</v>
      </c>
      <c r="K99" s="1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9" t="str">
        <f>IFERROR(__xludf.DUMMYFUNCTION("""COMPUTED_VALUE"""),"Bright")</f>
        <v>Bright</v>
      </c>
      <c r="B100" s="8" t="str">
        <f>IFERROR(__xludf.DUMMYFUNCTION("""COMPUTED_VALUE"""),"Randy")</f>
        <v>Randy</v>
      </c>
      <c r="C100" s="8" t="str">
        <f>IFERROR(__xludf.DUMMYFUNCTION("""COMPUTED_VALUE"""),"Boaz")</f>
        <v>Boaz</v>
      </c>
      <c r="D100" s="8" t="str">
        <f>IFERROR(__xludf.DUMMYFUNCTION("""COMPUTED_VALUE"""),"AL")</f>
        <v>AL</v>
      </c>
      <c r="E100" s="8" t="str">
        <f>IFERROR(__xludf.DUMMYFUNCTION("""COMPUTED_VALUE"""),"USA")</f>
        <v>USA</v>
      </c>
      <c r="F100" s="8" t="str">
        <f>IFERROR(__xludf.DUMMYFUNCTION("""COMPUTED_VALUE"""),"Mens Cricket Doubles")</f>
        <v>Mens Cricket Doubles</v>
      </c>
      <c r="G100" s="8" t="str">
        <f>IFERROR(__xludf.DUMMYFUNCTION("""COMPUTED_VALUE"""),"1st")</f>
        <v>1st</v>
      </c>
      <c r="H100" s="8" t="str">
        <f>IFERROR(__xludf.DUMMYFUNCTION("""COMPUTED_VALUE"""),"TN Regional 33")</f>
        <v>TN Regional 33</v>
      </c>
      <c r="I100" s="10">
        <f>IFERROR(__xludf.DUMMYFUNCTION("""COMPUTED_VALUE"""),43252.0)</f>
        <v>43252</v>
      </c>
      <c r="J100" s="10">
        <f>IFERROR(__xludf.DUMMYFUNCTION("""COMPUTED_VALUE"""),44348.0)</f>
        <v>44348</v>
      </c>
      <c r="K100" s="1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9" t="str">
        <f>IFERROR(__xludf.DUMMYFUNCTION("""COMPUTED_VALUE"""),"Brock")</f>
        <v>Brock</v>
      </c>
      <c r="B101" s="8" t="str">
        <f>IFERROR(__xludf.DUMMYFUNCTION("""COMPUTED_VALUE"""),"Nathan")</f>
        <v>Nathan</v>
      </c>
      <c r="C101" s="8" t="str">
        <f>IFERROR(__xludf.DUMMYFUNCTION("""COMPUTED_VALUE"""),"Fulton")</f>
        <v>Fulton</v>
      </c>
      <c r="D101" s="8" t="str">
        <f>IFERROR(__xludf.DUMMYFUNCTION("""COMPUTED_VALUE"""),"MS")</f>
        <v>MS</v>
      </c>
      <c r="E101" s="8" t="str">
        <f>IFERROR(__xludf.DUMMYFUNCTION("""COMPUTED_VALUE"""),"USA")</f>
        <v>USA</v>
      </c>
      <c r="F101" s="8" t="str">
        <f>IFERROR(__xludf.DUMMYFUNCTION("""COMPUTED_VALUE"""),"Mens Cricket Doubles")</f>
        <v>Mens Cricket Doubles</v>
      </c>
      <c r="G101" s="8" t="str">
        <f>IFERROR(__xludf.DUMMYFUNCTION("""COMPUTED_VALUE"""),"3rd")</f>
        <v>3rd</v>
      </c>
      <c r="H101" s="8" t="str">
        <f>IFERROR(__xludf.DUMMYFUNCTION("""COMPUTED_VALUE"""),"TN Regional 32")</f>
        <v>TN Regional 32</v>
      </c>
      <c r="I101" s="10">
        <f>IFERROR(__xludf.DUMMYFUNCTION("""COMPUTED_VALUE"""),42887.0)</f>
        <v>42887</v>
      </c>
      <c r="J101" s="10">
        <f>IFERROR(__xludf.DUMMYFUNCTION("""COMPUTED_VALUE"""),43983.0)</f>
        <v>43983</v>
      </c>
      <c r="K101" s="1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9" t="str">
        <f>IFERROR(__xludf.DUMMYFUNCTION("""COMPUTED_VALUE"""),"Brousseau")</f>
        <v>Brousseau</v>
      </c>
      <c r="B102" s="8" t="str">
        <f>IFERROR(__xludf.DUMMYFUNCTION("""COMPUTED_VALUE"""),"Chuck")</f>
        <v>Chuck</v>
      </c>
      <c r="C102" s="8" t="str">
        <f>IFERROR(__xludf.DUMMYFUNCTION("""COMPUTED_VALUE"""),"")</f>
        <v/>
      </c>
      <c r="D102" s="8" t="str">
        <f>IFERROR(__xludf.DUMMYFUNCTION("""COMPUTED_VALUE"""),"UNK")</f>
        <v>UNK</v>
      </c>
      <c r="E102" s="8" t="str">
        <f>IFERROR(__xludf.DUMMYFUNCTION("""COMPUTED_VALUE"""),"UNK")</f>
        <v>UNK</v>
      </c>
      <c r="F102" s="8" t="str">
        <f>IFERROR(__xludf.DUMMYFUNCTION("""COMPUTED_VALUE"""),"ADO 2016")</f>
        <v>ADO 2016</v>
      </c>
      <c r="G102" s="8" t="str">
        <f>IFERROR(__xludf.DUMMYFUNCTION("""COMPUTED_VALUE"""),"39th")</f>
        <v>39th</v>
      </c>
      <c r="H102" s="8" t="str">
        <f>IFERROR(__xludf.DUMMYFUNCTION("""COMPUTED_VALUE"""),"ADO 2016")</f>
        <v>ADO 2016</v>
      </c>
      <c r="I102" s="10">
        <f>IFERROR(__xludf.DUMMYFUNCTION("""COMPUTED_VALUE"""),42401.0)</f>
        <v>42401</v>
      </c>
      <c r="J102" s="10">
        <f>IFERROR(__xludf.DUMMYFUNCTION("""COMPUTED_VALUE"""),44713.0)</f>
        <v>44713</v>
      </c>
      <c r="K102" s="1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9" t="str">
        <f>IFERROR(__xludf.DUMMYFUNCTION("""COMPUTED_VALUE"""),"Brown")</f>
        <v>Brown</v>
      </c>
      <c r="B103" s="8" t="str">
        <f>IFERROR(__xludf.DUMMYFUNCTION("""COMPUTED_VALUE"""),"Brandon")</f>
        <v>Brandon</v>
      </c>
      <c r="C103" s="8" t="str">
        <f>IFERROR(__xludf.DUMMYFUNCTION("""COMPUTED_VALUE"""),"San Antonio")</f>
        <v>San Antonio</v>
      </c>
      <c r="D103" s="8" t="str">
        <f>IFERROR(__xludf.DUMMYFUNCTION("""COMPUTED_VALUE"""),"TX")</f>
        <v>TX</v>
      </c>
      <c r="E103" s="8" t="str">
        <f>IFERROR(__xludf.DUMMYFUNCTION("""COMPUTED_VALUE"""),"USA")</f>
        <v>USA</v>
      </c>
      <c r="F103" s="8" t="str">
        <f>IFERROR(__xludf.DUMMYFUNCTION("""COMPUTED_VALUE"""),"Pro Doubles 501")</f>
        <v>Pro Doubles 501</v>
      </c>
      <c r="G103" s="8" t="str">
        <f>IFERROR(__xludf.DUMMYFUNCTION("""COMPUTED_VALUE"""),"3rd")</f>
        <v>3rd</v>
      </c>
      <c r="H103" s="8" t="str">
        <f>IFERROR(__xludf.DUMMYFUNCTION("""COMPUTED_VALUE"""),"Texas BS 34")</f>
        <v>Texas BS 34</v>
      </c>
      <c r="I103" s="10">
        <f>IFERROR(__xludf.DUMMYFUNCTION("""COMPUTED_VALUE"""),43617.0)</f>
        <v>43617</v>
      </c>
      <c r="J103" s="10">
        <f>IFERROR(__xludf.DUMMYFUNCTION("""COMPUTED_VALUE"""),44713.0)</f>
        <v>44713</v>
      </c>
      <c r="K103" s="1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9" t="str">
        <f>IFERROR(__xludf.DUMMYFUNCTION("""COMPUTED_VALUE"""),"Brown")</f>
        <v>Brown</v>
      </c>
      <c r="B104" s="8" t="str">
        <f>IFERROR(__xludf.DUMMYFUNCTION("""COMPUTED_VALUE"""),"Steve")</f>
        <v>Steve</v>
      </c>
      <c r="C104" s="8" t="str">
        <f>IFERROR(__xludf.DUMMYFUNCTION("""COMPUTED_VALUE"""),"")</f>
        <v/>
      </c>
      <c r="D104" s="8" t="str">
        <f>IFERROR(__xludf.DUMMYFUNCTION("""COMPUTED_VALUE"""),"UNK")</f>
        <v>UNK</v>
      </c>
      <c r="E104" s="8" t="str">
        <f>IFERROR(__xludf.DUMMYFUNCTION("""COMPUTED_VALUE"""),"England")</f>
        <v>England</v>
      </c>
      <c r="F104" s="8" t="str">
        <f>IFERROR(__xludf.DUMMYFUNCTION("""COMPUTED_VALUE"""),"ADO 2014")</f>
        <v>ADO 2014</v>
      </c>
      <c r="G104" s="8" t="str">
        <f>IFERROR(__xludf.DUMMYFUNCTION("""COMPUTED_VALUE"""),"12th")</f>
        <v>12th</v>
      </c>
      <c r="H104" s="8" t="str">
        <f>IFERROR(__xludf.DUMMYFUNCTION("""COMPUTED_VALUE"""),"Off AA List")</f>
        <v>Off AA List</v>
      </c>
      <c r="I104" s="10">
        <f>IFERROR(__xludf.DUMMYFUNCTION("""COMPUTED_VALUE"""),42887.0)</f>
        <v>42887</v>
      </c>
      <c r="J104" s="10">
        <f>IFERROR(__xludf.DUMMYFUNCTION("""COMPUTED_VALUE"""),43983.0)</f>
        <v>43983</v>
      </c>
      <c r="K104" s="1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9" t="str">
        <f>IFERROR(__xludf.DUMMYFUNCTION("""COMPUTED_VALUE"""),"Browning")</f>
        <v>Browning</v>
      </c>
      <c r="B105" s="8" t="str">
        <f>IFERROR(__xludf.DUMMYFUNCTION("""COMPUTED_VALUE"""),"John (Jay)")</f>
        <v>John (Jay)</v>
      </c>
      <c r="C105" s="8" t="str">
        <f>IFERROR(__xludf.DUMMYFUNCTION("""COMPUTED_VALUE"""),"Indianapolis")</f>
        <v>Indianapolis</v>
      </c>
      <c r="D105" s="8" t="str">
        <f>IFERROR(__xludf.DUMMYFUNCTION("""COMPUTED_VALUE"""),"IN")</f>
        <v>IN</v>
      </c>
      <c r="E105" s="8" t="str">
        <f>IFERROR(__xludf.DUMMYFUNCTION("""COMPUTED_VALUE"""),"USA")</f>
        <v>USA</v>
      </c>
      <c r="F105" s="8" t="str">
        <f>IFERROR(__xludf.DUMMYFUNCTION("""COMPUTED_VALUE"""),"Pro Doubles")</f>
        <v>Pro Doubles</v>
      </c>
      <c r="G105" s="8" t="str">
        <f>IFERROR(__xludf.DUMMYFUNCTION("""COMPUTED_VALUE"""),"3rd")</f>
        <v>3rd</v>
      </c>
      <c r="H105" s="8" t="str">
        <f>IFERROR(__xludf.DUMMYFUNCTION("""COMPUTED_VALUE"""),"IN Regional 32")</f>
        <v>IN Regional 32</v>
      </c>
      <c r="I105" s="10">
        <f>IFERROR(__xludf.DUMMYFUNCTION("""COMPUTED_VALUE"""),42887.0)</f>
        <v>42887</v>
      </c>
      <c r="J105" s="10">
        <f>IFERROR(__xludf.DUMMYFUNCTION("""COMPUTED_VALUE"""),43983.0)</f>
        <v>43983</v>
      </c>
      <c r="K105" s="1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9" t="str">
        <f>IFERROR(__xludf.DUMMYFUNCTION("""COMPUTED_VALUE"""),"Broyles")</f>
        <v>Broyles</v>
      </c>
      <c r="B106" s="8" t="str">
        <f>IFERROR(__xludf.DUMMYFUNCTION("""COMPUTED_VALUE"""),"Daniel")</f>
        <v>Daniel</v>
      </c>
      <c r="C106" s="8" t="str">
        <f>IFERROR(__xludf.DUMMYFUNCTION("""COMPUTED_VALUE"""),"Niles")</f>
        <v>Niles</v>
      </c>
      <c r="D106" s="8" t="str">
        <f>IFERROR(__xludf.DUMMYFUNCTION("""COMPUTED_VALUE"""),"MI")</f>
        <v>MI</v>
      </c>
      <c r="E106" s="8" t="str">
        <f>IFERROR(__xludf.DUMMYFUNCTION("""COMPUTED_VALUE"""),"USA")</f>
        <v>USA</v>
      </c>
      <c r="F106" s="8" t="str">
        <f>IFERROR(__xludf.DUMMYFUNCTION("""COMPUTED_VALUE"""),"Pro Singles X01")</f>
        <v>Pro Singles X01</v>
      </c>
      <c r="G106" s="8" t="str">
        <f>IFERROR(__xludf.DUMMYFUNCTION("""COMPUTED_VALUE"""),"3rd")</f>
        <v>3rd</v>
      </c>
      <c r="H106" s="8" t="str">
        <f>IFERROR(__xludf.DUMMYFUNCTION("""COMPUTED_VALUE"""),"Off AA List")</f>
        <v>Off AA List</v>
      </c>
      <c r="I106" s="10">
        <f>IFERROR(__xludf.DUMMYFUNCTION("""COMPUTED_VALUE"""),42887.0)</f>
        <v>42887</v>
      </c>
      <c r="J106" s="10">
        <f>IFERROR(__xludf.DUMMYFUNCTION("""COMPUTED_VALUE"""),43983.0)</f>
        <v>43983</v>
      </c>
      <c r="K106" s="1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9" t="str">
        <f>IFERROR(__xludf.DUMMYFUNCTION("""COMPUTED_VALUE"""),"Buboltz")</f>
        <v>Buboltz</v>
      </c>
      <c r="B107" s="8" t="str">
        <f>IFERROR(__xludf.DUMMYFUNCTION("""COMPUTED_VALUE"""),"Trevor")</f>
        <v>Trevor</v>
      </c>
      <c r="C107" s="8" t="str">
        <f>IFERROR(__xludf.DUMMYFUNCTION("""COMPUTED_VALUE"""),"Tinley Park")</f>
        <v>Tinley Park</v>
      </c>
      <c r="D107" s="8" t="str">
        <f>IFERROR(__xludf.DUMMYFUNCTION("""COMPUTED_VALUE"""),"IL")</f>
        <v>IL</v>
      </c>
      <c r="E107" s="8" t="str">
        <f>IFERROR(__xludf.DUMMYFUNCTION("""COMPUTED_VALUE"""),"USA")</f>
        <v>USA</v>
      </c>
      <c r="F107" s="8" t="str">
        <f>IFERROR(__xludf.DUMMYFUNCTION("""COMPUTED_VALUE"""),"Pro Cricket Doubles")</f>
        <v>Pro Cricket Doubles</v>
      </c>
      <c r="G107" s="8" t="str">
        <f>IFERROR(__xludf.DUMMYFUNCTION("""COMPUTED_VALUE"""),"3rd")</f>
        <v>3rd</v>
      </c>
      <c r="H107" s="8" t="str">
        <f>IFERROR(__xludf.DUMMYFUNCTION("""COMPUTED_VALUE"""),"BullShooter 31")</f>
        <v>BullShooter 31</v>
      </c>
      <c r="I107" s="10">
        <f>IFERROR(__xludf.DUMMYFUNCTION("""COMPUTED_VALUE"""),42522.0)</f>
        <v>42522</v>
      </c>
      <c r="J107" s="10">
        <f>IFERROR(__xludf.DUMMYFUNCTION("""COMPUTED_VALUE"""),44713.0)</f>
        <v>44713</v>
      </c>
      <c r="K107" s="1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9" t="str">
        <f>IFERROR(__xludf.DUMMYFUNCTION("""COMPUTED_VALUE"""),"Buchanan")</f>
        <v>Buchanan</v>
      </c>
      <c r="B108" s="8" t="str">
        <f>IFERROR(__xludf.DUMMYFUNCTION("""COMPUTED_VALUE"""),"Richard")</f>
        <v>Richard</v>
      </c>
      <c r="C108" s="8" t="str">
        <f>IFERROR(__xludf.DUMMYFUNCTION("""COMPUTED_VALUE"""),"Follansbee")</f>
        <v>Follansbee</v>
      </c>
      <c r="D108" s="8" t="str">
        <f>IFERROR(__xludf.DUMMYFUNCTION("""COMPUTED_VALUE"""),"WV")</f>
        <v>WV</v>
      </c>
      <c r="E108" s="8" t="str">
        <f>IFERROR(__xludf.DUMMYFUNCTION("""COMPUTED_VALUE"""),"USA")</f>
        <v>USA</v>
      </c>
      <c r="F108" s="8" t="str">
        <f>IFERROR(__xludf.DUMMYFUNCTION("""COMPUTED_VALUE"""),"Mens Cricket Doubles")</f>
        <v>Mens Cricket Doubles</v>
      </c>
      <c r="G108" s="8" t="str">
        <f>IFERROR(__xludf.DUMMYFUNCTION("""COMPUTED_VALUE"""),"1st")</f>
        <v>1st</v>
      </c>
      <c r="H108" s="8" t="str">
        <f>IFERROR(__xludf.DUMMYFUNCTION("""COMPUTED_VALUE"""),"PA Regional 32")</f>
        <v>PA Regional 32</v>
      </c>
      <c r="I108" s="10">
        <f>IFERROR(__xludf.DUMMYFUNCTION("""COMPUTED_VALUE"""),42887.0)</f>
        <v>42887</v>
      </c>
      <c r="J108" s="10">
        <f>IFERROR(__xludf.DUMMYFUNCTION("""COMPUTED_VALUE"""),43983.0)</f>
        <v>43983</v>
      </c>
      <c r="K108" s="1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9" t="str">
        <f>IFERROR(__xludf.DUMMYFUNCTION("""COMPUTED_VALUE"""),"Buckley")</f>
        <v>Buckley</v>
      </c>
      <c r="B109" s="8" t="str">
        <f>IFERROR(__xludf.DUMMYFUNCTION("""COMPUTED_VALUE"""),"Richard")</f>
        <v>Richard</v>
      </c>
      <c r="C109" s="8" t="str">
        <f>IFERROR(__xludf.DUMMYFUNCTION("""COMPUTED_VALUE"""),"Urbane")</f>
        <v>Urbane</v>
      </c>
      <c r="D109" s="8" t="str">
        <f>IFERROR(__xludf.DUMMYFUNCTION("""COMPUTED_VALUE"""),"OH")</f>
        <v>OH</v>
      </c>
      <c r="E109" s="8" t="str">
        <f>IFERROR(__xludf.DUMMYFUNCTION("""COMPUTED_VALUE"""),"USA")</f>
        <v>USA</v>
      </c>
      <c r="F109" s="8" t="str">
        <f>IFERROR(__xludf.DUMMYFUNCTION("""COMPUTED_VALUE"""),"Mens Singles Cricket")</f>
        <v>Mens Singles Cricket</v>
      </c>
      <c r="G109" s="8" t="str">
        <f>IFERROR(__xludf.DUMMYFUNCTION("""COMPUTED_VALUE"""),"2nd")</f>
        <v>2nd</v>
      </c>
      <c r="H109" s="8" t="str">
        <f>IFERROR(__xludf.DUMMYFUNCTION("""COMPUTED_VALUE"""),"OH Regional 32")</f>
        <v>OH Regional 32</v>
      </c>
      <c r="I109" s="10">
        <f>IFERROR(__xludf.DUMMYFUNCTION("""COMPUTED_VALUE"""),42887.0)</f>
        <v>42887</v>
      </c>
      <c r="J109" s="10">
        <f>IFERROR(__xludf.DUMMYFUNCTION("""COMPUTED_VALUE"""),43983.0)</f>
        <v>43983</v>
      </c>
      <c r="K109" s="11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12" t="str">
        <f>IFERROR(__xludf.DUMMYFUNCTION("""COMPUTED_VALUE"""),"Buckley")</f>
        <v>Buckley</v>
      </c>
      <c r="B110" s="13" t="str">
        <f>IFERROR(__xludf.DUMMYFUNCTION("""COMPUTED_VALUE"""),"Scott")</f>
        <v>Scott</v>
      </c>
      <c r="C110" s="13" t="str">
        <f>IFERROR(__xludf.DUMMYFUNCTION("""COMPUTED_VALUE"""),"Springfield")</f>
        <v>Springfield</v>
      </c>
      <c r="D110" s="13" t="str">
        <f>IFERROR(__xludf.DUMMYFUNCTION("""COMPUTED_VALUE"""),"OH")</f>
        <v>OH</v>
      </c>
      <c r="E110" s="13" t="str">
        <f>IFERROR(__xludf.DUMMYFUNCTION("""COMPUTED_VALUE"""),"USA")</f>
        <v>USA</v>
      </c>
      <c r="F110" s="13" t="str">
        <f>IFERROR(__xludf.DUMMYFUNCTION("""COMPUTED_VALUE"""),"Mens Cricket Doubles")</f>
        <v>Mens Cricket Doubles</v>
      </c>
      <c r="G110" s="13" t="str">
        <f>IFERROR(__xludf.DUMMYFUNCTION("""COMPUTED_VALUE"""),"1st")</f>
        <v>1st</v>
      </c>
      <c r="H110" s="13" t="str">
        <f>IFERROR(__xludf.DUMMYFUNCTION("""COMPUTED_VALUE"""),"OH Regional 33")</f>
        <v>OH Regional 33</v>
      </c>
      <c r="I110" s="14">
        <f>IFERROR(__xludf.DUMMYFUNCTION("""COMPUTED_VALUE"""),43252.0)</f>
        <v>43252</v>
      </c>
      <c r="J110" s="14">
        <f>IFERROR(__xludf.DUMMYFUNCTION("""COMPUTED_VALUE"""),44348.0)</f>
        <v>44348</v>
      </c>
      <c r="K110" s="11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9" t="str">
        <f>IFERROR(__xludf.DUMMYFUNCTION("""COMPUTED_VALUE"""),"Bugg")</f>
        <v>Bugg</v>
      </c>
      <c r="B111" s="8" t="str">
        <f>IFERROR(__xludf.DUMMYFUNCTION("""COMPUTED_VALUE"""),"Lloyd")</f>
        <v>Lloyd</v>
      </c>
      <c r="C111" s="8" t="str">
        <f>IFERROR(__xludf.DUMMYFUNCTION("""COMPUTED_VALUE"""),"Dalton")</f>
        <v>Dalton</v>
      </c>
      <c r="D111" s="8" t="str">
        <f>IFERROR(__xludf.DUMMYFUNCTION("""COMPUTED_VALUE"""),"GA")</f>
        <v>GA</v>
      </c>
      <c r="E111" s="8" t="str">
        <f>IFERROR(__xludf.DUMMYFUNCTION("""COMPUTED_VALUE"""),"USA")</f>
        <v>USA</v>
      </c>
      <c r="F111" s="8" t="str">
        <f>IFERROR(__xludf.DUMMYFUNCTION("""COMPUTED_VALUE"""),"Mens Cricket Doubles")</f>
        <v>Mens Cricket Doubles</v>
      </c>
      <c r="G111" s="8" t="str">
        <f>IFERROR(__xludf.DUMMYFUNCTION("""COMPUTED_VALUE"""),"1st")</f>
        <v>1st</v>
      </c>
      <c r="H111" s="8" t="str">
        <f>IFERROR(__xludf.DUMMYFUNCTION("""COMPUTED_VALUE"""),"TN Regional 32")</f>
        <v>TN Regional 32</v>
      </c>
      <c r="I111" s="10">
        <f>IFERROR(__xludf.DUMMYFUNCTION("""COMPUTED_VALUE"""),42887.0)</f>
        <v>42887</v>
      </c>
      <c r="J111" s="10">
        <f>IFERROR(__xludf.DUMMYFUNCTION("""COMPUTED_VALUE"""),43983.0)</f>
        <v>43983</v>
      </c>
      <c r="K111" s="11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9" t="str">
        <f>IFERROR(__xludf.DUMMYFUNCTION("""COMPUTED_VALUE"""),"Buie")</f>
        <v>Buie</v>
      </c>
      <c r="B112" s="8" t="str">
        <f>IFERROR(__xludf.DUMMYFUNCTION("""COMPUTED_VALUE"""),"Anthony")</f>
        <v>Anthony</v>
      </c>
      <c r="C112" s="8" t="str">
        <f>IFERROR(__xludf.DUMMYFUNCTION("""COMPUTED_VALUE"""),"Haines City")</f>
        <v>Haines City</v>
      </c>
      <c r="D112" s="8" t="str">
        <f>IFERROR(__xludf.DUMMYFUNCTION("""COMPUTED_VALUE"""),"FL")</f>
        <v>FL</v>
      </c>
      <c r="E112" s="8" t="str">
        <f>IFERROR(__xludf.DUMMYFUNCTION("""COMPUTED_VALUE"""),"USA")</f>
        <v>USA</v>
      </c>
      <c r="F112" s="8" t="str">
        <f>IFERROR(__xludf.DUMMYFUNCTION("""COMPUTED_VALUE"""),"Mens Cricket Doubles")</f>
        <v>Mens Cricket Doubles</v>
      </c>
      <c r="G112" s="8" t="str">
        <f>IFERROR(__xludf.DUMMYFUNCTION("""COMPUTED_VALUE"""),"3rd")</f>
        <v>3rd</v>
      </c>
      <c r="H112" s="8" t="str">
        <f>IFERROR(__xludf.DUMMYFUNCTION("""COMPUTED_VALUE"""),"FL Regional 33")</f>
        <v>FL Regional 33</v>
      </c>
      <c r="I112" s="10">
        <f>IFERROR(__xludf.DUMMYFUNCTION("""COMPUTED_VALUE"""),43252.0)</f>
        <v>43252</v>
      </c>
      <c r="J112" s="10">
        <f>IFERROR(__xludf.DUMMYFUNCTION("""COMPUTED_VALUE"""),44348.0)</f>
        <v>44348</v>
      </c>
      <c r="K112" s="11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9" t="str">
        <f>IFERROR(__xludf.DUMMYFUNCTION("""COMPUTED_VALUE"""),"Bumgarner")</f>
        <v>Bumgarner</v>
      </c>
      <c r="B113" s="8" t="str">
        <f>IFERROR(__xludf.DUMMYFUNCTION("""COMPUTED_VALUE"""),"Todd")</f>
        <v>Todd</v>
      </c>
      <c r="C113" s="8" t="str">
        <f>IFERROR(__xludf.DUMMYFUNCTION("""COMPUTED_VALUE"""),"")</f>
        <v/>
      </c>
      <c r="D113" s="8" t="str">
        <f>IFERROR(__xludf.DUMMYFUNCTION("""COMPUTED_VALUE"""),"UNK")</f>
        <v>UNK</v>
      </c>
      <c r="E113" s="8" t="str">
        <f>IFERROR(__xludf.DUMMYFUNCTION("""COMPUTED_VALUE"""),"UNK")</f>
        <v>UNK</v>
      </c>
      <c r="F113" s="8" t="str">
        <f>IFERROR(__xludf.DUMMYFUNCTION("""COMPUTED_VALUE"""),"ADO 2016")</f>
        <v>ADO 2016</v>
      </c>
      <c r="G113" s="8" t="str">
        <f>IFERROR(__xludf.DUMMYFUNCTION("""COMPUTED_VALUE"""),"34th")</f>
        <v>34th</v>
      </c>
      <c r="H113" s="8" t="str">
        <f>IFERROR(__xludf.DUMMYFUNCTION("""COMPUTED_VALUE"""),"ADO 2016")</f>
        <v>ADO 2016</v>
      </c>
      <c r="I113" s="10">
        <f>IFERROR(__xludf.DUMMYFUNCTION("""COMPUTED_VALUE"""),42401.0)</f>
        <v>42401</v>
      </c>
      <c r="J113" s="10">
        <f>IFERROR(__xludf.DUMMYFUNCTION("""COMPUTED_VALUE"""),44713.0)</f>
        <v>44713</v>
      </c>
      <c r="K113" s="11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9" t="str">
        <f>IFERROR(__xludf.DUMMYFUNCTION("""COMPUTED_VALUE"""),"Bunnenburg")</f>
        <v>Bunnenburg</v>
      </c>
      <c r="B114" s="8" t="str">
        <f>IFERROR(__xludf.DUMMYFUNCTION("""COMPUTED_VALUE"""),"Tom")</f>
        <v>Tom</v>
      </c>
      <c r="C114" s="8" t="str">
        <f>IFERROR(__xludf.DUMMYFUNCTION("""COMPUTED_VALUE"""),"Conway")</f>
        <v>Conway</v>
      </c>
      <c r="D114" s="8" t="str">
        <f>IFERROR(__xludf.DUMMYFUNCTION("""COMPUTED_VALUE"""),"SC")</f>
        <v>SC</v>
      </c>
      <c r="E114" s="8" t="str">
        <f>IFERROR(__xludf.DUMMYFUNCTION("""COMPUTED_VALUE"""),"USA")</f>
        <v>USA</v>
      </c>
      <c r="F114" s="8" t="str">
        <f>IFERROR(__xludf.DUMMYFUNCTION("""COMPUTED_VALUE"""),"Pro Doubles")</f>
        <v>Pro Doubles</v>
      </c>
      <c r="G114" s="8" t="str">
        <f>IFERROR(__xludf.DUMMYFUNCTION("""COMPUTED_VALUE"""),"3rd")</f>
        <v>3rd</v>
      </c>
      <c r="H114" s="8" t="str">
        <f>IFERROR(__xludf.DUMMYFUNCTION("""COMPUTED_VALUE"""),"SC Regional 33")</f>
        <v>SC Regional 33</v>
      </c>
      <c r="I114" s="10">
        <f>IFERROR(__xludf.DUMMYFUNCTION("""COMPUTED_VALUE"""),42887.0)</f>
        <v>42887</v>
      </c>
      <c r="J114" s="10">
        <f>IFERROR(__xludf.DUMMYFUNCTION("""COMPUTED_VALUE"""),44348.0)</f>
        <v>44348</v>
      </c>
      <c r="K114" s="1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9" t="str">
        <f>IFERROR(__xludf.DUMMYFUNCTION("""COMPUTED_VALUE"""),"Buntz")</f>
        <v>Buntz</v>
      </c>
      <c r="B115" s="8" t="str">
        <f>IFERROR(__xludf.DUMMYFUNCTION("""COMPUTED_VALUE"""),"Stowe")</f>
        <v>Stowe</v>
      </c>
      <c r="C115" s="8" t="str">
        <f>IFERROR(__xludf.DUMMYFUNCTION("""COMPUTED_VALUE"""),"")</f>
        <v/>
      </c>
      <c r="D115" s="8" t="str">
        <f>IFERROR(__xludf.DUMMYFUNCTION("""COMPUTED_VALUE"""),"UNK")</f>
        <v>UNK</v>
      </c>
      <c r="E115" s="8" t="str">
        <f>IFERROR(__xludf.DUMMYFUNCTION("""COMPUTED_VALUE"""),"USA")</f>
        <v>USA</v>
      </c>
      <c r="F115" s="8" t="str">
        <f>IFERROR(__xludf.DUMMYFUNCTION("""COMPUTED_VALUE"""),"ADO 2014")</f>
        <v>ADO 2014</v>
      </c>
      <c r="G115" s="8" t="str">
        <f>IFERROR(__xludf.DUMMYFUNCTION("""COMPUTED_VALUE"""),"41st")</f>
        <v>41st</v>
      </c>
      <c r="H115" s="8" t="str">
        <f>IFERROR(__xludf.DUMMYFUNCTION("""COMPUTED_VALUE"""),"Off AA List")</f>
        <v>Off AA List</v>
      </c>
      <c r="I115" s="10">
        <f>IFERROR(__xludf.DUMMYFUNCTION("""COMPUTED_VALUE"""),42887.0)</f>
        <v>42887</v>
      </c>
      <c r="J115" s="10">
        <f>IFERROR(__xludf.DUMMYFUNCTION("""COMPUTED_VALUE"""),43983.0)</f>
        <v>43983</v>
      </c>
      <c r="K115" s="11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12" t="str">
        <f>IFERROR(__xludf.DUMMYFUNCTION("""COMPUTED_VALUE"""),"Burgio")</f>
        <v>Burgio</v>
      </c>
      <c r="B116" s="13" t="str">
        <f>IFERROR(__xludf.DUMMYFUNCTION("""COMPUTED_VALUE"""),"Vincent")</f>
        <v>Vincent</v>
      </c>
      <c r="C116" s="13" t="str">
        <f>IFERROR(__xludf.DUMMYFUNCTION("""COMPUTED_VALUE"""),"Greenfield")</f>
        <v>Greenfield</v>
      </c>
      <c r="D116" s="13" t="str">
        <f>IFERROR(__xludf.DUMMYFUNCTION("""COMPUTED_VALUE"""),"PA")</f>
        <v>PA</v>
      </c>
      <c r="E116" s="13" t="str">
        <f>IFERROR(__xludf.DUMMYFUNCTION("""COMPUTED_VALUE"""),"USA")</f>
        <v>USA</v>
      </c>
      <c r="F116" s="13" t="str">
        <f>IFERROR(__xludf.DUMMYFUNCTION("""COMPUTED_VALUE"""),"Mens Cricket Doubles")</f>
        <v>Mens Cricket Doubles</v>
      </c>
      <c r="G116" s="13" t="str">
        <f>IFERROR(__xludf.DUMMYFUNCTION("""COMPUTED_VALUE"""),"2nd")</f>
        <v>2nd</v>
      </c>
      <c r="H116" s="13" t="str">
        <f>IFERROR(__xludf.DUMMYFUNCTION("""COMPUTED_VALUE"""),"NY Regional 32")</f>
        <v>NY Regional 32</v>
      </c>
      <c r="I116" s="15">
        <f>IFERROR(__xludf.DUMMYFUNCTION("""COMPUTED_VALUE"""),42887.0)</f>
        <v>42887</v>
      </c>
      <c r="J116" s="15">
        <f>IFERROR(__xludf.DUMMYFUNCTION("""COMPUTED_VALUE"""),43983.0)</f>
        <v>43983</v>
      </c>
      <c r="K116" s="11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9" t="str">
        <f>IFERROR(__xludf.DUMMYFUNCTION("""COMPUTED_VALUE"""),"Burkey")</f>
        <v>Burkey</v>
      </c>
      <c r="B117" s="8" t="str">
        <f>IFERROR(__xludf.DUMMYFUNCTION("""COMPUTED_VALUE"""),"Del")</f>
        <v>Del</v>
      </c>
      <c r="C117" s="8" t="str">
        <f>IFERROR(__xludf.DUMMYFUNCTION("""COMPUTED_VALUE"""),"Forsyth")</f>
        <v>Forsyth</v>
      </c>
      <c r="D117" s="8" t="str">
        <f>IFERROR(__xludf.DUMMYFUNCTION("""COMPUTED_VALUE"""),"IL")</f>
        <v>IL</v>
      </c>
      <c r="E117" s="8" t="str">
        <f>IFERROR(__xludf.DUMMYFUNCTION("""COMPUTED_VALUE"""),"USA")</f>
        <v>USA</v>
      </c>
      <c r="F117" s="8" t="str">
        <f>IFERROR(__xludf.DUMMYFUNCTION("""COMPUTED_VALUE"""),"Mens Doubles")</f>
        <v>Mens Doubles</v>
      </c>
      <c r="G117" s="8" t="str">
        <f>IFERROR(__xludf.DUMMYFUNCTION("""COMPUTED_VALUE"""),"3rd")</f>
        <v>3rd</v>
      </c>
      <c r="H117" s="8" t="str">
        <f>IFERROR(__xludf.DUMMYFUNCTION("""COMPUTED_VALUE"""),"BS 33 Finals")</f>
        <v>BS 33 Finals</v>
      </c>
      <c r="I117" s="10">
        <f>IFERROR(__xludf.DUMMYFUNCTION("""COMPUTED_VALUE"""),43252.0)</f>
        <v>43252</v>
      </c>
      <c r="J117" s="10">
        <f>IFERROR(__xludf.DUMMYFUNCTION("""COMPUTED_VALUE"""),44348.0)</f>
        <v>44348</v>
      </c>
      <c r="K117" s="11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9" t="str">
        <f>IFERROR(__xludf.DUMMYFUNCTION("""COMPUTED_VALUE"""),"Burnett")</f>
        <v>Burnett</v>
      </c>
      <c r="B118" s="8" t="str">
        <f>IFERROR(__xludf.DUMMYFUNCTION("""COMPUTED_VALUE"""),"Richie")</f>
        <v>Richie</v>
      </c>
      <c r="C118" s="8" t="str">
        <f>IFERROR(__xludf.DUMMYFUNCTION("""COMPUTED_VALUE"""),"")</f>
        <v/>
      </c>
      <c r="D118" s="8" t="str">
        <f>IFERROR(__xludf.DUMMYFUNCTION("""COMPUTED_VALUE"""),"UNK")</f>
        <v>UNK</v>
      </c>
      <c r="E118" s="8" t="str">
        <f>IFERROR(__xludf.DUMMYFUNCTION("""COMPUTED_VALUE"""),"Wales")</f>
        <v>Wales</v>
      </c>
      <c r="F118" s="8" t="str">
        <f>IFERROR(__xludf.DUMMYFUNCTION("""COMPUTED_VALUE"""),"PDC Merit Ranking")</f>
        <v>PDC Merit Ranking</v>
      </c>
      <c r="G118" s="8" t="str">
        <f>IFERROR(__xludf.DUMMYFUNCTION("""COMPUTED_VALUE"""),"60th")</f>
        <v>60th</v>
      </c>
      <c r="H118" s="8" t="str">
        <f>IFERROR(__xludf.DUMMYFUNCTION("""COMPUTED_VALUE"""),"PDC Merit Ranking")</f>
        <v>PDC Merit Ranking</v>
      </c>
      <c r="I118" s="10">
        <f>IFERROR(__xludf.DUMMYFUNCTION("""COMPUTED_VALUE"""),42401.0)</f>
        <v>42401</v>
      </c>
      <c r="J118" s="10">
        <f>IFERROR(__xludf.DUMMYFUNCTION("""COMPUTED_VALUE"""),44713.0)</f>
        <v>44713</v>
      </c>
      <c r="K118" s="11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9" t="str">
        <f>IFERROR(__xludf.DUMMYFUNCTION("""COMPUTED_VALUE"""),"Burnett")</f>
        <v>Burnett</v>
      </c>
      <c r="B119" s="8" t="str">
        <f>IFERROR(__xludf.DUMMYFUNCTION("""COMPUTED_VALUE"""),"Scott")</f>
        <v>Scott</v>
      </c>
      <c r="C119" s="8" t="str">
        <f>IFERROR(__xludf.DUMMYFUNCTION("""COMPUTED_VALUE"""),"Sacramento")</f>
        <v>Sacramento</v>
      </c>
      <c r="D119" s="8" t="str">
        <f>IFERROR(__xludf.DUMMYFUNCTION("""COMPUTED_VALUE"""),"CA")</f>
        <v>CA</v>
      </c>
      <c r="E119" s="8" t="str">
        <f>IFERROR(__xludf.DUMMYFUNCTION("""COMPUTED_VALUE"""),"USA")</f>
        <v>USA</v>
      </c>
      <c r="F119" s="8" t="str">
        <f>IFERROR(__xludf.DUMMYFUNCTION("""COMPUTED_VALUE"""),"ADO 2014")</f>
        <v>ADO 2014</v>
      </c>
      <c r="G119" s="8" t="str">
        <f>IFERROR(__xludf.DUMMYFUNCTION("""COMPUTED_VALUE"""),"47th")</f>
        <v>47th</v>
      </c>
      <c r="H119" s="8" t="str">
        <f>IFERROR(__xludf.DUMMYFUNCTION("""COMPUTED_VALUE"""),"Known Ability")</f>
        <v>Known Ability</v>
      </c>
      <c r="I119" s="10">
        <f>IFERROR(__xludf.DUMMYFUNCTION("""COMPUTED_VALUE"""),41695.0)</f>
        <v>41695</v>
      </c>
      <c r="J119" s="10">
        <f>IFERROR(__xludf.DUMMYFUNCTION("""COMPUTED_VALUE"""),45809.0)</f>
        <v>45809</v>
      </c>
      <c r="K119" s="11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9" t="str">
        <f>IFERROR(__xludf.DUMMYFUNCTION("""COMPUTED_VALUE"""),"Burns")</f>
        <v>Burns</v>
      </c>
      <c r="B120" s="8" t="str">
        <f>IFERROR(__xludf.DUMMYFUNCTION("""COMPUTED_VALUE"""),"Michael")</f>
        <v>Michael</v>
      </c>
      <c r="C120" s="8" t="str">
        <f>IFERROR(__xludf.DUMMYFUNCTION("""COMPUTED_VALUE"""),"Staten Island")</f>
        <v>Staten Island</v>
      </c>
      <c r="D120" s="8" t="str">
        <f>IFERROR(__xludf.DUMMYFUNCTION("""COMPUTED_VALUE"""),"NY")</f>
        <v>NY</v>
      </c>
      <c r="E120" s="8" t="str">
        <f>IFERROR(__xludf.DUMMYFUNCTION("""COMPUTED_VALUE"""),"USA")</f>
        <v>USA</v>
      </c>
      <c r="F120" s="8" t="str">
        <f>IFERROR(__xludf.DUMMYFUNCTION("""COMPUTED_VALUE"""),"Men Doubles 501")</f>
        <v>Men Doubles 501</v>
      </c>
      <c r="G120" s="8" t="str">
        <f>IFERROR(__xludf.DUMMYFUNCTION("""COMPUTED_VALUE"""),"1st")</f>
        <v>1st</v>
      </c>
      <c r="H120" s="8" t="str">
        <f>IFERROR(__xludf.DUMMYFUNCTION("""COMPUTED_VALUE"""),"Pennsylvania BS 34")</f>
        <v>Pennsylvania BS 34</v>
      </c>
      <c r="I120" s="10">
        <f>IFERROR(__xludf.DUMMYFUNCTION("""COMPUTED_VALUE"""),43617.0)</f>
        <v>43617</v>
      </c>
      <c r="J120" s="10">
        <f>IFERROR(__xludf.DUMMYFUNCTION("""COMPUTED_VALUE"""),44713.0)</f>
        <v>44713</v>
      </c>
      <c r="K120" s="11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9" t="str">
        <f>IFERROR(__xludf.DUMMYFUNCTION("""COMPUTED_VALUE"""),"Burrows")</f>
        <v>Burrows</v>
      </c>
      <c r="B121" s="8" t="str">
        <f>IFERROR(__xludf.DUMMYFUNCTION("""COMPUTED_VALUE"""),"Tyler")</f>
        <v>Tyler</v>
      </c>
      <c r="C121" s="8" t="str">
        <f>IFERROR(__xludf.DUMMYFUNCTION("""COMPUTED_VALUE"""),"DesMoines")</f>
        <v>DesMoines</v>
      </c>
      <c r="D121" s="8" t="str">
        <f>IFERROR(__xludf.DUMMYFUNCTION("""COMPUTED_VALUE"""),"IA")</f>
        <v>IA</v>
      </c>
      <c r="E121" s="8" t="str">
        <f>IFERROR(__xludf.DUMMYFUNCTION("""COMPUTED_VALUE"""),"USA")</f>
        <v>USA</v>
      </c>
      <c r="F121" s="8" t="str">
        <f>IFERROR(__xludf.DUMMYFUNCTION("""COMPUTED_VALUE"""),"Mixed 701 Triples")</f>
        <v>Mixed 701 Triples</v>
      </c>
      <c r="G121" s="8" t="str">
        <f>IFERROR(__xludf.DUMMYFUNCTION("""COMPUTED_VALUE"""),"3rd")</f>
        <v>3rd</v>
      </c>
      <c r="H121" s="8" t="str">
        <f>IFERROR(__xludf.DUMMYFUNCTION("""COMPUTED_VALUE"""),"BullShooter 34 Finals")</f>
        <v>BullShooter 34 Finals</v>
      </c>
      <c r="I121" s="10">
        <f>IFERROR(__xludf.DUMMYFUNCTION("""COMPUTED_VALUE"""),43617.0)</f>
        <v>43617</v>
      </c>
      <c r="J121" s="10">
        <f>IFERROR(__xludf.DUMMYFUNCTION("""COMPUTED_VALUE"""),44713.0)</f>
        <v>44713</v>
      </c>
      <c r="K121" s="11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9" t="str">
        <f>IFERROR(__xludf.DUMMYFUNCTION("""COMPUTED_VALUE"""),"Burt")</f>
        <v>Burt</v>
      </c>
      <c r="B122" s="8" t="str">
        <f>IFERROR(__xludf.DUMMYFUNCTION("""COMPUTED_VALUE"""),"William")</f>
        <v>William</v>
      </c>
      <c r="C122" s="8" t="str">
        <f>IFERROR(__xludf.DUMMYFUNCTION("""COMPUTED_VALUE"""),"San Antonio")</f>
        <v>San Antonio</v>
      </c>
      <c r="D122" s="8" t="str">
        <f>IFERROR(__xludf.DUMMYFUNCTION("""COMPUTED_VALUE"""),"TX")</f>
        <v>TX</v>
      </c>
      <c r="E122" s="8" t="str">
        <f>IFERROR(__xludf.DUMMYFUNCTION("""COMPUTED_VALUE"""),"USA")</f>
        <v>USA</v>
      </c>
      <c r="F122" s="8" t="str">
        <f>IFERROR(__xludf.DUMMYFUNCTION("""COMPUTED_VALUE"""),"Men Doubles Cricket")</f>
        <v>Men Doubles Cricket</v>
      </c>
      <c r="G122" s="8" t="str">
        <f>IFERROR(__xludf.DUMMYFUNCTION("""COMPUTED_VALUE"""),"1st")</f>
        <v>1st</v>
      </c>
      <c r="H122" s="8" t="str">
        <f>IFERROR(__xludf.DUMMYFUNCTION("""COMPUTED_VALUE"""),"Texas BS 34")</f>
        <v>Texas BS 34</v>
      </c>
      <c r="I122" s="10">
        <f>IFERROR(__xludf.DUMMYFUNCTION("""COMPUTED_VALUE"""),43617.0)</f>
        <v>43617</v>
      </c>
      <c r="J122" s="10">
        <f>IFERROR(__xludf.DUMMYFUNCTION("""COMPUTED_VALUE"""),44713.0)</f>
        <v>44713</v>
      </c>
      <c r="K122" s="11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9" t="str">
        <f>IFERROR(__xludf.DUMMYFUNCTION("""COMPUTED_VALUE"""),"Bush")</f>
        <v>Bush</v>
      </c>
      <c r="B123" s="8" t="str">
        <f>IFERROR(__xludf.DUMMYFUNCTION("""COMPUTED_VALUE"""),"Richard")</f>
        <v>Richard</v>
      </c>
      <c r="C123" s="8" t="str">
        <f>IFERROR(__xludf.DUMMYFUNCTION("""COMPUTED_VALUE"""),"Longwood")</f>
        <v>Longwood</v>
      </c>
      <c r="D123" s="8" t="str">
        <f>IFERROR(__xludf.DUMMYFUNCTION("""COMPUTED_VALUE"""),"FL")</f>
        <v>FL</v>
      </c>
      <c r="E123" s="8" t="str">
        <f>IFERROR(__xludf.DUMMYFUNCTION("""COMPUTED_VALUE"""),"USA")</f>
        <v>USA</v>
      </c>
      <c r="F123" s="8" t="str">
        <f>IFERROR(__xludf.DUMMYFUNCTION("""COMPUTED_VALUE"""),"Mens Doubles")</f>
        <v>Mens Doubles</v>
      </c>
      <c r="G123" s="8" t="str">
        <f>IFERROR(__xludf.DUMMYFUNCTION("""COMPUTED_VALUE"""),"2nd")</f>
        <v>2nd</v>
      </c>
      <c r="H123" s="8" t="str">
        <f>IFERROR(__xludf.DUMMYFUNCTION("""COMPUTED_VALUE"""),"Florida Regional 32")</f>
        <v>Florida Regional 32</v>
      </c>
      <c r="I123" s="10">
        <f>IFERROR(__xludf.DUMMYFUNCTION("""COMPUTED_VALUE"""),42887.0)</f>
        <v>42887</v>
      </c>
      <c r="J123" s="10">
        <f>IFERROR(__xludf.DUMMYFUNCTION("""COMPUTED_VALUE"""),43983.0)</f>
        <v>43983</v>
      </c>
      <c r="K123" s="11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9" t="str">
        <f>IFERROR(__xludf.DUMMYFUNCTION("""COMPUTED_VALUE"""),"Butler")</f>
        <v>Butler</v>
      </c>
      <c r="B124" s="8" t="str">
        <f>IFERROR(__xludf.DUMMYFUNCTION("""COMPUTED_VALUE"""),"Cole")</f>
        <v>Cole</v>
      </c>
      <c r="C124" s="8" t="str">
        <f>IFERROR(__xludf.DUMMYFUNCTION("""COMPUTED_VALUE"""),"Pearland")</f>
        <v>Pearland</v>
      </c>
      <c r="D124" s="8" t="str">
        <f>IFERROR(__xludf.DUMMYFUNCTION("""COMPUTED_VALUE"""),"TX")</f>
        <v>TX</v>
      </c>
      <c r="E124" s="8" t="str">
        <f>IFERROR(__xludf.DUMMYFUNCTION("""COMPUTED_VALUE"""),"USA")</f>
        <v>USA</v>
      </c>
      <c r="F124" s="8" t="str">
        <f>IFERROR(__xludf.DUMMYFUNCTION("""COMPUTED_VALUE"""),"Men Doubles 501")</f>
        <v>Men Doubles 501</v>
      </c>
      <c r="G124" s="8" t="str">
        <f>IFERROR(__xludf.DUMMYFUNCTION("""COMPUTED_VALUE"""),"2nd")</f>
        <v>2nd</v>
      </c>
      <c r="H124" s="8" t="str">
        <f>IFERROR(__xludf.DUMMYFUNCTION("""COMPUTED_VALUE"""),"Texas BS 34")</f>
        <v>Texas BS 34</v>
      </c>
      <c r="I124" s="10">
        <f>IFERROR(__xludf.DUMMYFUNCTION("""COMPUTED_VALUE"""),43617.0)</f>
        <v>43617</v>
      </c>
      <c r="J124" s="10">
        <f>IFERROR(__xludf.DUMMYFUNCTION("""COMPUTED_VALUE"""),44713.0)</f>
        <v>44713</v>
      </c>
      <c r="K124" s="11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9" t="str">
        <f>IFERROR(__xludf.DUMMYFUNCTION("""COMPUTED_VALUE"""),"Calderon")</f>
        <v>Calderon</v>
      </c>
      <c r="B125" s="8" t="str">
        <f>IFERROR(__xludf.DUMMYFUNCTION("""COMPUTED_VALUE"""),"Carlos")</f>
        <v>Carlos</v>
      </c>
      <c r="C125" s="8" t="str">
        <f>IFERROR(__xludf.DUMMYFUNCTION("""COMPUTED_VALUE"""),"")</f>
        <v/>
      </c>
      <c r="D125" s="8" t="str">
        <f>IFERROR(__xludf.DUMMYFUNCTION("""COMPUTED_VALUE"""),"CA")</f>
        <v>CA</v>
      </c>
      <c r="E125" s="8" t="str">
        <f>IFERROR(__xludf.DUMMYFUNCTION("""COMPUTED_VALUE"""),"USA")</f>
        <v>USA</v>
      </c>
      <c r="F125" s="8" t="str">
        <f>IFERROR(__xludf.DUMMYFUNCTION("""COMPUTED_VALUE"""),"Mens Cricket Doubles")</f>
        <v>Mens Cricket Doubles</v>
      </c>
      <c r="G125" s="8" t="str">
        <f>IFERROR(__xludf.DUMMYFUNCTION("""COMPUTED_VALUE"""),"3rd")</f>
        <v>3rd</v>
      </c>
      <c r="H125" s="8" t="str">
        <f>IFERROR(__xludf.DUMMYFUNCTION("""COMPUTED_VALUE"""),"CA Regional 33")</f>
        <v>CA Regional 33</v>
      </c>
      <c r="I125" s="10">
        <f>IFERROR(__xludf.DUMMYFUNCTION("""COMPUTED_VALUE"""),43252.0)</f>
        <v>43252</v>
      </c>
      <c r="J125" s="10">
        <f>IFERROR(__xludf.DUMMYFUNCTION("""COMPUTED_VALUE"""),44348.0)</f>
        <v>44348</v>
      </c>
      <c r="K125" s="11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9" t="str">
        <f>IFERROR(__xludf.DUMMYFUNCTION("""COMPUTED_VALUE"""),"Caldwell")</f>
        <v>Caldwell</v>
      </c>
      <c r="B126" s="8" t="str">
        <f>IFERROR(__xludf.DUMMYFUNCTION("""COMPUTED_VALUE"""),"Dennis")</f>
        <v>Dennis</v>
      </c>
      <c r="C126" s="8" t="str">
        <f>IFERROR(__xludf.DUMMYFUNCTION("""COMPUTED_VALUE"""),"Roanoake")</f>
        <v>Roanoake</v>
      </c>
      <c r="D126" s="8" t="str">
        <f>IFERROR(__xludf.DUMMYFUNCTION("""COMPUTED_VALUE"""),"VA")</f>
        <v>VA</v>
      </c>
      <c r="E126" s="8" t="str">
        <f>IFERROR(__xludf.DUMMYFUNCTION("""COMPUTED_VALUE"""),"USA")</f>
        <v>USA</v>
      </c>
      <c r="F126" s="8" t="str">
        <f>IFERROR(__xludf.DUMMYFUNCTION("""COMPUTED_VALUE"""),"Pro Doubles 501")</f>
        <v>Pro Doubles 501</v>
      </c>
      <c r="G126" s="8" t="str">
        <f>IFERROR(__xludf.DUMMYFUNCTION("""COMPUTED_VALUE"""),"1st")</f>
        <v>1st</v>
      </c>
      <c r="H126" s="8" t="str">
        <f>IFERROR(__xludf.DUMMYFUNCTION("""COMPUTED_VALUE"""),"South Carolina BS 34")</f>
        <v>South Carolina BS 34</v>
      </c>
      <c r="I126" s="10">
        <f>IFERROR(__xludf.DUMMYFUNCTION("""COMPUTED_VALUE"""),43617.0)</f>
        <v>43617</v>
      </c>
      <c r="J126" s="10">
        <f>IFERROR(__xludf.DUMMYFUNCTION("""COMPUTED_VALUE"""),44713.0)</f>
        <v>44713</v>
      </c>
      <c r="K126" s="11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9" t="str">
        <f>IFERROR(__xludf.DUMMYFUNCTION("""COMPUTED_VALUE"""),"Calzada")</f>
        <v>Calzada</v>
      </c>
      <c r="B127" s="8" t="str">
        <f>IFERROR(__xludf.DUMMYFUNCTION("""COMPUTED_VALUE"""),"Daniel")</f>
        <v>Daniel</v>
      </c>
      <c r="C127" s="8" t="str">
        <f>IFERROR(__xludf.DUMMYFUNCTION("""COMPUTED_VALUE"""),"Houston")</f>
        <v>Houston</v>
      </c>
      <c r="D127" s="8" t="str">
        <f>IFERROR(__xludf.DUMMYFUNCTION("""COMPUTED_VALUE"""),"TX")</f>
        <v>TX</v>
      </c>
      <c r="E127" s="8" t="str">
        <f>IFERROR(__xludf.DUMMYFUNCTION("""COMPUTED_VALUE"""),"USA")</f>
        <v>USA</v>
      </c>
      <c r="F127" s="8" t="str">
        <f>IFERROR(__xludf.DUMMYFUNCTION("""COMPUTED_VALUE"""),"Men Doubles 501")</f>
        <v>Men Doubles 501</v>
      </c>
      <c r="G127" s="8" t="str">
        <f>IFERROR(__xludf.DUMMYFUNCTION("""COMPUTED_VALUE"""),"3rd")</f>
        <v>3rd</v>
      </c>
      <c r="H127" s="8" t="str">
        <f>IFERROR(__xludf.DUMMYFUNCTION("""COMPUTED_VALUE"""),"Texas BS 34")</f>
        <v>Texas BS 34</v>
      </c>
      <c r="I127" s="10">
        <f>IFERROR(__xludf.DUMMYFUNCTION("""COMPUTED_VALUE"""),43617.0)</f>
        <v>43617</v>
      </c>
      <c r="J127" s="10">
        <f>IFERROR(__xludf.DUMMYFUNCTION("""COMPUTED_VALUE"""),44713.0)</f>
        <v>44713</v>
      </c>
      <c r="K127" s="11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9" t="str">
        <f>IFERROR(__xludf.DUMMYFUNCTION("""COMPUTED_VALUE"""),"Campbell")</f>
        <v>Campbell</v>
      </c>
      <c r="B128" s="8" t="str">
        <f>IFERROR(__xludf.DUMMYFUNCTION("""COMPUTED_VALUE"""),"Chris")</f>
        <v>Chris</v>
      </c>
      <c r="C128" s="8" t="str">
        <f>IFERROR(__xludf.DUMMYFUNCTION("""COMPUTED_VALUE"""),"Gadsden")</f>
        <v>Gadsden</v>
      </c>
      <c r="D128" s="8" t="str">
        <f>IFERROR(__xludf.DUMMYFUNCTION("""COMPUTED_VALUE"""),"AL")</f>
        <v>AL</v>
      </c>
      <c r="E128" s="8" t="str">
        <f>IFERROR(__xludf.DUMMYFUNCTION("""COMPUTED_VALUE"""),"USA")</f>
        <v>USA</v>
      </c>
      <c r="F128" s="8" t="str">
        <f>IFERROR(__xludf.DUMMYFUNCTION("""COMPUTED_VALUE"""),"Mens Cricket Doubles")</f>
        <v>Mens Cricket Doubles</v>
      </c>
      <c r="G128" s="8" t="str">
        <f>IFERROR(__xludf.DUMMYFUNCTION("""COMPUTED_VALUE"""),"1st")</f>
        <v>1st</v>
      </c>
      <c r="H128" s="8" t="str">
        <f>IFERROR(__xludf.DUMMYFUNCTION("""COMPUTED_VALUE"""),"TN Regional 32")</f>
        <v>TN Regional 32</v>
      </c>
      <c r="I128" s="10">
        <f>IFERROR(__xludf.DUMMYFUNCTION("""COMPUTED_VALUE"""),42887.0)</f>
        <v>42887</v>
      </c>
      <c r="J128" s="10">
        <f>IFERROR(__xludf.DUMMYFUNCTION("""COMPUTED_VALUE"""),43983.0)</f>
        <v>43983</v>
      </c>
      <c r="K128" s="11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9" t="str">
        <f>IFERROR(__xludf.DUMMYFUNCTION("""COMPUTED_VALUE"""),"Campbell")</f>
        <v>Campbell</v>
      </c>
      <c r="B129" s="8" t="str">
        <f>IFERROR(__xludf.DUMMYFUNCTION("""COMPUTED_VALUE"""),"Lyle")</f>
        <v>Lyle</v>
      </c>
      <c r="C129" s="8" t="str">
        <f>IFERROR(__xludf.DUMMYFUNCTION("""COMPUTED_VALUE"""),"Williamsburg")</f>
        <v>Williamsburg</v>
      </c>
      <c r="D129" s="8" t="str">
        <f>IFERROR(__xludf.DUMMYFUNCTION("""COMPUTED_VALUE"""),"IA")</f>
        <v>IA</v>
      </c>
      <c r="E129" s="8" t="str">
        <f>IFERROR(__xludf.DUMMYFUNCTION("""COMPUTED_VALUE"""),"USA")</f>
        <v>USA</v>
      </c>
      <c r="F129" s="8" t="str">
        <f>IFERROR(__xludf.DUMMYFUNCTION("""COMPUTED_VALUE"""),"Mens Doubles")</f>
        <v>Mens Doubles</v>
      </c>
      <c r="G129" s="8" t="str">
        <f>IFERROR(__xludf.DUMMYFUNCTION("""COMPUTED_VALUE"""),"2nd")</f>
        <v>2nd</v>
      </c>
      <c r="H129" s="8" t="str">
        <f>IFERROR(__xludf.DUMMYFUNCTION("""COMPUTED_VALUE"""),"NE Regional 33")</f>
        <v>NE Regional 33</v>
      </c>
      <c r="I129" s="10">
        <f>IFERROR(__xludf.DUMMYFUNCTION("""COMPUTED_VALUE"""),43252.0)</f>
        <v>43252</v>
      </c>
      <c r="J129" s="10">
        <f>IFERROR(__xludf.DUMMYFUNCTION("""COMPUTED_VALUE"""),44348.0)</f>
        <v>44348</v>
      </c>
      <c r="K129" s="11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9" t="str">
        <f>IFERROR(__xludf.DUMMYFUNCTION("""COMPUTED_VALUE"""),"Campos")</f>
        <v>Campos</v>
      </c>
      <c r="B130" s="8" t="str">
        <f>IFERROR(__xludf.DUMMYFUNCTION("""COMPUTED_VALUE"""),"Jesse")</f>
        <v>Jesse</v>
      </c>
      <c r="C130" s="8" t="str">
        <f>IFERROR(__xludf.DUMMYFUNCTION("""COMPUTED_VALUE"""),"Rockford")</f>
        <v>Rockford</v>
      </c>
      <c r="D130" s="8" t="str">
        <f>IFERROR(__xludf.DUMMYFUNCTION("""COMPUTED_VALUE"""),"IL")</f>
        <v>IL</v>
      </c>
      <c r="E130" s="8" t="str">
        <f>IFERROR(__xludf.DUMMYFUNCTION("""COMPUTED_VALUE"""),"USA")</f>
        <v>USA</v>
      </c>
      <c r="F130" s="8" t="str">
        <f>IFERROR(__xludf.DUMMYFUNCTION("""COMPUTED_VALUE"""),"Known Pro")</f>
        <v>Known Pro</v>
      </c>
      <c r="G130" s="8" t="str">
        <f>IFERROR(__xludf.DUMMYFUNCTION("""COMPUTED_VALUE"""),"")</f>
        <v/>
      </c>
      <c r="H130" s="8" t="str">
        <f>IFERROR(__xludf.DUMMYFUNCTION("""COMPUTED_VALUE"""),"Known Ability")</f>
        <v>Known Ability</v>
      </c>
      <c r="I130" s="10">
        <f>IFERROR(__xludf.DUMMYFUNCTION("""COMPUTED_VALUE"""),36892.0)</f>
        <v>36892</v>
      </c>
      <c r="J130" s="10">
        <f>IFERROR(__xludf.DUMMYFUNCTION("""COMPUTED_VALUE"""),45809.0)</f>
        <v>45809</v>
      </c>
      <c r="K130" s="11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9" t="str">
        <f>IFERROR(__xludf.DUMMYFUNCTION("""COMPUTED_VALUE"""),"Canque")</f>
        <v>Canque</v>
      </c>
      <c r="B131" s="8" t="str">
        <f>IFERROR(__xludf.DUMMYFUNCTION("""COMPUTED_VALUE"""),"Americo")</f>
        <v>Americo</v>
      </c>
      <c r="C131" s="8" t="str">
        <f>IFERROR(__xludf.DUMMYFUNCTION("""COMPUTED_VALUE"""),"Las Vegas")</f>
        <v>Las Vegas</v>
      </c>
      <c r="D131" s="8" t="str">
        <f>IFERROR(__xludf.DUMMYFUNCTION("""COMPUTED_VALUE"""),"NV")</f>
        <v>NV</v>
      </c>
      <c r="E131" s="8" t="str">
        <f>IFERROR(__xludf.DUMMYFUNCTION("""COMPUTED_VALUE"""),"USA")</f>
        <v>USA</v>
      </c>
      <c r="F131" s="8" t="str">
        <f>IFERROR(__xludf.DUMMYFUNCTION("""COMPUTED_VALUE"""),"Pro Doubles")</f>
        <v>Pro Doubles</v>
      </c>
      <c r="G131" s="8" t="str">
        <f>IFERROR(__xludf.DUMMYFUNCTION("""COMPUTED_VALUE"""),"2nd")</f>
        <v>2nd</v>
      </c>
      <c r="H131" s="8" t="str">
        <f>IFERROR(__xludf.DUMMYFUNCTION("""COMPUTED_VALUE"""),"NV Regional 32")</f>
        <v>NV Regional 32</v>
      </c>
      <c r="I131" s="10">
        <f>IFERROR(__xludf.DUMMYFUNCTION("""COMPUTED_VALUE"""),42887.0)</f>
        <v>42887</v>
      </c>
      <c r="J131" s="10">
        <f>IFERROR(__xludf.DUMMYFUNCTION("""COMPUTED_VALUE"""),43983.0)</f>
        <v>43983</v>
      </c>
      <c r="K131" s="11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9" t="str">
        <f>IFERROR(__xludf.DUMMYFUNCTION("""COMPUTED_VALUE"""),"Caris")</f>
        <v>Caris</v>
      </c>
      <c r="B132" s="8" t="str">
        <f>IFERROR(__xludf.DUMMYFUNCTION("""COMPUTED_VALUE"""),"Magnus")</f>
        <v>Magnus</v>
      </c>
      <c r="C132" s="8" t="str">
        <f>IFERROR(__xludf.DUMMYFUNCTION("""COMPUTED_VALUE"""),"Sweden")</f>
        <v>Sweden</v>
      </c>
      <c r="D132" s="8" t="str">
        <f>IFERROR(__xludf.DUMMYFUNCTION("""COMPUTED_VALUE"""),"UNK")</f>
        <v>UNK</v>
      </c>
      <c r="E132" s="8" t="str">
        <f>IFERROR(__xludf.DUMMYFUNCTION("""COMPUTED_VALUE"""),"Sweden")</f>
        <v>Sweden</v>
      </c>
      <c r="F132" s="8" t="str">
        <f>IFERROR(__xludf.DUMMYFUNCTION("""COMPUTED_VALUE"""),"PDC Merit Ranking")</f>
        <v>PDC Merit Ranking</v>
      </c>
      <c r="G132" s="8" t="str">
        <f>IFERROR(__xludf.DUMMYFUNCTION("""COMPUTED_VALUE"""),"91st")</f>
        <v>91st</v>
      </c>
      <c r="H132" s="8" t="str">
        <f>IFERROR(__xludf.DUMMYFUNCTION("""COMPUTED_VALUE"""),"PDC Merit Ranking")</f>
        <v>PDC Merit Ranking</v>
      </c>
      <c r="I132" s="10">
        <f>IFERROR(__xludf.DUMMYFUNCTION("""COMPUTED_VALUE"""),42401.0)</f>
        <v>42401</v>
      </c>
      <c r="J132" s="10">
        <f>IFERROR(__xludf.DUMMYFUNCTION("""COMPUTED_VALUE"""),44713.0)</f>
        <v>44713</v>
      </c>
      <c r="K132" s="11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9" t="str">
        <f>IFERROR(__xludf.DUMMYFUNCTION("""COMPUTED_VALUE"""),"Carpenter")</f>
        <v>Carpenter</v>
      </c>
      <c r="B133" s="8" t="str">
        <f>IFERROR(__xludf.DUMMYFUNCTION("""COMPUTED_VALUE"""),"Cody")</f>
        <v>Cody</v>
      </c>
      <c r="C133" s="8" t="str">
        <f>IFERROR(__xludf.DUMMYFUNCTION("""COMPUTED_VALUE"""),"Bryant")</f>
        <v>Bryant</v>
      </c>
      <c r="D133" s="8" t="str">
        <f>IFERROR(__xludf.DUMMYFUNCTION("""COMPUTED_VALUE"""),"TX")</f>
        <v>TX</v>
      </c>
      <c r="E133" s="8" t="str">
        <f>IFERROR(__xludf.DUMMYFUNCTION("""COMPUTED_VALUE"""),"USA")</f>
        <v>USA</v>
      </c>
      <c r="F133" s="8" t="str">
        <f>IFERROR(__xludf.DUMMYFUNCTION("""COMPUTED_VALUE"""),"Mens Cricket Doubles")</f>
        <v>Mens Cricket Doubles</v>
      </c>
      <c r="G133" s="8" t="str">
        <f>IFERROR(__xludf.DUMMYFUNCTION("""COMPUTED_VALUE"""),"3rd")</f>
        <v>3rd</v>
      </c>
      <c r="H133" s="8" t="str">
        <f>IFERROR(__xludf.DUMMYFUNCTION("""COMPUTED_VALUE"""),"TX Regional 33")</f>
        <v>TX Regional 33</v>
      </c>
      <c r="I133" s="10">
        <f>IFERROR(__xludf.DUMMYFUNCTION("""COMPUTED_VALUE"""),43252.0)</f>
        <v>43252</v>
      </c>
      <c r="J133" s="10">
        <f>IFERROR(__xludf.DUMMYFUNCTION("""COMPUTED_VALUE"""),44348.0)</f>
        <v>44348</v>
      </c>
      <c r="K133" s="11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9" t="str">
        <f>IFERROR(__xludf.DUMMYFUNCTION("""COMPUTED_VALUE"""),"Carpenter")</f>
        <v>Carpenter</v>
      </c>
      <c r="B134" s="8" t="str">
        <f>IFERROR(__xludf.DUMMYFUNCTION("""COMPUTED_VALUE"""),"Jeffery")</f>
        <v>Jeffery</v>
      </c>
      <c r="C134" s="8" t="str">
        <f>IFERROR(__xludf.DUMMYFUNCTION("""COMPUTED_VALUE"""),"Ashland")</f>
        <v>Ashland</v>
      </c>
      <c r="D134" s="8" t="str">
        <f>IFERROR(__xludf.DUMMYFUNCTION("""COMPUTED_VALUE"""),"OH")</f>
        <v>OH</v>
      </c>
      <c r="E134" s="8" t="str">
        <f>IFERROR(__xludf.DUMMYFUNCTION("""COMPUTED_VALUE"""),"USA")</f>
        <v>USA</v>
      </c>
      <c r="F134" s="8" t="str">
        <f>IFERROR(__xludf.DUMMYFUNCTION("""COMPUTED_VALUE"""),"Pro Doubles 501")</f>
        <v>Pro Doubles 501</v>
      </c>
      <c r="G134" s="8" t="str">
        <f>IFERROR(__xludf.DUMMYFUNCTION("""COMPUTED_VALUE"""),"2nd")</f>
        <v>2nd</v>
      </c>
      <c r="H134" s="8" t="str">
        <f>IFERROR(__xludf.DUMMYFUNCTION("""COMPUTED_VALUE"""),"Pennsylvania BS 34")</f>
        <v>Pennsylvania BS 34</v>
      </c>
      <c r="I134" s="10">
        <f>IFERROR(__xludf.DUMMYFUNCTION("""COMPUTED_VALUE"""),43617.0)</f>
        <v>43617</v>
      </c>
      <c r="J134" s="10">
        <f>IFERROR(__xludf.DUMMYFUNCTION("""COMPUTED_VALUE"""),44713.0)</f>
        <v>44713</v>
      </c>
      <c r="K134" s="11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9" t="str">
        <f>IFERROR(__xludf.DUMMYFUNCTION("""COMPUTED_VALUE"""),"Carr")</f>
        <v>Carr</v>
      </c>
      <c r="B135" s="8" t="str">
        <f>IFERROR(__xludf.DUMMYFUNCTION("""COMPUTED_VALUE"""),"Justin")</f>
        <v>Justin</v>
      </c>
      <c r="C135" s="8" t="str">
        <f>IFERROR(__xludf.DUMMYFUNCTION("""COMPUTED_VALUE"""),"Princeton")</f>
        <v>Princeton</v>
      </c>
      <c r="D135" s="8" t="str">
        <f>IFERROR(__xludf.DUMMYFUNCTION("""COMPUTED_VALUE"""),"IN")</f>
        <v>IN</v>
      </c>
      <c r="E135" s="8" t="str">
        <f>IFERROR(__xludf.DUMMYFUNCTION("""COMPUTED_VALUE"""),"USA")</f>
        <v>USA</v>
      </c>
      <c r="F135" s="8" t="str">
        <f>IFERROR(__xludf.DUMMYFUNCTION("""COMPUTED_VALUE"""),"Pro Doubles Cricket")</f>
        <v>Pro Doubles Cricket</v>
      </c>
      <c r="G135" s="8" t="str">
        <f>IFERROR(__xludf.DUMMYFUNCTION("""COMPUTED_VALUE"""),"3rd")</f>
        <v>3rd</v>
      </c>
      <c r="H135" s="8" t="str">
        <f>IFERROR(__xludf.DUMMYFUNCTION("""COMPUTED_VALUE"""),"Off AA List")</f>
        <v>Off AA List</v>
      </c>
      <c r="I135" s="10">
        <f>IFERROR(__xludf.DUMMYFUNCTION("""COMPUTED_VALUE"""),42887.0)</f>
        <v>42887</v>
      </c>
      <c r="J135" s="10">
        <f>IFERROR(__xludf.DUMMYFUNCTION("""COMPUTED_VALUE"""),43983.0)</f>
        <v>43983</v>
      </c>
      <c r="K135" s="11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9" t="str">
        <f>IFERROR(__xludf.DUMMYFUNCTION("""COMPUTED_VALUE"""),"Carter")</f>
        <v>Carter</v>
      </c>
      <c r="B136" s="8" t="str">
        <f>IFERROR(__xludf.DUMMYFUNCTION("""COMPUTED_VALUE"""),"Michael")</f>
        <v>Michael</v>
      </c>
      <c r="C136" s="8" t="str">
        <f>IFERROR(__xludf.DUMMYFUNCTION("""COMPUTED_VALUE"""),"Tolleson")</f>
        <v>Tolleson</v>
      </c>
      <c r="D136" s="8" t="str">
        <f>IFERROR(__xludf.DUMMYFUNCTION("""COMPUTED_VALUE"""),"AZ")</f>
        <v>AZ</v>
      </c>
      <c r="E136" s="8" t="str">
        <f>IFERROR(__xludf.DUMMYFUNCTION("""COMPUTED_VALUE"""),"USA")</f>
        <v>USA</v>
      </c>
      <c r="F136" s="8" t="str">
        <f>IFERROR(__xludf.DUMMYFUNCTION("""COMPUTED_VALUE"""),"TopGun Non Pro Triples")</f>
        <v>TopGun Non Pro Triples</v>
      </c>
      <c r="G136" s="8" t="str">
        <f>IFERROR(__xludf.DUMMYFUNCTION("""COMPUTED_VALUE"""),"2nd")</f>
        <v>2nd</v>
      </c>
      <c r="H136" s="8" t="str">
        <f>IFERROR(__xludf.DUMMYFUNCTION("""COMPUTED_VALUE"""),"BullShooter 34 Finals")</f>
        <v>BullShooter 34 Finals</v>
      </c>
      <c r="I136" s="10">
        <f>IFERROR(__xludf.DUMMYFUNCTION("""COMPUTED_VALUE"""),43617.0)</f>
        <v>43617</v>
      </c>
      <c r="J136" s="10">
        <f>IFERROR(__xludf.DUMMYFUNCTION("""COMPUTED_VALUE"""),44713.0)</f>
        <v>44713</v>
      </c>
      <c r="K136" s="11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9" t="str">
        <f>IFERROR(__xludf.DUMMYFUNCTION("""COMPUTED_VALUE"""),"Carter")</f>
        <v>Carter</v>
      </c>
      <c r="B137" s="8" t="str">
        <f>IFERROR(__xludf.DUMMYFUNCTION("""COMPUTED_VALUE"""),"Roger")</f>
        <v>Roger</v>
      </c>
      <c r="C137" s="8" t="str">
        <f>IFERROR(__xludf.DUMMYFUNCTION("""COMPUTED_VALUE"""),"Auburn")</f>
        <v>Auburn</v>
      </c>
      <c r="D137" s="8" t="str">
        <f>IFERROR(__xludf.DUMMYFUNCTION("""COMPUTED_VALUE"""),"AL")</f>
        <v>AL</v>
      </c>
      <c r="E137" s="8" t="str">
        <f>IFERROR(__xludf.DUMMYFUNCTION("""COMPUTED_VALUE"""),"USA")</f>
        <v>USA</v>
      </c>
      <c r="F137" s="8" t="str">
        <f>IFERROR(__xludf.DUMMYFUNCTION("""COMPUTED_VALUE"""),"ADO 2014")</f>
        <v>ADO 2014</v>
      </c>
      <c r="G137" s="8" t="str">
        <f>IFERROR(__xludf.DUMMYFUNCTION("""COMPUTED_VALUE"""),"49th")</f>
        <v>49th</v>
      </c>
      <c r="H137" s="8" t="str">
        <f>IFERROR(__xludf.DUMMYFUNCTION("""COMPUTED_VALUE"""),"Known Ability")</f>
        <v>Known Ability</v>
      </c>
      <c r="I137" s="10">
        <f>IFERROR(__xludf.DUMMYFUNCTION("""COMPUTED_VALUE"""),41695.0)</f>
        <v>41695</v>
      </c>
      <c r="J137" s="10">
        <f>IFERROR(__xludf.DUMMYFUNCTION("""COMPUTED_VALUE"""),45809.0)</f>
        <v>45809</v>
      </c>
      <c r="K137" s="11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9" t="str">
        <f>IFERROR(__xludf.DUMMYFUNCTION("""COMPUTED_VALUE"""),"Carver")</f>
        <v>Carver</v>
      </c>
      <c r="B138" s="8" t="str">
        <f>IFERROR(__xludf.DUMMYFUNCTION("""COMPUTED_VALUE"""),"Ray")</f>
        <v>Ray</v>
      </c>
      <c r="C138" s="8" t="str">
        <f>IFERROR(__xludf.DUMMYFUNCTION("""COMPUTED_VALUE"""),"North Aurora")</f>
        <v>North Aurora</v>
      </c>
      <c r="D138" s="8" t="str">
        <f>IFERROR(__xludf.DUMMYFUNCTION("""COMPUTED_VALUE"""),"IL")</f>
        <v>IL</v>
      </c>
      <c r="E138" s="8" t="str">
        <f>IFERROR(__xludf.DUMMYFUNCTION("""COMPUTED_VALUE"""),"USA")</f>
        <v>USA</v>
      </c>
      <c r="F138" s="8" t="str">
        <f>IFERROR(__xludf.DUMMYFUNCTION("""COMPUTED_VALUE"""),"Pro Doubles 501")</f>
        <v>Pro Doubles 501</v>
      </c>
      <c r="G138" s="8" t="str">
        <f>IFERROR(__xludf.DUMMYFUNCTION("""COMPUTED_VALUE"""),"3rd")</f>
        <v>3rd</v>
      </c>
      <c r="H138" s="8" t="str">
        <f>IFERROR(__xludf.DUMMYFUNCTION("""COMPUTED_VALUE"""),"Wisconsin BS 34")</f>
        <v>Wisconsin BS 34</v>
      </c>
      <c r="I138" s="10">
        <f>IFERROR(__xludf.DUMMYFUNCTION("""COMPUTED_VALUE"""),43617.0)</f>
        <v>43617</v>
      </c>
      <c r="J138" s="10">
        <f>IFERROR(__xludf.DUMMYFUNCTION("""COMPUTED_VALUE"""),44713.0)</f>
        <v>44713</v>
      </c>
      <c r="K138" s="11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9" t="str">
        <f>IFERROR(__xludf.DUMMYFUNCTION("""COMPUTED_VALUE"""),"Case")</f>
        <v>Case</v>
      </c>
      <c r="B139" s="8" t="str">
        <f>IFERROR(__xludf.DUMMYFUNCTION("""COMPUTED_VALUE"""),"Jason")</f>
        <v>Jason</v>
      </c>
      <c r="C139" s="8" t="str">
        <f>IFERROR(__xludf.DUMMYFUNCTION("""COMPUTED_VALUE"""),"Porter")</f>
        <v>Porter</v>
      </c>
      <c r="D139" s="8" t="str">
        <f>IFERROR(__xludf.DUMMYFUNCTION("""COMPUTED_VALUE"""),"TX")</f>
        <v>TX</v>
      </c>
      <c r="E139" s="8" t="str">
        <f>IFERROR(__xludf.DUMMYFUNCTION("""COMPUTED_VALUE"""),"USA")</f>
        <v>USA</v>
      </c>
      <c r="F139" s="8" t="str">
        <f>IFERROR(__xludf.DUMMYFUNCTION("""COMPUTED_VALUE"""),"Men Doubles 501")</f>
        <v>Men Doubles 501</v>
      </c>
      <c r="G139" s="8" t="str">
        <f>IFERROR(__xludf.DUMMYFUNCTION("""COMPUTED_VALUE"""),"3rd")</f>
        <v>3rd</v>
      </c>
      <c r="H139" s="8" t="str">
        <f>IFERROR(__xludf.DUMMYFUNCTION("""COMPUTED_VALUE"""),"Texas BS 34")</f>
        <v>Texas BS 34</v>
      </c>
      <c r="I139" s="10">
        <f>IFERROR(__xludf.DUMMYFUNCTION("""COMPUTED_VALUE"""),43617.0)</f>
        <v>43617</v>
      </c>
      <c r="J139" s="10">
        <f>IFERROR(__xludf.DUMMYFUNCTION("""COMPUTED_VALUE"""),44713.0)</f>
        <v>44713</v>
      </c>
      <c r="K139" s="11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9" t="str">
        <f>IFERROR(__xludf.DUMMYFUNCTION("""COMPUTED_VALUE"""),"Castillo")</f>
        <v>Castillo</v>
      </c>
      <c r="B140" s="8" t="str">
        <f>IFERROR(__xludf.DUMMYFUNCTION("""COMPUTED_VALUE"""),"Alberto")</f>
        <v>Alberto</v>
      </c>
      <c r="C140" s="8" t="str">
        <f>IFERROR(__xludf.DUMMYFUNCTION("""COMPUTED_VALUE"""),"Pasadena")</f>
        <v>Pasadena</v>
      </c>
      <c r="D140" s="8" t="str">
        <f>IFERROR(__xludf.DUMMYFUNCTION("""COMPUTED_VALUE"""),"TX")</f>
        <v>TX</v>
      </c>
      <c r="E140" s="8" t="str">
        <f>IFERROR(__xludf.DUMMYFUNCTION("""COMPUTED_VALUE"""),"USA")</f>
        <v>USA</v>
      </c>
      <c r="F140" s="8" t="str">
        <f>IFERROR(__xludf.DUMMYFUNCTION("""COMPUTED_VALUE"""),"Pro Singles Cricket")</f>
        <v>Pro Singles Cricket</v>
      </c>
      <c r="G140" s="8" t="str">
        <f>IFERROR(__xludf.DUMMYFUNCTION("""COMPUTED_VALUE"""),"3rd")</f>
        <v>3rd</v>
      </c>
      <c r="H140" s="8" t="str">
        <f>IFERROR(__xludf.DUMMYFUNCTION("""COMPUTED_VALUE"""),"Texas BS 34")</f>
        <v>Texas BS 34</v>
      </c>
      <c r="I140" s="10">
        <f>IFERROR(__xludf.DUMMYFUNCTION("""COMPUTED_VALUE"""),43617.0)</f>
        <v>43617</v>
      </c>
      <c r="J140" s="10">
        <f>IFERROR(__xludf.DUMMYFUNCTION("""COMPUTED_VALUE"""),44713.0)</f>
        <v>44713</v>
      </c>
      <c r="K140" s="11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9" t="str">
        <f>IFERROR(__xludf.DUMMYFUNCTION("""COMPUTED_VALUE"""),"Chavez")</f>
        <v>Chavez</v>
      </c>
      <c r="B141" s="8" t="str">
        <f>IFERROR(__xludf.DUMMYFUNCTION("""COMPUTED_VALUE"""),"Ralph")</f>
        <v>Ralph</v>
      </c>
      <c r="C141" s="8" t="str">
        <f>IFERROR(__xludf.DUMMYFUNCTION("""COMPUTED_VALUE"""),"Corona")</f>
        <v>Corona</v>
      </c>
      <c r="D141" s="8" t="str">
        <f>IFERROR(__xludf.DUMMYFUNCTION("""COMPUTED_VALUE"""),"CA")</f>
        <v>CA</v>
      </c>
      <c r="E141" s="8" t="str">
        <f>IFERROR(__xludf.DUMMYFUNCTION("""COMPUTED_VALUE"""),"USA")</f>
        <v>USA</v>
      </c>
      <c r="F141" s="8" t="str">
        <f>IFERROR(__xludf.DUMMYFUNCTION("""COMPUTED_VALUE"""),"Known Pro")</f>
        <v>Known Pro</v>
      </c>
      <c r="G141" s="8" t="str">
        <f>IFERROR(__xludf.DUMMYFUNCTION("""COMPUTED_VALUE"""),"")</f>
        <v/>
      </c>
      <c r="H141" s="8" t="str">
        <f>IFERROR(__xludf.DUMMYFUNCTION("""COMPUTED_VALUE"""),"Known Ability")</f>
        <v>Known Ability</v>
      </c>
      <c r="I141" s="10">
        <f>IFERROR(__xludf.DUMMYFUNCTION("""COMPUTED_VALUE"""),36892.0)</f>
        <v>36892</v>
      </c>
      <c r="J141" s="10">
        <f>IFERROR(__xludf.DUMMYFUNCTION("""COMPUTED_VALUE"""),45809.0)</f>
        <v>45809</v>
      </c>
      <c r="K141" s="11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9" t="str">
        <f>IFERROR(__xludf.DUMMYFUNCTION("""COMPUTED_VALUE"""),"Chichester")</f>
        <v>Chichester</v>
      </c>
      <c r="B142" s="8" t="str">
        <f>IFERROR(__xludf.DUMMYFUNCTION("""COMPUTED_VALUE"""),"Justin")</f>
        <v>Justin</v>
      </c>
      <c r="C142" s="8" t="str">
        <f>IFERROR(__xludf.DUMMYFUNCTION("""COMPUTED_VALUE"""),"New Port Richey")</f>
        <v>New Port Richey</v>
      </c>
      <c r="D142" s="8" t="str">
        <f>IFERROR(__xludf.DUMMYFUNCTION("""COMPUTED_VALUE"""),"FL")</f>
        <v>FL</v>
      </c>
      <c r="E142" s="8" t="str">
        <f>IFERROR(__xludf.DUMMYFUNCTION("""COMPUTED_VALUE"""),"USA")</f>
        <v>USA</v>
      </c>
      <c r="F142" s="8" t="str">
        <f>IFERROR(__xludf.DUMMYFUNCTION("""COMPUTED_VALUE"""),"Mens Doubles")</f>
        <v>Mens Doubles</v>
      </c>
      <c r="G142" s="8" t="str">
        <f>IFERROR(__xludf.DUMMYFUNCTION("""COMPUTED_VALUE"""),"3rd")</f>
        <v>3rd</v>
      </c>
      <c r="H142" s="8" t="str">
        <f>IFERROR(__xludf.DUMMYFUNCTION("""COMPUTED_VALUE"""),"TN Regional 32")</f>
        <v>TN Regional 32</v>
      </c>
      <c r="I142" s="10">
        <f>IFERROR(__xludf.DUMMYFUNCTION("""COMPUTED_VALUE"""),42887.0)</f>
        <v>42887</v>
      </c>
      <c r="J142" s="10">
        <f>IFERROR(__xludf.DUMMYFUNCTION("""COMPUTED_VALUE"""),43983.0)</f>
        <v>43983</v>
      </c>
      <c r="K142" s="11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9" t="str">
        <f>IFERROR(__xludf.DUMMYFUNCTION("""COMPUTED_VALUE"""),"Chin")</f>
        <v>Chin</v>
      </c>
      <c r="B143" s="8" t="str">
        <f>IFERROR(__xludf.DUMMYFUNCTION("""COMPUTED_VALUE"""),"Desmond")</f>
        <v>Desmond</v>
      </c>
      <c r="C143" s="8" t="str">
        <f>IFERROR(__xludf.DUMMYFUNCTION("""COMPUTED_VALUE"""),"")</f>
        <v/>
      </c>
      <c r="D143" s="8" t="str">
        <f>IFERROR(__xludf.DUMMYFUNCTION("""COMPUTED_VALUE"""),"UNK")</f>
        <v>UNK</v>
      </c>
      <c r="E143" s="8" t="str">
        <f>IFERROR(__xludf.DUMMYFUNCTION("""COMPUTED_VALUE"""),"Canada")</f>
        <v>Canada</v>
      </c>
      <c r="F143" s="8" t="str">
        <f>IFERROR(__xludf.DUMMYFUNCTION("""COMPUTED_VALUE"""),"DL")</f>
        <v>DL</v>
      </c>
      <c r="G143" s="8" t="str">
        <f>IFERROR(__xludf.DUMMYFUNCTION("""COMPUTED_VALUE"""),"94th")</f>
        <v>94th</v>
      </c>
      <c r="H143" s="8" t="str">
        <f>IFERROR(__xludf.DUMMYFUNCTION("""COMPUTED_VALUE"""),"DL")</f>
        <v>DL</v>
      </c>
      <c r="I143" s="10">
        <f>IFERROR(__xludf.DUMMYFUNCTION("""COMPUTED_VALUE"""),42401.0)</f>
        <v>42401</v>
      </c>
      <c r="J143" s="10">
        <f>IFERROR(__xludf.DUMMYFUNCTION("""COMPUTED_VALUE"""),44713.0)</f>
        <v>44713</v>
      </c>
      <c r="K143" s="11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9" t="str">
        <f>IFERROR(__xludf.DUMMYFUNCTION("""COMPUTED_VALUE"""),"Chinn")</f>
        <v>Chinn</v>
      </c>
      <c r="B144" s="8" t="str">
        <f>IFERROR(__xludf.DUMMYFUNCTION("""COMPUTED_VALUE"""),"Jonah")</f>
        <v>Jonah</v>
      </c>
      <c r="C144" s="8" t="str">
        <f>IFERROR(__xludf.DUMMYFUNCTION("""COMPUTED_VALUE"""),"Sioux City")</f>
        <v>Sioux City</v>
      </c>
      <c r="D144" s="8" t="str">
        <f>IFERROR(__xludf.DUMMYFUNCTION("""COMPUTED_VALUE"""),"IA")</f>
        <v>IA</v>
      </c>
      <c r="E144" s="8" t="str">
        <f>IFERROR(__xludf.DUMMYFUNCTION("""COMPUTED_VALUE"""),"USA")</f>
        <v>USA</v>
      </c>
      <c r="F144" s="8" t="str">
        <f>IFERROR(__xludf.DUMMYFUNCTION("""COMPUTED_VALUE"""),"Mens Cricket Doubles")</f>
        <v>Mens Cricket Doubles</v>
      </c>
      <c r="G144" s="8" t="str">
        <f>IFERROR(__xludf.DUMMYFUNCTION("""COMPUTED_VALUE"""),"1st")</f>
        <v>1st</v>
      </c>
      <c r="H144" s="8" t="str">
        <f>IFERROR(__xludf.DUMMYFUNCTION("""COMPUTED_VALUE"""),"NE Regional 33")</f>
        <v>NE Regional 33</v>
      </c>
      <c r="I144" s="10">
        <f>IFERROR(__xludf.DUMMYFUNCTION("""COMPUTED_VALUE"""),41791.0)</f>
        <v>41791</v>
      </c>
      <c r="J144" s="10">
        <f>IFERROR(__xludf.DUMMYFUNCTION("""COMPUTED_VALUE"""),44348.0)</f>
        <v>44348</v>
      </c>
      <c r="K144" s="11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9" t="str">
        <f>IFERROR(__xludf.DUMMYFUNCTION("""COMPUTED_VALUE"""),"Choong")</f>
        <v>Choong</v>
      </c>
      <c r="B145" s="8" t="str">
        <f>IFERROR(__xludf.DUMMYFUNCTION("""COMPUTED_VALUE"""),"Bernard")</f>
        <v>Bernard</v>
      </c>
      <c r="C145" s="8" t="str">
        <f>IFERROR(__xludf.DUMMYFUNCTION("""COMPUTED_VALUE"""),"")</f>
        <v/>
      </c>
      <c r="D145" s="8" t="str">
        <f>IFERROR(__xludf.DUMMYFUNCTION("""COMPUTED_VALUE"""),"UNK")</f>
        <v>UNK</v>
      </c>
      <c r="E145" s="8" t="str">
        <f>IFERROR(__xludf.DUMMYFUNCTION("""COMPUTED_VALUE"""),"Singapore")</f>
        <v>Singapore</v>
      </c>
      <c r="F145" s="8" t="str">
        <f>IFERROR(__xludf.DUMMYFUNCTION("""COMPUTED_VALUE"""),"DL")</f>
        <v>DL</v>
      </c>
      <c r="G145" s="8" t="str">
        <f>IFERROR(__xludf.DUMMYFUNCTION("""COMPUTED_VALUE"""),"58th")</f>
        <v>58th</v>
      </c>
      <c r="H145" s="8" t="str">
        <f>IFERROR(__xludf.DUMMYFUNCTION("""COMPUTED_VALUE"""),"DL")</f>
        <v>DL</v>
      </c>
      <c r="I145" s="10">
        <f>IFERROR(__xludf.DUMMYFUNCTION("""COMPUTED_VALUE"""),42401.0)</f>
        <v>42401</v>
      </c>
      <c r="J145" s="10">
        <f>IFERROR(__xludf.DUMMYFUNCTION("""COMPUTED_VALUE"""),44713.0)</f>
        <v>44713</v>
      </c>
      <c r="K145" s="11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9" t="str">
        <f>IFERROR(__xludf.DUMMYFUNCTION("""COMPUTED_VALUE"""),"Chornyak")</f>
        <v>Chornyak</v>
      </c>
      <c r="B146" s="8" t="str">
        <f>IFERROR(__xludf.DUMMYFUNCTION("""COMPUTED_VALUE"""),"Matthew")</f>
        <v>Matthew</v>
      </c>
      <c r="C146" s="8" t="str">
        <f>IFERROR(__xludf.DUMMYFUNCTION("""COMPUTED_VALUE"""),"Overland Park")</f>
        <v>Overland Park</v>
      </c>
      <c r="D146" s="8" t="str">
        <f>IFERROR(__xludf.DUMMYFUNCTION("""COMPUTED_VALUE"""),"KS")</f>
        <v>KS</v>
      </c>
      <c r="E146" s="8" t="str">
        <f>IFERROR(__xludf.DUMMYFUNCTION("""COMPUTED_VALUE"""),"USA")</f>
        <v>USA</v>
      </c>
      <c r="F146" s="8" t="str">
        <f>IFERROR(__xludf.DUMMYFUNCTION("""COMPUTED_VALUE"""),"Mens Cricket Doubles")</f>
        <v>Mens Cricket Doubles</v>
      </c>
      <c r="G146" s="8" t="str">
        <f>IFERROR(__xludf.DUMMYFUNCTION("""COMPUTED_VALUE"""),"3rd")</f>
        <v>3rd</v>
      </c>
      <c r="H146" s="8" t="str">
        <f>IFERROR(__xludf.DUMMYFUNCTION("""COMPUTED_VALUE"""),"NE Regional 32")</f>
        <v>NE Regional 32</v>
      </c>
      <c r="I146" s="10">
        <f>IFERROR(__xludf.DUMMYFUNCTION("""COMPUTED_VALUE"""),42887.0)</f>
        <v>42887</v>
      </c>
      <c r="J146" s="10">
        <f>IFERROR(__xludf.DUMMYFUNCTION("""COMPUTED_VALUE"""),43983.0)</f>
        <v>43983</v>
      </c>
      <c r="K146" s="11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9" t="str">
        <f>IFERROR(__xludf.DUMMYFUNCTION("""COMPUTED_VALUE"""),"Chou")</f>
        <v>Chou</v>
      </c>
      <c r="B147" s="8" t="str">
        <f>IFERROR(__xludf.DUMMYFUNCTION("""COMPUTED_VALUE"""),"Momo")</f>
        <v>Momo</v>
      </c>
      <c r="C147" s="8" t="str">
        <f>IFERROR(__xludf.DUMMYFUNCTION("""COMPUTED_VALUE"""),"")</f>
        <v/>
      </c>
      <c r="D147" s="8" t="str">
        <f>IFERROR(__xludf.DUMMYFUNCTION("""COMPUTED_VALUE"""),"UNK")</f>
        <v>UNK</v>
      </c>
      <c r="E147" s="8" t="str">
        <f>IFERROR(__xludf.DUMMYFUNCTION("""COMPUTED_VALUE"""),"Taiwan")</f>
        <v>Taiwan</v>
      </c>
      <c r="F147" s="8" t="str">
        <f>IFERROR(__xludf.DUMMYFUNCTION("""COMPUTED_VALUE"""),"DL")</f>
        <v>DL</v>
      </c>
      <c r="G147" s="8" t="str">
        <f>IFERROR(__xludf.DUMMYFUNCTION("""COMPUTED_VALUE"""),"68th")</f>
        <v>68th</v>
      </c>
      <c r="H147" s="8" t="str">
        <f>IFERROR(__xludf.DUMMYFUNCTION("""COMPUTED_VALUE"""),"DL")</f>
        <v>DL</v>
      </c>
      <c r="I147" s="10">
        <f>IFERROR(__xludf.DUMMYFUNCTION("""COMPUTED_VALUE"""),42401.0)</f>
        <v>42401</v>
      </c>
      <c r="J147" s="10">
        <f>IFERROR(__xludf.DUMMYFUNCTION("""COMPUTED_VALUE"""),44713.0)</f>
        <v>44713</v>
      </c>
      <c r="K147" s="11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9" t="str">
        <f>IFERROR(__xludf.DUMMYFUNCTION("""COMPUTED_VALUE"""),"Chua")</f>
        <v>Chua</v>
      </c>
      <c r="B148" s="8" t="str">
        <f>IFERROR(__xludf.DUMMYFUNCTION("""COMPUTED_VALUE"""),"Wilfred")</f>
        <v>Wilfred</v>
      </c>
      <c r="C148" s="8" t="str">
        <f>IFERROR(__xludf.DUMMYFUNCTION("""COMPUTED_VALUE"""),"")</f>
        <v/>
      </c>
      <c r="D148" s="8" t="str">
        <f>IFERROR(__xludf.DUMMYFUNCTION("""COMPUTED_VALUE"""),"UNK")</f>
        <v>UNK</v>
      </c>
      <c r="E148" s="8" t="str">
        <f>IFERROR(__xludf.DUMMYFUNCTION("""COMPUTED_VALUE"""),"Singapore")</f>
        <v>Singapore</v>
      </c>
      <c r="F148" s="8" t="str">
        <f>IFERROR(__xludf.DUMMYFUNCTION("""COMPUTED_VALUE"""),"DL")</f>
        <v>DL</v>
      </c>
      <c r="G148" s="8" t="str">
        <f>IFERROR(__xludf.DUMMYFUNCTION("""COMPUTED_VALUE"""),"94th")</f>
        <v>94th</v>
      </c>
      <c r="H148" s="8" t="str">
        <f>IFERROR(__xludf.DUMMYFUNCTION("""COMPUTED_VALUE"""),"DL")</f>
        <v>DL</v>
      </c>
      <c r="I148" s="10">
        <f>IFERROR(__xludf.DUMMYFUNCTION("""COMPUTED_VALUE"""),42401.0)</f>
        <v>42401</v>
      </c>
      <c r="J148" s="10">
        <f>IFERROR(__xludf.DUMMYFUNCTION("""COMPUTED_VALUE"""),44713.0)</f>
        <v>44713</v>
      </c>
      <c r="K148" s="11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9" t="str">
        <f>IFERROR(__xludf.DUMMYFUNCTION("""COMPUTED_VALUE"""),"Clack")</f>
        <v>Clack</v>
      </c>
      <c r="B149" s="8" t="str">
        <f>IFERROR(__xludf.DUMMYFUNCTION("""COMPUTED_VALUE"""),"Dan")</f>
        <v>Dan</v>
      </c>
      <c r="C149" s="8" t="str">
        <f>IFERROR(__xludf.DUMMYFUNCTION("""COMPUTED_VALUE"""),"Cygnet")</f>
        <v>Cygnet</v>
      </c>
      <c r="D149" s="8" t="str">
        <f>IFERROR(__xludf.DUMMYFUNCTION("""COMPUTED_VALUE"""),"OH")</f>
        <v>OH</v>
      </c>
      <c r="E149" s="8" t="str">
        <f>IFERROR(__xludf.DUMMYFUNCTION("""COMPUTED_VALUE"""),"USA")</f>
        <v>USA</v>
      </c>
      <c r="F149" s="8" t="str">
        <f>IFERROR(__xludf.DUMMYFUNCTION("""COMPUTED_VALUE"""),"Mens Doubles")</f>
        <v>Mens Doubles</v>
      </c>
      <c r="G149" s="8" t="str">
        <f>IFERROR(__xludf.DUMMYFUNCTION("""COMPUTED_VALUE"""),"3rd")</f>
        <v>3rd</v>
      </c>
      <c r="H149" s="8" t="str">
        <f>IFERROR(__xludf.DUMMYFUNCTION("""COMPUTED_VALUE"""),"OH Regional 33")</f>
        <v>OH Regional 33</v>
      </c>
      <c r="I149" s="10">
        <f>IFERROR(__xludf.DUMMYFUNCTION("""COMPUTED_VALUE"""),42887.0)</f>
        <v>42887</v>
      </c>
      <c r="J149" s="10">
        <f>IFERROR(__xludf.DUMMYFUNCTION("""COMPUTED_VALUE"""),44348.0)</f>
        <v>44348</v>
      </c>
      <c r="K149" s="11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9" t="str">
        <f>IFERROR(__xludf.DUMMYFUNCTION("""COMPUTED_VALUE"""),"Clark")</f>
        <v>Clark</v>
      </c>
      <c r="B150" s="8" t="str">
        <f>IFERROR(__xludf.DUMMYFUNCTION("""COMPUTED_VALUE"""),"Gary")</f>
        <v>Gary</v>
      </c>
      <c r="C150" s="8" t="str">
        <f>IFERROR(__xludf.DUMMYFUNCTION("""COMPUTED_VALUE"""),"Dearborn Hts")</f>
        <v>Dearborn Hts</v>
      </c>
      <c r="D150" s="8" t="str">
        <f>IFERROR(__xludf.DUMMYFUNCTION("""COMPUTED_VALUE"""),"MI")</f>
        <v>MI</v>
      </c>
      <c r="E150" s="8" t="str">
        <f>IFERROR(__xludf.DUMMYFUNCTION("""COMPUTED_VALUE"""),"USA")</f>
        <v>USA</v>
      </c>
      <c r="F150" s="8" t="str">
        <f>IFERROR(__xludf.DUMMYFUNCTION("""COMPUTED_VALUE"""),"Mens Singles Cricket")</f>
        <v>Mens Singles Cricket</v>
      </c>
      <c r="G150" s="8" t="str">
        <f>IFERROR(__xludf.DUMMYFUNCTION("""COMPUTED_VALUE"""),"1st")</f>
        <v>1st</v>
      </c>
      <c r="H150" s="8" t="str">
        <f>IFERROR(__xludf.DUMMYFUNCTION("""COMPUTED_VALUE"""),"OH Regional 32")</f>
        <v>OH Regional 32</v>
      </c>
      <c r="I150" s="10">
        <f>IFERROR(__xludf.DUMMYFUNCTION("""COMPUTED_VALUE"""),42887.0)</f>
        <v>42887</v>
      </c>
      <c r="J150" s="10">
        <f>IFERROR(__xludf.DUMMYFUNCTION("""COMPUTED_VALUE"""),43983.0)</f>
        <v>43983</v>
      </c>
      <c r="K150" s="11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9" t="str">
        <f>IFERROR(__xludf.DUMMYFUNCTION("""COMPUTED_VALUE"""),"Clark")</f>
        <v>Clark</v>
      </c>
      <c r="B151" s="8" t="str">
        <f>IFERROR(__xludf.DUMMYFUNCTION("""COMPUTED_VALUE"""),"Matt")</f>
        <v>Matt</v>
      </c>
      <c r="C151" s="8" t="str">
        <f>IFERROR(__xludf.DUMMYFUNCTION("""COMPUTED_VALUE"""),"")</f>
        <v/>
      </c>
      <c r="D151" s="8" t="str">
        <f>IFERROR(__xludf.DUMMYFUNCTION("""COMPUTED_VALUE"""),"UNK")</f>
        <v>UNK</v>
      </c>
      <c r="E151" s="8" t="str">
        <f>IFERROR(__xludf.DUMMYFUNCTION("""COMPUTED_VALUE"""),"England")</f>
        <v>England</v>
      </c>
      <c r="F151" s="8" t="str">
        <f>IFERROR(__xludf.DUMMYFUNCTION("""COMPUTED_VALUE"""),"PDC Merit Ranking")</f>
        <v>PDC Merit Ranking</v>
      </c>
      <c r="G151" s="8" t="str">
        <f>IFERROR(__xludf.DUMMYFUNCTION("""COMPUTED_VALUE"""),"99th")</f>
        <v>99th</v>
      </c>
      <c r="H151" s="8" t="str">
        <f>IFERROR(__xludf.DUMMYFUNCTION("""COMPUTED_VALUE"""),"PDC Merit Ranking")</f>
        <v>PDC Merit Ranking</v>
      </c>
      <c r="I151" s="10">
        <f>IFERROR(__xludf.DUMMYFUNCTION("""COMPUTED_VALUE"""),42401.0)</f>
        <v>42401</v>
      </c>
      <c r="J151" s="10">
        <f>IFERROR(__xludf.DUMMYFUNCTION("""COMPUTED_VALUE"""),44713.0)</f>
        <v>44713</v>
      </c>
      <c r="K151" s="11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9" t="str">
        <f>IFERROR(__xludf.DUMMYFUNCTION("""COMPUTED_VALUE"""),"Claude")</f>
        <v>Claude</v>
      </c>
      <c r="B152" s="8" t="str">
        <f>IFERROR(__xludf.DUMMYFUNCTION("""COMPUTED_VALUE"""),"Judlin")</f>
        <v>Judlin</v>
      </c>
      <c r="C152" s="8" t="str">
        <f>IFERROR(__xludf.DUMMYFUNCTION("""COMPUTED_VALUE"""),"")</f>
        <v/>
      </c>
      <c r="D152" s="8" t="str">
        <f>IFERROR(__xludf.DUMMYFUNCTION("""COMPUTED_VALUE"""),"UNK")</f>
        <v>UNK</v>
      </c>
      <c r="E152" s="8" t="str">
        <f>IFERROR(__xludf.DUMMYFUNCTION("""COMPUTED_VALUE"""),"France")</f>
        <v>France</v>
      </c>
      <c r="F152" s="8" t="str">
        <f>IFERROR(__xludf.DUMMYFUNCTION("""COMPUTED_VALUE"""),"DL")</f>
        <v>DL</v>
      </c>
      <c r="G152" s="8" t="str">
        <f>IFERROR(__xludf.DUMMYFUNCTION("""COMPUTED_VALUE"""),"49th")</f>
        <v>49th</v>
      </c>
      <c r="H152" s="8" t="str">
        <f>IFERROR(__xludf.DUMMYFUNCTION("""COMPUTED_VALUE"""),"DL")</f>
        <v>DL</v>
      </c>
      <c r="I152" s="10">
        <f>IFERROR(__xludf.DUMMYFUNCTION("""COMPUTED_VALUE"""),42401.0)</f>
        <v>42401</v>
      </c>
      <c r="J152" s="10">
        <f>IFERROR(__xludf.DUMMYFUNCTION("""COMPUTED_VALUE"""),44713.0)</f>
        <v>44713</v>
      </c>
      <c r="K152" s="11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9" t="str">
        <f>IFERROR(__xludf.DUMMYFUNCTION("""COMPUTED_VALUE"""),"Clauwers")</f>
        <v>Clauwers</v>
      </c>
      <c r="B153" s="8" t="str">
        <f>IFERROR(__xludf.DUMMYFUNCTION("""COMPUTED_VALUE"""),"Alain")</f>
        <v>Alain</v>
      </c>
      <c r="C153" s="8" t="str">
        <f>IFERROR(__xludf.DUMMYFUNCTION("""COMPUTED_VALUE"""),"")</f>
        <v/>
      </c>
      <c r="D153" s="8" t="str">
        <f>IFERROR(__xludf.DUMMYFUNCTION("""COMPUTED_VALUE"""),"UNK")</f>
        <v>UNK</v>
      </c>
      <c r="E153" s="8" t="str">
        <f>IFERROR(__xludf.DUMMYFUNCTION("""COMPUTED_VALUE"""),"USA")</f>
        <v>USA</v>
      </c>
      <c r="F153" s="8" t="str">
        <f>IFERROR(__xludf.DUMMYFUNCTION("""COMPUTED_VALUE"""),"Known Pro")</f>
        <v>Known Pro</v>
      </c>
      <c r="G153" s="8" t="str">
        <f>IFERROR(__xludf.DUMMYFUNCTION("""COMPUTED_VALUE"""),"")</f>
        <v/>
      </c>
      <c r="H153" s="8" t="str">
        <f>IFERROR(__xludf.DUMMYFUNCTION("""COMPUTED_VALUE"""),"Known Ability")</f>
        <v>Known Ability</v>
      </c>
      <c r="I153" s="10">
        <f>IFERROR(__xludf.DUMMYFUNCTION("""COMPUTED_VALUE"""),36892.0)</f>
        <v>36892</v>
      </c>
      <c r="J153" s="10">
        <f>IFERROR(__xludf.DUMMYFUNCTION("""COMPUTED_VALUE"""),45809.0)</f>
        <v>45809</v>
      </c>
      <c r="K153" s="11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9" t="str">
        <f>IFERROR(__xludf.DUMMYFUNCTION("""COMPUTED_VALUE"""),"Coffie")</f>
        <v>Coffie</v>
      </c>
      <c r="B154" s="8" t="str">
        <f>IFERROR(__xludf.DUMMYFUNCTION("""COMPUTED_VALUE"""),"Theodore")</f>
        <v>Theodore</v>
      </c>
      <c r="C154" s="8" t="str">
        <f>IFERROR(__xludf.DUMMYFUNCTION("""COMPUTED_VALUE"""),"Watertown")</f>
        <v>Watertown</v>
      </c>
      <c r="D154" s="8" t="str">
        <f>IFERROR(__xludf.DUMMYFUNCTION("""COMPUTED_VALUE"""),"NY")</f>
        <v>NY</v>
      </c>
      <c r="E154" s="8" t="str">
        <f>IFERROR(__xludf.DUMMYFUNCTION("""COMPUTED_VALUE"""),"USA")</f>
        <v>USA</v>
      </c>
      <c r="F154" s="8" t="str">
        <f>IFERROR(__xludf.DUMMYFUNCTION("""COMPUTED_VALUE"""),"Mixed Triples")</f>
        <v>Mixed Triples</v>
      </c>
      <c r="G154" s="8" t="str">
        <f>IFERROR(__xludf.DUMMYFUNCTION("""COMPUTED_VALUE"""),"1st")</f>
        <v>1st</v>
      </c>
      <c r="H154" s="8" t="str">
        <f>IFERROR(__xludf.DUMMYFUNCTION("""COMPUTED_VALUE"""),"NY Regional 32")</f>
        <v>NY Regional 32</v>
      </c>
      <c r="I154" s="10">
        <f>IFERROR(__xludf.DUMMYFUNCTION("""COMPUTED_VALUE"""),42887.0)</f>
        <v>42887</v>
      </c>
      <c r="J154" s="10">
        <f>IFERROR(__xludf.DUMMYFUNCTION("""COMPUTED_VALUE"""),43983.0)</f>
        <v>43983</v>
      </c>
      <c r="K154" s="11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12" t="str">
        <f>IFERROR(__xludf.DUMMYFUNCTION("""COMPUTED_VALUE"""),"Cogar")</f>
        <v>Cogar</v>
      </c>
      <c r="B155" s="13" t="str">
        <f>IFERROR(__xludf.DUMMYFUNCTION("""COMPUTED_VALUE"""),"Dallas")</f>
        <v>Dallas</v>
      </c>
      <c r="C155" s="13" t="str">
        <f>IFERROR(__xludf.DUMMYFUNCTION("""COMPUTED_VALUE"""),"Pittsburgh")</f>
        <v>Pittsburgh</v>
      </c>
      <c r="D155" s="13" t="str">
        <f>IFERROR(__xludf.DUMMYFUNCTION("""COMPUTED_VALUE"""),"PA")</f>
        <v>PA</v>
      </c>
      <c r="E155" s="13" t="str">
        <f>IFERROR(__xludf.DUMMYFUNCTION("""COMPUTED_VALUE"""),"USA")</f>
        <v>USA</v>
      </c>
      <c r="F155" s="13" t="str">
        <f>IFERROR(__xludf.DUMMYFUNCTION("""COMPUTED_VALUE"""),"Mens Cricket Doubles")</f>
        <v>Mens Cricket Doubles</v>
      </c>
      <c r="G155" s="13" t="str">
        <f>IFERROR(__xludf.DUMMYFUNCTION("""COMPUTED_VALUE"""),"3rd")</f>
        <v>3rd</v>
      </c>
      <c r="H155" s="13" t="str">
        <f>IFERROR(__xludf.DUMMYFUNCTION("""COMPUTED_VALUE"""),"PA Regional 32")</f>
        <v>PA Regional 32</v>
      </c>
      <c r="I155" s="14">
        <f>IFERROR(__xludf.DUMMYFUNCTION("""COMPUTED_VALUE"""),42887.0)</f>
        <v>42887</v>
      </c>
      <c r="J155" s="14">
        <f>IFERROR(__xludf.DUMMYFUNCTION("""COMPUTED_VALUE"""),43983.0)</f>
        <v>43983</v>
      </c>
      <c r="K155" s="11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9" t="str">
        <f>IFERROR(__xludf.DUMMYFUNCTION("""COMPUTED_VALUE"""),"Cohee")</f>
        <v>Cohee</v>
      </c>
      <c r="B156" s="8" t="str">
        <f>IFERROR(__xludf.DUMMYFUNCTION("""COMPUTED_VALUE"""),"Jeffery")</f>
        <v>Jeffery</v>
      </c>
      <c r="C156" s="8" t="str">
        <f>IFERROR(__xludf.DUMMYFUNCTION("""COMPUTED_VALUE"""),"Monticello")</f>
        <v>Monticello</v>
      </c>
      <c r="D156" s="8" t="str">
        <f>IFERROR(__xludf.DUMMYFUNCTION("""COMPUTED_VALUE"""),"IN")</f>
        <v>IN</v>
      </c>
      <c r="E156" s="8" t="str">
        <f>IFERROR(__xludf.DUMMYFUNCTION("""COMPUTED_VALUE"""),"USA")</f>
        <v>USA</v>
      </c>
      <c r="F156" s="8" t="str">
        <f>IFERROR(__xludf.DUMMYFUNCTION("""COMPUTED_VALUE"""),"Pro Doubles 501")</f>
        <v>Pro Doubles 501</v>
      </c>
      <c r="G156" s="8" t="str">
        <f>IFERROR(__xludf.DUMMYFUNCTION("""COMPUTED_VALUE"""),"2nd")</f>
        <v>2nd</v>
      </c>
      <c r="H156" s="8" t="str">
        <f>IFERROR(__xludf.DUMMYFUNCTION("""COMPUTED_VALUE"""),"Indiana BS 34")</f>
        <v>Indiana BS 34</v>
      </c>
      <c r="I156" s="10">
        <f>IFERROR(__xludf.DUMMYFUNCTION("""COMPUTED_VALUE"""),43617.0)</f>
        <v>43617</v>
      </c>
      <c r="J156" s="10">
        <f>IFERROR(__xludf.DUMMYFUNCTION("""COMPUTED_VALUE"""),44713.0)</f>
        <v>44713</v>
      </c>
      <c r="K156" s="11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9" t="str">
        <f>IFERROR(__xludf.DUMMYFUNCTION("""COMPUTED_VALUE"""),"Coldiron")</f>
        <v>Coldiron</v>
      </c>
      <c r="B157" s="8" t="str">
        <f>IFERROR(__xludf.DUMMYFUNCTION("""COMPUTED_VALUE"""),"Rob")</f>
        <v>Rob</v>
      </c>
      <c r="C157" s="8" t="str">
        <f>IFERROR(__xludf.DUMMYFUNCTION("""COMPUTED_VALUE"""),"Hilliard")</f>
        <v>Hilliard</v>
      </c>
      <c r="D157" s="8" t="str">
        <f>IFERROR(__xludf.DUMMYFUNCTION("""COMPUTED_VALUE"""),"OH")</f>
        <v>OH</v>
      </c>
      <c r="E157" s="8" t="str">
        <f>IFERROR(__xludf.DUMMYFUNCTION("""COMPUTED_VALUE"""),"USA")</f>
        <v>USA</v>
      </c>
      <c r="F157" s="8" t="str">
        <f>IFERROR(__xludf.DUMMYFUNCTION("""COMPUTED_VALUE"""),"Pro/Am Cricket")</f>
        <v>Pro/Am Cricket</v>
      </c>
      <c r="G157" s="8" t="str">
        <f>IFERROR(__xludf.DUMMYFUNCTION("""COMPUTED_VALUE"""),"3rd")</f>
        <v>3rd</v>
      </c>
      <c r="H157" s="8" t="str">
        <f>IFERROR(__xludf.DUMMYFUNCTION("""COMPUTED_VALUE"""),"Ohio BS 34")</f>
        <v>Ohio BS 34</v>
      </c>
      <c r="I157" s="10">
        <f>IFERROR(__xludf.DUMMYFUNCTION("""COMPUTED_VALUE"""),43617.0)</f>
        <v>43617</v>
      </c>
      <c r="J157" s="10">
        <f>IFERROR(__xludf.DUMMYFUNCTION("""COMPUTED_VALUE"""),44713.0)</f>
        <v>44713</v>
      </c>
      <c r="K157" s="11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9" t="str">
        <f>IFERROR(__xludf.DUMMYFUNCTION("""COMPUTED_VALUE"""),"Cole")</f>
        <v>Cole</v>
      </c>
      <c r="B158" s="8" t="str">
        <f>IFERROR(__xludf.DUMMYFUNCTION("""COMPUTED_VALUE"""),"Garion")</f>
        <v>Garion</v>
      </c>
      <c r="C158" s="8" t="str">
        <f>IFERROR(__xludf.DUMMYFUNCTION("""COMPUTED_VALUE"""),"Chillicothe")</f>
        <v>Chillicothe</v>
      </c>
      <c r="D158" s="8" t="str">
        <f>IFERROR(__xludf.DUMMYFUNCTION("""COMPUTED_VALUE"""),"IL")</f>
        <v>IL</v>
      </c>
      <c r="E158" s="8" t="str">
        <f>IFERROR(__xludf.DUMMYFUNCTION("""COMPUTED_VALUE"""),"USA")</f>
        <v>USA</v>
      </c>
      <c r="F158" s="8" t="str">
        <f>IFERROR(__xludf.DUMMYFUNCTION("""COMPUTED_VALUE"""),"Mens Cricket Doubles")</f>
        <v>Mens Cricket Doubles</v>
      </c>
      <c r="G158" s="8" t="str">
        <f>IFERROR(__xludf.DUMMYFUNCTION("""COMPUTED_VALUE"""),"2nd")</f>
        <v>2nd</v>
      </c>
      <c r="H158" s="8" t="str">
        <f>IFERROR(__xludf.DUMMYFUNCTION("""COMPUTED_VALUE"""),"OH Regional 33")</f>
        <v>OH Regional 33</v>
      </c>
      <c r="I158" s="10">
        <f>IFERROR(__xludf.DUMMYFUNCTION("""COMPUTED_VALUE"""),43252.0)</f>
        <v>43252</v>
      </c>
      <c r="J158" s="10">
        <f>IFERROR(__xludf.DUMMYFUNCTION("""COMPUTED_VALUE"""),44348.0)</f>
        <v>44348</v>
      </c>
      <c r="K158" s="11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9" t="str">
        <f>IFERROR(__xludf.DUMMYFUNCTION("""COMPUTED_VALUE"""),"Colston")</f>
        <v>Colston</v>
      </c>
      <c r="B159" s="8" t="str">
        <f>IFERROR(__xludf.DUMMYFUNCTION("""COMPUTED_VALUE"""),"Barry")</f>
        <v>Barry</v>
      </c>
      <c r="C159" s="8" t="str">
        <f>IFERROR(__xludf.DUMMYFUNCTION("""COMPUTED_VALUE"""),"Cedar Bluff")</f>
        <v>Cedar Bluff</v>
      </c>
      <c r="D159" s="8" t="str">
        <f>IFERROR(__xludf.DUMMYFUNCTION("""COMPUTED_VALUE"""),"AL")</f>
        <v>AL</v>
      </c>
      <c r="E159" s="8" t="str">
        <f>IFERROR(__xludf.DUMMYFUNCTION("""COMPUTED_VALUE"""),"USA")</f>
        <v>USA</v>
      </c>
      <c r="F159" s="8" t="str">
        <f>IFERROR(__xludf.DUMMYFUNCTION("""COMPUTED_VALUE"""),"Pro Cricket Singles")</f>
        <v>Pro Cricket Singles</v>
      </c>
      <c r="G159" s="8" t="str">
        <f>IFERROR(__xludf.DUMMYFUNCTION("""COMPUTED_VALUE"""),"2nd")</f>
        <v>2nd</v>
      </c>
      <c r="H159" s="8" t="str">
        <f>IFERROR(__xludf.DUMMYFUNCTION("""COMPUTED_VALUE"""),"TN Regional 32")</f>
        <v>TN Regional 32</v>
      </c>
      <c r="I159" s="10">
        <f>IFERROR(__xludf.DUMMYFUNCTION("""COMPUTED_VALUE"""),42887.0)</f>
        <v>42887</v>
      </c>
      <c r="J159" s="10">
        <f>IFERROR(__xludf.DUMMYFUNCTION("""COMPUTED_VALUE"""),43983.0)</f>
        <v>43983</v>
      </c>
      <c r="K159" s="11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9" t="str">
        <f>IFERROR(__xludf.DUMMYFUNCTION("""COMPUTED_VALUE"""),"Colston")</f>
        <v>Colston</v>
      </c>
      <c r="B160" s="8" t="str">
        <f>IFERROR(__xludf.DUMMYFUNCTION("""COMPUTED_VALUE"""),"Nathaniel")</f>
        <v>Nathaniel</v>
      </c>
      <c r="C160" s="8" t="str">
        <f>IFERROR(__xludf.DUMMYFUNCTION("""COMPUTED_VALUE"""),"Cedar Bluff")</f>
        <v>Cedar Bluff</v>
      </c>
      <c r="D160" s="8" t="str">
        <f>IFERROR(__xludf.DUMMYFUNCTION("""COMPUTED_VALUE"""),"AL")</f>
        <v>AL</v>
      </c>
      <c r="E160" s="8" t="str">
        <f>IFERROR(__xludf.DUMMYFUNCTION("""COMPUTED_VALUE"""),"USA")</f>
        <v>USA</v>
      </c>
      <c r="F160" s="8" t="str">
        <f>IFERROR(__xludf.DUMMYFUNCTION("""COMPUTED_VALUE"""),"Men Doubles 501")</f>
        <v>Men Doubles 501</v>
      </c>
      <c r="G160" s="8" t="str">
        <f>IFERROR(__xludf.DUMMYFUNCTION("""COMPUTED_VALUE"""),"1st")</f>
        <v>1st</v>
      </c>
      <c r="H160" s="8" t="str">
        <f>IFERROR(__xludf.DUMMYFUNCTION("""COMPUTED_VALUE"""),"Georgia BS 34")</f>
        <v>Georgia BS 34</v>
      </c>
      <c r="I160" s="10">
        <f>IFERROR(__xludf.DUMMYFUNCTION("""COMPUTED_VALUE"""),43617.0)</f>
        <v>43617</v>
      </c>
      <c r="J160" s="10">
        <f>IFERROR(__xludf.DUMMYFUNCTION("""COMPUTED_VALUE"""),44713.0)</f>
        <v>44713</v>
      </c>
      <c r="K160" s="11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9" t="str">
        <f>IFERROR(__xludf.DUMMYFUNCTION("""COMPUTED_VALUE"""),"Comer")</f>
        <v>Comer</v>
      </c>
      <c r="B161" s="8" t="str">
        <f>IFERROR(__xludf.DUMMYFUNCTION("""COMPUTED_VALUE"""),"Clarence")</f>
        <v>Clarence</v>
      </c>
      <c r="C161" s="8" t="str">
        <f>IFERROR(__xludf.DUMMYFUNCTION("""COMPUTED_VALUE"""),"Herrin")</f>
        <v>Herrin</v>
      </c>
      <c r="D161" s="8" t="str">
        <f>IFERROR(__xludf.DUMMYFUNCTION("""COMPUTED_VALUE"""),"IL")</f>
        <v>IL</v>
      </c>
      <c r="E161" s="8" t="str">
        <f>IFERROR(__xludf.DUMMYFUNCTION("""COMPUTED_VALUE"""),"USA")</f>
        <v>USA</v>
      </c>
      <c r="F161" s="8" t="str">
        <f>IFERROR(__xludf.DUMMYFUNCTION("""COMPUTED_VALUE"""),"Mens Doubles")</f>
        <v>Mens Doubles</v>
      </c>
      <c r="G161" s="8" t="str">
        <f>IFERROR(__xludf.DUMMYFUNCTION("""COMPUTED_VALUE"""),"3rd")</f>
        <v>3rd</v>
      </c>
      <c r="H161" s="8" t="str">
        <f>IFERROR(__xludf.DUMMYFUNCTION("""COMPUTED_VALUE"""),"SC Regional 32")</f>
        <v>SC Regional 32</v>
      </c>
      <c r="I161" s="10">
        <f>IFERROR(__xludf.DUMMYFUNCTION("""COMPUTED_VALUE"""),42887.0)</f>
        <v>42887</v>
      </c>
      <c r="J161" s="10">
        <f>IFERROR(__xludf.DUMMYFUNCTION("""COMPUTED_VALUE"""),43983.0)</f>
        <v>43983</v>
      </c>
      <c r="K161" s="11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9" t="str">
        <f>IFERROR(__xludf.DUMMYFUNCTION("""COMPUTED_VALUE"""),"Connor")</f>
        <v>Connor</v>
      </c>
      <c r="B162" s="8" t="str">
        <f>IFERROR(__xludf.DUMMYFUNCTION("""COMPUTED_VALUE"""),"Dillon")</f>
        <v>Dillon</v>
      </c>
      <c r="C162" s="8" t="str">
        <f>IFERROR(__xludf.DUMMYFUNCTION("""COMPUTED_VALUE"""),"Baytown")</f>
        <v>Baytown</v>
      </c>
      <c r="D162" s="8" t="str">
        <f>IFERROR(__xludf.DUMMYFUNCTION("""COMPUTED_VALUE"""),"TX")</f>
        <v>TX</v>
      </c>
      <c r="E162" s="8" t="str">
        <f>IFERROR(__xludf.DUMMYFUNCTION("""COMPUTED_VALUE"""),"USA")</f>
        <v>USA</v>
      </c>
      <c r="F162" s="8" t="str">
        <f>IFERROR(__xludf.DUMMYFUNCTION("""COMPUTED_VALUE"""),"Men Doubles Cricket")</f>
        <v>Men Doubles Cricket</v>
      </c>
      <c r="G162" s="8" t="str">
        <f>IFERROR(__xludf.DUMMYFUNCTION("""COMPUTED_VALUE"""),"1st")</f>
        <v>1st</v>
      </c>
      <c r="H162" s="8" t="str">
        <f>IFERROR(__xludf.DUMMYFUNCTION("""COMPUTED_VALUE"""),"Texas BS 34")</f>
        <v>Texas BS 34</v>
      </c>
      <c r="I162" s="10">
        <f>IFERROR(__xludf.DUMMYFUNCTION("""COMPUTED_VALUE"""),43617.0)</f>
        <v>43617</v>
      </c>
      <c r="J162" s="10">
        <f>IFERROR(__xludf.DUMMYFUNCTION("""COMPUTED_VALUE"""),44713.0)</f>
        <v>44713</v>
      </c>
      <c r="K162" s="11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9" t="str">
        <f>IFERROR(__xludf.DUMMYFUNCTION("""COMPUTED_VALUE"""),"Cook")</f>
        <v>Cook</v>
      </c>
      <c r="B163" s="8" t="str">
        <f>IFERROR(__xludf.DUMMYFUNCTION("""COMPUTED_VALUE"""),"Craig")</f>
        <v>Craig</v>
      </c>
      <c r="C163" s="8" t="str">
        <f>IFERROR(__xludf.DUMMYFUNCTION("""COMPUTED_VALUE"""),"South Bend")</f>
        <v>South Bend</v>
      </c>
      <c r="D163" s="8" t="str">
        <f>IFERROR(__xludf.DUMMYFUNCTION("""COMPUTED_VALUE"""),"IN")</f>
        <v>IN</v>
      </c>
      <c r="E163" s="8" t="str">
        <f>IFERROR(__xludf.DUMMYFUNCTION("""COMPUTED_VALUE"""),"USA")</f>
        <v>USA</v>
      </c>
      <c r="F163" s="8" t="str">
        <f>IFERROR(__xludf.DUMMYFUNCTION("""COMPUTED_VALUE"""),"Pro Doubles X01")</f>
        <v>Pro Doubles X01</v>
      </c>
      <c r="G163" s="8" t="str">
        <f>IFERROR(__xludf.DUMMYFUNCTION("""COMPUTED_VALUE"""),"4th")</f>
        <v>4th</v>
      </c>
      <c r="H163" s="8" t="str">
        <f>IFERROR(__xludf.DUMMYFUNCTION("""COMPUTED_VALUE"""),"Off AA List")</f>
        <v>Off AA List</v>
      </c>
      <c r="I163" s="10">
        <f>IFERROR(__xludf.DUMMYFUNCTION("""COMPUTED_VALUE"""),42887.0)</f>
        <v>42887</v>
      </c>
      <c r="J163" s="10">
        <f>IFERROR(__xludf.DUMMYFUNCTION("""COMPUTED_VALUE"""),43983.0)</f>
        <v>43983</v>
      </c>
      <c r="K163" s="11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9" t="str">
        <f>IFERROR(__xludf.DUMMYFUNCTION("""COMPUTED_VALUE"""),"Cook")</f>
        <v>Cook</v>
      </c>
      <c r="B164" s="8" t="str">
        <f>IFERROR(__xludf.DUMMYFUNCTION("""COMPUTED_VALUE"""),"Patrick")</f>
        <v>Patrick</v>
      </c>
      <c r="C164" s="8" t="str">
        <f>IFERROR(__xludf.DUMMYFUNCTION("""COMPUTED_VALUE"""),"Pasadena")</f>
        <v>Pasadena</v>
      </c>
      <c r="D164" s="8" t="str">
        <f>IFERROR(__xludf.DUMMYFUNCTION("""COMPUTED_VALUE"""),"TX")</f>
        <v>TX</v>
      </c>
      <c r="E164" s="8" t="str">
        <f>IFERROR(__xludf.DUMMYFUNCTION("""COMPUTED_VALUE"""),"USA")</f>
        <v>USA</v>
      </c>
      <c r="F164" s="8" t="str">
        <f>IFERROR(__xludf.DUMMYFUNCTION("""COMPUTED_VALUE"""),"Pro/Am Cricket")</f>
        <v>Pro/Am Cricket</v>
      </c>
      <c r="G164" s="8" t="str">
        <f>IFERROR(__xludf.DUMMYFUNCTION("""COMPUTED_VALUE"""),"1st")</f>
        <v>1st</v>
      </c>
      <c r="H164" s="8" t="str">
        <f>IFERROR(__xludf.DUMMYFUNCTION("""COMPUTED_VALUE"""),"Texas BS 34")</f>
        <v>Texas BS 34</v>
      </c>
      <c r="I164" s="10">
        <f>IFERROR(__xludf.DUMMYFUNCTION("""COMPUTED_VALUE"""),43617.0)</f>
        <v>43617</v>
      </c>
      <c r="J164" s="10">
        <f>IFERROR(__xludf.DUMMYFUNCTION("""COMPUTED_VALUE"""),44713.0)</f>
        <v>44713</v>
      </c>
      <c r="K164" s="11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8.0" customHeight="1">
      <c r="A165" s="9" t="str">
        <f>IFERROR(__xludf.DUMMYFUNCTION("""COMPUTED_VALUE"""),"Corbett")</f>
        <v>Corbett</v>
      </c>
      <c r="B165" s="8" t="str">
        <f>IFERROR(__xludf.DUMMYFUNCTION("""COMPUTED_VALUE"""),"Steve")</f>
        <v>Steve</v>
      </c>
      <c r="C165" s="8" t="str">
        <f>IFERROR(__xludf.DUMMYFUNCTION("""COMPUTED_VALUE"""),"Indianapolis")</f>
        <v>Indianapolis</v>
      </c>
      <c r="D165" s="8" t="str">
        <f>IFERROR(__xludf.DUMMYFUNCTION("""COMPUTED_VALUE"""),"IN")</f>
        <v>IN</v>
      </c>
      <c r="E165" s="8" t="str">
        <f>IFERROR(__xludf.DUMMYFUNCTION("""COMPUTED_VALUE"""),"USA")</f>
        <v>USA</v>
      </c>
      <c r="F165" s="8" t="str">
        <f>IFERROR(__xludf.DUMMYFUNCTION("""COMPUTED_VALUE"""),"Pro Doubles")</f>
        <v>Pro Doubles</v>
      </c>
      <c r="G165" s="8" t="str">
        <f>IFERROR(__xludf.DUMMYFUNCTION("""COMPUTED_VALUE"""),"1st")</f>
        <v>1st</v>
      </c>
      <c r="H165" s="8" t="str">
        <f>IFERROR(__xludf.DUMMYFUNCTION("""COMPUTED_VALUE"""),"OH Regional 33")</f>
        <v>OH Regional 33</v>
      </c>
      <c r="I165" s="10">
        <f>IFERROR(__xludf.DUMMYFUNCTION("""COMPUTED_VALUE"""),42522.0)</f>
        <v>42522</v>
      </c>
      <c r="J165" s="10">
        <f>IFERROR(__xludf.DUMMYFUNCTION("""COMPUTED_VALUE"""),44348.0)</f>
        <v>44348</v>
      </c>
      <c r="K165" s="11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9" t="str">
        <f>IFERROR(__xludf.DUMMYFUNCTION("""COMPUTED_VALUE"""),"Corona")</f>
        <v>Corona</v>
      </c>
      <c r="B166" s="8" t="str">
        <f>IFERROR(__xludf.DUMMYFUNCTION("""COMPUTED_VALUE"""),"Tory")</f>
        <v>Tory</v>
      </c>
      <c r="C166" s="8" t="str">
        <f>IFERROR(__xludf.DUMMYFUNCTION("""COMPUTED_VALUE"""),"New London")</f>
        <v>New London</v>
      </c>
      <c r="D166" s="8" t="str">
        <f>IFERROR(__xludf.DUMMYFUNCTION("""COMPUTED_VALUE"""),"WI")</f>
        <v>WI</v>
      </c>
      <c r="E166" s="8" t="str">
        <f>IFERROR(__xludf.DUMMYFUNCTION("""COMPUTED_VALUE"""),"USA")</f>
        <v>USA</v>
      </c>
      <c r="F166" s="8" t="str">
        <f>IFERROR(__xludf.DUMMYFUNCTION("""COMPUTED_VALUE"""),"Mixed Triples")</f>
        <v>Mixed Triples</v>
      </c>
      <c r="G166" s="8" t="str">
        <f>IFERROR(__xludf.DUMMYFUNCTION("""COMPUTED_VALUE"""),"4th")</f>
        <v>4th</v>
      </c>
      <c r="H166" s="8" t="str">
        <f>IFERROR(__xludf.DUMMYFUNCTION("""COMPUTED_VALUE"""),"BS 33 Finals")</f>
        <v>BS 33 Finals</v>
      </c>
      <c r="I166" s="10">
        <f>IFERROR(__xludf.DUMMYFUNCTION("""COMPUTED_VALUE"""),43252.0)</f>
        <v>43252</v>
      </c>
      <c r="J166" s="10">
        <f>IFERROR(__xludf.DUMMYFUNCTION("""COMPUTED_VALUE"""),44348.0)</f>
        <v>44348</v>
      </c>
      <c r="K166" s="11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9" t="str">
        <f>IFERROR(__xludf.DUMMYFUNCTION("""COMPUTED_VALUE"""),"Cortez")</f>
        <v>Cortez</v>
      </c>
      <c r="B167" s="8" t="str">
        <f>IFERROR(__xludf.DUMMYFUNCTION("""COMPUTED_VALUE"""),"Doug")</f>
        <v>Doug</v>
      </c>
      <c r="C167" s="8" t="str">
        <f>IFERROR(__xludf.DUMMYFUNCTION("""COMPUTED_VALUE"""),"East Moline")</f>
        <v>East Moline</v>
      </c>
      <c r="D167" s="8" t="str">
        <f>IFERROR(__xludf.DUMMYFUNCTION("""COMPUTED_VALUE"""),"IL")</f>
        <v>IL</v>
      </c>
      <c r="E167" s="8" t="str">
        <f>IFERROR(__xludf.DUMMYFUNCTION("""COMPUTED_VALUE"""),"USA")</f>
        <v>USA</v>
      </c>
      <c r="F167" s="8" t="str">
        <f>IFERROR(__xludf.DUMMYFUNCTION("""COMPUTED_VALUE"""),"Top Gun Mixed Triples")</f>
        <v>Top Gun Mixed Triples</v>
      </c>
      <c r="G167" s="8" t="str">
        <f>IFERROR(__xludf.DUMMYFUNCTION("""COMPUTED_VALUE"""),"1st")</f>
        <v>1st</v>
      </c>
      <c r="H167" s="8" t="str">
        <f>IFERROR(__xludf.DUMMYFUNCTION("""COMPUTED_VALUE"""),"BullShooter 32")</f>
        <v>BullShooter 32</v>
      </c>
      <c r="I167" s="10">
        <f>IFERROR(__xludf.DUMMYFUNCTION("""COMPUTED_VALUE"""),42887.0)</f>
        <v>42887</v>
      </c>
      <c r="J167" s="10">
        <f>IFERROR(__xludf.DUMMYFUNCTION("""COMPUTED_VALUE"""),43983.0)</f>
        <v>43983</v>
      </c>
      <c r="K167" s="11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9" t="str">
        <f>IFERROR(__xludf.DUMMYFUNCTION("""COMPUTED_VALUE"""),"Cotton")</f>
        <v>Cotton</v>
      </c>
      <c r="B168" s="8" t="str">
        <f>IFERROR(__xludf.DUMMYFUNCTION("""COMPUTED_VALUE"""),"James")</f>
        <v>James</v>
      </c>
      <c r="C168" s="8" t="str">
        <f>IFERROR(__xludf.DUMMYFUNCTION("""COMPUTED_VALUE"""),"Hardin")</f>
        <v>Hardin</v>
      </c>
      <c r="D168" s="8" t="str">
        <f>IFERROR(__xludf.DUMMYFUNCTION("""COMPUTED_VALUE"""),"KY")</f>
        <v>KY</v>
      </c>
      <c r="E168" s="8" t="str">
        <f>IFERROR(__xludf.DUMMYFUNCTION("""COMPUTED_VALUE"""),"USA")</f>
        <v>USA</v>
      </c>
      <c r="F168" s="8" t="str">
        <f>IFERROR(__xludf.DUMMYFUNCTION("""COMPUTED_VALUE"""),"Pro Singles")</f>
        <v>Pro Singles</v>
      </c>
      <c r="G168" s="8" t="str">
        <f>IFERROR(__xludf.DUMMYFUNCTION("""COMPUTED_VALUE"""),"3rd")</f>
        <v>3rd</v>
      </c>
      <c r="H168" s="8" t="str">
        <f>IFERROR(__xludf.DUMMYFUNCTION("""COMPUTED_VALUE"""),"TN Regional 33")</f>
        <v>TN Regional 33</v>
      </c>
      <c r="I168" s="10">
        <f>IFERROR(__xludf.DUMMYFUNCTION("""COMPUTED_VALUE"""),42522.0)</f>
        <v>42522</v>
      </c>
      <c r="J168" s="10">
        <f>IFERROR(__xludf.DUMMYFUNCTION("""COMPUTED_VALUE"""),44348.0)</f>
        <v>44348</v>
      </c>
      <c r="K168" s="11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9" t="str">
        <f>IFERROR(__xludf.DUMMYFUNCTION("""COMPUTED_VALUE"""),"Courtright")</f>
        <v>Courtright</v>
      </c>
      <c r="B169" s="8" t="str">
        <f>IFERROR(__xludf.DUMMYFUNCTION("""COMPUTED_VALUE"""),"Kyle")</f>
        <v>Kyle</v>
      </c>
      <c r="C169" s="8" t="str">
        <f>IFERROR(__xludf.DUMMYFUNCTION("""COMPUTED_VALUE"""),"Airville")</f>
        <v>Airville</v>
      </c>
      <c r="D169" s="8" t="str">
        <f>IFERROR(__xludf.DUMMYFUNCTION("""COMPUTED_VALUE"""),"PA")</f>
        <v>PA</v>
      </c>
      <c r="E169" s="8" t="str">
        <f>IFERROR(__xludf.DUMMYFUNCTION("""COMPUTED_VALUE"""),"USA")</f>
        <v>USA</v>
      </c>
      <c r="F169" s="8" t="str">
        <f>IFERROR(__xludf.DUMMYFUNCTION("""COMPUTED_VALUE"""),"Mens Doubles")</f>
        <v>Mens Doubles</v>
      </c>
      <c r="G169" s="8" t="str">
        <f>IFERROR(__xludf.DUMMYFUNCTION("""COMPUTED_VALUE"""),"1st")</f>
        <v>1st</v>
      </c>
      <c r="H169" s="8" t="str">
        <f>IFERROR(__xludf.DUMMYFUNCTION("""COMPUTED_VALUE"""),"PA Regional 32")</f>
        <v>PA Regional 32</v>
      </c>
      <c r="I169" s="10">
        <f>IFERROR(__xludf.DUMMYFUNCTION("""COMPUTED_VALUE"""),42887.0)</f>
        <v>42887</v>
      </c>
      <c r="J169" s="10">
        <f>IFERROR(__xludf.DUMMYFUNCTION("""COMPUTED_VALUE"""),43983.0)</f>
        <v>43983</v>
      </c>
      <c r="K169" s="11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9" t="str">
        <f>IFERROR(__xludf.DUMMYFUNCTION("""COMPUTED_VALUE"""),"Cox")</f>
        <v>Cox</v>
      </c>
      <c r="B170" s="8" t="str">
        <f>IFERROR(__xludf.DUMMYFUNCTION("""COMPUTED_VALUE"""),"Michael")</f>
        <v>Michael</v>
      </c>
      <c r="C170" s="8" t="str">
        <f>IFERROR(__xludf.DUMMYFUNCTION("""COMPUTED_VALUE"""),"Charleston")</f>
        <v>Charleston</v>
      </c>
      <c r="D170" s="8" t="str">
        <f>IFERROR(__xludf.DUMMYFUNCTION("""COMPUTED_VALUE"""),"SC")</f>
        <v>SC</v>
      </c>
      <c r="E170" s="8" t="str">
        <f>IFERROR(__xludf.DUMMYFUNCTION("""COMPUTED_VALUE"""),"USA")</f>
        <v>USA</v>
      </c>
      <c r="F170" s="8" t="str">
        <f>IFERROR(__xludf.DUMMYFUNCTION("""COMPUTED_VALUE"""),"Men Doubles Cricket")</f>
        <v>Men Doubles Cricket</v>
      </c>
      <c r="G170" s="8" t="str">
        <f>IFERROR(__xludf.DUMMYFUNCTION("""COMPUTED_VALUE"""),"2nd")</f>
        <v>2nd</v>
      </c>
      <c r="H170" s="8" t="str">
        <f>IFERROR(__xludf.DUMMYFUNCTION("""COMPUTED_VALUE"""),"South Carolina BS 34")</f>
        <v>South Carolina BS 34</v>
      </c>
      <c r="I170" s="10">
        <f>IFERROR(__xludf.DUMMYFUNCTION("""COMPUTED_VALUE"""),43617.0)</f>
        <v>43617</v>
      </c>
      <c r="J170" s="10">
        <f>IFERROR(__xludf.DUMMYFUNCTION("""COMPUTED_VALUE"""),44713.0)</f>
        <v>44713</v>
      </c>
      <c r="K170" s="1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9" t="str">
        <f>IFERROR(__xludf.DUMMYFUNCTION("""COMPUTED_VALUE"""),"Craig")</f>
        <v>Craig</v>
      </c>
      <c r="B171" s="8" t="str">
        <f>IFERROR(__xludf.DUMMYFUNCTION("""COMPUTED_VALUE"""),"Joseph")</f>
        <v>Joseph</v>
      </c>
      <c r="C171" s="8" t="str">
        <f>IFERROR(__xludf.DUMMYFUNCTION("""COMPUTED_VALUE"""),"Phildelphia")</f>
        <v>Phildelphia</v>
      </c>
      <c r="D171" s="8" t="str">
        <f>IFERROR(__xludf.DUMMYFUNCTION("""COMPUTED_VALUE"""),"PA")</f>
        <v>PA</v>
      </c>
      <c r="E171" s="8" t="str">
        <f>IFERROR(__xludf.DUMMYFUNCTION("""COMPUTED_VALUE"""),"USA")</f>
        <v>USA</v>
      </c>
      <c r="F171" s="8" t="str">
        <f>IFERROR(__xludf.DUMMYFUNCTION("""COMPUTED_VALUE"""),"Mens Cricket Doubles")</f>
        <v>Mens Cricket Doubles</v>
      </c>
      <c r="G171" s="8" t="str">
        <f>IFERROR(__xludf.DUMMYFUNCTION("""COMPUTED_VALUE"""),"1st")</f>
        <v>1st</v>
      </c>
      <c r="H171" s="8" t="str">
        <f>IFERROR(__xludf.DUMMYFUNCTION("""COMPUTED_VALUE"""),"SC Regional 32")</f>
        <v>SC Regional 32</v>
      </c>
      <c r="I171" s="10">
        <f>IFERROR(__xludf.DUMMYFUNCTION("""COMPUTED_VALUE"""),42887.0)</f>
        <v>42887</v>
      </c>
      <c r="J171" s="10">
        <f>IFERROR(__xludf.DUMMYFUNCTION("""COMPUTED_VALUE"""),43983.0)</f>
        <v>43983</v>
      </c>
      <c r="K171" s="11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9" t="str">
        <f>IFERROR(__xludf.DUMMYFUNCTION("""COMPUTED_VALUE"""),"Crans")</f>
        <v>Crans</v>
      </c>
      <c r="B172" s="8" t="str">
        <f>IFERROR(__xludf.DUMMYFUNCTION("""COMPUTED_VALUE"""),"Todd")</f>
        <v>Todd</v>
      </c>
      <c r="C172" s="8" t="str">
        <f>IFERROR(__xludf.DUMMYFUNCTION("""COMPUTED_VALUE"""),"Buffalo")</f>
        <v>Buffalo</v>
      </c>
      <c r="D172" s="8" t="str">
        <f>IFERROR(__xludf.DUMMYFUNCTION("""COMPUTED_VALUE"""),"NY")</f>
        <v>NY</v>
      </c>
      <c r="E172" s="8" t="str">
        <f>IFERROR(__xludf.DUMMYFUNCTION("""COMPUTED_VALUE"""),"USA")</f>
        <v>USA</v>
      </c>
      <c r="F172" s="8" t="str">
        <f>IFERROR(__xludf.DUMMYFUNCTION("""COMPUTED_VALUE"""),"Pro/Am Cricket")</f>
        <v>Pro/Am Cricket</v>
      </c>
      <c r="G172" s="8" t="str">
        <f>IFERROR(__xludf.DUMMYFUNCTION("""COMPUTED_VALUE"""),"1st")</f>
        <v>1st</v>
      </c>
      <c r="H172" s="8" t="str">
        <f>IFERROR(__xludf.DUMMYFUNCTION("""COMPUTED_VALUE"""),"NY Regional 32")</f>
        <v>NY Regional 32</v>
      </c>
      <c r="I172" s="10">
        <f>IFERROR(__xludf.DUMMYFUNCTION("""COMPUTED_VALUE"""),42887.0)</f>
        <v>42887</v>
      </c>
      <c r="J172" s="10">
        <f>IFERROR(__xludf.DUMMYFUNCTION("""COMPUTED_VALUE"""),43983.0)</f>
        <v>43983</v>
      </c>
      <c r="K172" s="11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9" t="str">
        <f>IFERROR(__xludf.DUMMYFUNCTION("""COMPUTED_VALUE"""),"Crescini")</f>
        <v>Crescini</v>
      </c>
      <c r="B173" s="8" t="str">
        <f>IFERROR(__xludf.DUMMYFUNCTION("""COMPUTED_VALUE"""),"Joshua")</f>
        <v>Joshua</v>
      </c>
      <c r="C173" s="8" t="str">
        <f>IFERROR(__xludf.DUMMYFUNCTION("""COMPUTED_VALUE"""),"New London")</f>
        <v>New London</v>
      </c>
      <c r="D173" s="8" t="str">
        <f>IFERROR(__xludf.DUMMYFUNCTION("""COMPUTED_VALUE"""),"WI")</f>
        <v>WI</v>
      </c>
      <c r="E173" s="8" t="str">
        <f>IFERROR(__xludf.DUMMYFUNCTION("""COMPUTED_VALUE"""),"USA")</f>
        <v>USA</v>
      </c>
      <c r="F173" s="8" t="str">
        <f>IFERROR(__xludf.DUMMYFUNCTION("""COMPUTED_VALUE"""),"Men Doubles 501")</f>
        <v>Men Doubles 501</v>
      </c>
      <c r="G173" s="8" t="str">
        <f>IFERROR(__xludf.DUMMYFUNCTION("""COMPUTED_VALUE"""),"3rd")</f>
        <v>3rd</v>
      </c>
      <c r="H173" s="8" t="str">
        <f>IFERROR(__xludf.DUMMYFUNCTION("""COMPUTED_VALUE"""),"Wisconsin BS 34")</f>
        <v>Wisconsin BS 34</v>
      </c>
      <c r="I173" s="10">
        <f>IFERROR(__xludf.DUMMYFUNCTION("""COMPUTED_VALUE"""),43617.0)</f>
        <v>43617</v>
      </c>
      <c r="J173" s="10">
        <f>IFERROR(__xludf.DUMMYFUNCTION("""COMPUTED_VALUE"""),44713.0)</f>
        <v>44713</v>
      </c>
      <c r="K173" s="11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9" t="str">
        <f>IFERROR(__xludf.DUMMYFUNCTION("""COMPUTED_VALUE"""),"Croker")</f>
        <v>Croker</v>
      </c>
      <c r="B174" s="8" t="str">
        <f>IFERROR(__xludf.DUMMYFUNCTION("""COMPUTED_VALUE"""),"Anthony")</f>
        <v>Anthony</v>
      </c>
      <c r="C174" s="8" t="str">
        <f>IFERROR(__xludf.DUMMYFUNCTION("""COMPUTED_VALUE"""),"Omaha")</f>
        <v>Omaha</v>
      </c>
      <c r="D174" s="8" t="str">
        <f>IFERROR(__xludf.DUMMYFUNCTION("""COMPUTED_VALUE"""),"NE")</f>
        <v>NE</v>
      </c>
      <c r="E174" s="8" t="str">
        <f>IFERROR(__xludf.DUMMYFUNCTION("""COMPUTED_VALUE"""),"USA")</f>
        <v>USA</v>
      </c>
      <c r="F174" s="8" t="str">
        <f>IFERROR(__xludf.DUMMYFUNCTION("""COMPUTED_VALUE"""),"Pro Doubles 501")</f>
        <v>Pro Doubles 501</v>
      </c>
      <c r="G174" s="8" t="str">
        <f>IFERROR(__xludf.DUMMYFUNCTION("""COMPUTED_VALUE"""),"1st")</f>
        <v>1st</v>
      </c>
      <c r="H174" s="8" t="str">
        <f>IFERROR(__xludf.DUMMYFUNCTION("""COMPUTED_VALUE"""),"Nebraska BS 34")</f>
        <v>Nebraska BS 34</v>
      </c>
      <c r="I174" s="10">
        <f>IFERROR(__xludf.DUMMYFUNCTION("""COMPUTED_VALUE"""),43617.0)</f>
        <v>43617</v>
      </c>
      <c r="J174" s="10">
        <f>IFERROR(__xludf.DUMMYFUNCTION("""COMPUTED_VALUE"""),44713.0)</f>
        <v>44713</v>
      </c>
      <c r="K174" s="11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9" t="str">
        <f>IFERROR(__xludf.DUMMYFUNCTION("""COMPUTED_VALUE"""),"Cronin")</f>
        <v>Cronin</v>
      </c>
      <c r="B175" s="8" t="str">
        <f>IFERROR(__xludf.DUMMYFUNCTION("""COMPUTED_VALUE"""),"Mark")</f>
        <v>Mark</v>
      </c>
      <c r="C175" s="8" t="str">
        <f>IFERROR(__xludf.DUMMYFUNCTION("""COMPUTED_VALUE"""),"")</f>
        <v/>
      </c>
      <c r="D175" s="8" t="str">
        <f>IFERROR(__xludf.DUMMYFUNCTION("""COMPUTED_VALUE"""),"UNK")</f>
        <v>UNK</v>
      </c>
      <c r="E175" s="8" t="str">
        <f>IFERROR(__xludf.DUMMYFUNCTION("""COMPUTED_VALUE"""),"UNK")</f>
        <v>UNK</v>
      </c>
      <c r="F175" s="8" t="str">
        <f>IFERROR(__xludf.DUMMYFUNCTION("""COMPUTED_VALUE"""),"ADO 2016")</f>
        <v>ADO 2016</v>
      </c>
      <c r="G175" s="8" t="str">
        <f>IFERROR(__xludf.DUMMYFUNCTION("""COMPUTED_VALUE"""),"49th")</f>
        <v>49th</v>
      </c>
      <c r="H175" s="8" t="str">
        <f>IFERROR(__xludf.DUMMYFUNCTION("""COMPUTED_VALUE"""),"ADO 2016")</f>
        <v>ADO 2016</v>
      </c>
      <c r="I175" s="10">
        <f>IFERROR(__xludf.DUMMYFUNCTION("""COMPUTED_VALUE"""),42401.0)</f>
        <v>42401</v>
      </c>
      <c r="J175" s="10">
        <f>IFERROR(__xludf.DUMMYFUNCTION("""COMPUTED_VALUE"""),44713.0)</f>
        <v>44713</v>
      </c>
      <c r="K175" s="11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9" t="str">
        <f>IFERROR(__xludf.DUMMYFUNCTION("""COMPUTED_VALUE"""),"Crosby")</f>
        <v>Crosby</v>
      </c>
      <c r="B176" s="8" t="str">
        <f>IFERROR(__xludf.DUMMYFUNCTION("""COMPUTED_VALUE"""),"Mike")</f>
        <v>Mike</v>
      </c>
      <c r="C176" s="8" t="str">
        <f>IFERROR(__xludf.DUMMYFUNCTION("""COMPUTED_VALUE"""),"Orlando")</f>
        <v>Orlando</v>
      </c>
      <c r="D176" s="8" t="str">
        <f>IFERROR(__xludf.DUMMYFUNCTION("""COMPUTED_VALUE"""),"FL")</f>
        <v>FL</v>
      </c>
      <c r="E176" s="8" t="str">
        <f>IFERROR(__xludf.DUMMYFUNCTION("""COMPUTED_VALUE"""),"USA")</f>
        <v>USA</v>
      </c>
      <c r="F176" s="8" t="str">
        <f>IFERROR(__xludf.DUMMYFUNCTION("""COMPUTED_VALUE"""),"Mens Doubles")</f>
        <v>Mens Doubles</v>
      </c>
      <c r="G176" s="8" t="str">
        <f>IFERROR(__xludf.DUMMYFUNCTION("""COMPUTED_VALUE"""),"2nd")</f>
        <v>2nd</v>
      </c>
      <c r="H176" s="8" t="str">
        <f>IFERROR(__xludf.DUMMYFUNCTION("""COMPUTED_VALUE"""),"FL Regional 33")</f>
        <v>FL Regional 33</v>
      </c>
      <c r="I176" s="10">
        <f>IFERROR(__xludf.DUMMYFUNCTION("""COMPUTED_VALUE"""),43252.0)</f>
        <v>43252</v>
      </c>
      <c r="J176" s="10">
        <f>IFERROR(__xludf.DUMMYFUNCTION("""COMPUTED_VALUE"""),44348.0)</f>
        <v>44348</v>
      </c>
      <c r="K176" s="11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9" t="str">
        <f>IFERROR(__xludf.DUMMYFUNCTION("""COMPUTED_VALUE"""),"Crouch")</f>
        <v>Crouch</v>
      </c>
      <c r="B177" s="8" t="str">
        <f>IFERROR(__xludf.DUMMYFUNCTION("""COMPUTED_VALUE"""),"Cabrin")</f>
        <v>Cabrin</v>
      </c>
      <c r="C177" s="8" t="str">
        <f>IFERROR(__xludf.DUMMYFUNCTION("""COMPUTED_VALUE"""),"Springfield")</f>
        <v>Springfield</v>
      </c>
      <c r="D177" s="8" t="str">
        <f>IFERROR(__xludf.DUMMYFUNCTION("""COMPUTED_VALUE"""),"MO")</f>
        <v>MO</v>
      </c>
      <c r="E177" s="8" t="str">
        <f>IFERROR(__xludf.DUMMYFUNCTION("""COMPUTED_VALUE"""),"USA")</f>
        <v>USA</v>
      </c>
      <c r="F177" s="8" t="str">
        <f>IFERROR(__xludf.DUMMYFUNCTION("""COMPUTED_VALUE"""),"Mens Cricket Doubles")</f>
        <v>Mens Cricket Doubles</v>
      </c>
      <c r="G177" s="8" t="str">
        <f>IFERROR(__xludf.DUMMYFUNCTION("""COMPUTED_VALUE"""),"2nd")</f>
        <v>2nd</v>
      </c>
      <c r="H177" s="8" t="str">
        <f>IFERROR(__xludf.DUMMYFUNCTION("""COMPUTED_VALUE"""),"NE Regional 33")</f>
        <v>NE Regional 33</v>
      </c>
      <c r="I177" s="10">
        <f>IFERROR(__xludf.DUMMYFUNCTION("""COMPUTED_VALUE"""),43252.0)</f>
        <v>43252</v>
      </c>
      <c r="J177" s="10">
        <f>IFERROR(__xludf.DUMMYFUNCTION("""COMPUTED_VALUE"""),44348.0)</f>
        <v>44348</v>
      </c>
      <c r="K177" s="11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9" t="str">
        <f>IFERROR(__xludf.DUMMYFUNCTION("""COMPUTED_VALUE"""),"Crow")</f>
        <v>Crow</v>
      </c>
      <c r="B178" s="8" t="str">
        <f>IFERROR(__xludf.DUMMYFUNCTION("""COMPUTED_VALUE"""),"Ronald")</f>
        <v>Ronald</v>
      </c>
      <c r="C178" s="8" t="str">
        <f>IFERROR(__xludf.DUMMYFUNCTION("""COMPUTED_VALUE"""),"Streator")</f>
        <v>Streator</v>
      </c>
      <c r="D178" s="8" t="str">
        <f>IFERROR(__xludf.DUMMYFUNCTION("""COMPUTED_VALUE"""),"IL")</f>
        <v>IL</v>
      </c>
      <c r="E178" s="8" t="str">
        <f>IFERROR(__xludf.DUMMYFUNCTION("""COMPUTED_VALUE"""),"USA")</f>
        <v>USA</v>
      </c>
      <c r="F178" s="8" t="str">
        <f>IFERROR(__xludf.DUMMYFUNCTION("""COMPUTED_VALUE"""),"Mixed Triples 701")</f>
        <v>Mixed Triples 701</v>
      </c>
      <c r="G178" s="8" t="str">
        <f>IFERROR(__xludf.DUMMYFUNCTION("""COMPUTED_VALUE"""),"1st")</f>
        <v>1st</v>
      </c>
      <c r="H178" s="8" t="str">
        <f>IFERROR(__xludf.DUMMYFUNCTION("""COMPUTED_VALUE"""),"BullShooter 32")</f>
        <v>BullShooter 32</v>
      </c>
      <c r="I178" s="10">
        <f>IFERROR(__xludf.DUMMYFUNCTION("""COMPUTED_VALUE"""),42887.0)</f>
        <v>42887</v>
      </c>
      <c r="J178" s="10">
        <f>IFERROR(__xludf.DUMMYFUNCTION("""COMPUTED_VALUE"""),43983.0)</f>
        <v>43983</v>
      </c>
      <c r="K178" s="11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7.25" customHeight="1">
      <c r="A179" s="12" t="str">
        <f>IFERROR(__xludf.DUMMYFUNCTION("""COMPUTED_VALUE"""),"Crowder")</f>
        <v>Crowder</v>
      </c>
      <c r="B179" s="13" t="str">
        <f>IFERROR(__xludf.DUMMYFUNCTION("""COMPUTED_VALUE"""),"Kevin")</f>
        <v>Kevin</v>
      </c>
      <c r="C179" s="13" t="str">
        <f>IFERROR(__xludf.DUMMYFUNCTION("""COMPUTED_VALUE"""),"Florence")</f>
        <v>Florence</v>
      </c>
      <c r="D179" s="13" t="str">
        <f>IFERROR(__xludf.DUMMYFUNCTION("""COMPUTED_VALUE"""),"KY")</f>
        <v>KY</v>
      </c>
      <c r="E179" s="13" t="str">
        <f>IFERROR(__xludf.DUMMYFUNCTION("""COMPUTED_VALUE"""),"USA")</f>
        <v>USA</v>
      </c>
      <c r="F179" s="13" t="str">
        <f>IFERROR(__xludf.DUMMYFUNCTION("""COMPUTED_VALUE"""),"Men Doubles 501")</f>
        <v>Men Doubles 501</v>
      </c>
      <c r="G179" s="13" t="str">
        <f>IFERROR(__xludf.DUMMYFUNCTION("""COMPUTED_VALUE"""),"1st")</f>
        <v>1st</v>
      </c>
      <c r="H179" s="13" t="str">
        <f>IFERROR(__xludf.DUMMYFUNCTION("""COMPUTED_VALUE"""),"Indiana BS 34")</f>
        <v>Indiana BS 34</v>
      </c>
      <c r="I179" s="14">
        <f>IFERROR(__xludf.DUMMYFUNCTION("""COMPUTED_VALUE"""),43617.0)</f>
        <v>43617</v>
      </c>
      <c r="J179" s="14">
        <f>IFERROR(__xludf.DUMMYFUNCTION("""COMPUTED_VALUE"""),44713.0)</f>
        <v>44713</v>
      </c>
      <c r="K179" s="11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9" t="str">
        <f>IFERROR(__xludf.DUMMYFUNCTION("""COMPUTED_VALUE"""),"Cullen")</f>
        <v>Cullen</v>
      </c>
      <c r="B180" s="8" t="str">
        <f>IFERROR(__xludf.DUMMYFUNCTION("""COMPUTED_VALUE"""),"Shannon")</f>
        <v>Shannon</v>
      </c>
      <c r="C180" s="8" t="str">
        <f>IFERROR(__xludf.DUMMYFUNCTION("""COMPUTED_VALUE"""),"")</f>
        <v/>
      </c>
      <c r="D180" s="8" t="str">
        <f>IFERROR(__xludf.DUMMYFUNCTION("""COMPUTED_VALUE"""),"CA")</f>
        <v>CA</v>
      </c>
      <c r="E180" s="8" t="str">
        <f>IFERROR(__xludf.DUMMYFUNCTION("""COMPUTED_VALUE"""),"USA")</f>
        <v>USA</v>
      </c>
      <c r="F180" s="8" t="str">
        <f>IFERROR(__xludf.DUMMYFUNCTION("""COMPUTED_VALUE"""),"Mens Doubles")</f>
        <v>Mens Doubles</v>
      </c>
      <c r="G180" s="8" t="str">
        <f>IFERROR(__xludf.DUMMYFUNCTION("""COMPUTED_VALUE"""),"2nd")</f>
        <v>2nd</v>
      </c>
      <c r="H180" s="8" t="str">
        <f>IFERROR(__xludf.DUMMYFUNCTION("""COMPUTED_VALUE"""),"CA Regional 33")</f>
        <v>CA Regional 33</v>
      </c>
      <c r="I180" s="10">
        <f>IFERROR(__xludf.DUMMYFUNCTION("""COMPUTED_VALUE"""),43252.0)</f>
        <v>43252</v>
      </c>
      <c r="J180" s="10">
        <f>IFERROR(__xludf.DUMMYFUNCTION("""COMPUTED_VALUE"""),44348.0)</f>
        <v>44348</v>
      </c>
      <c r="K180" s="11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9" t="str">
        <f>IFERROR(__xludf.DUMMYFUNCTION("""COMPUTED_VALUE"""),"Czipo")</f>
        <v>Czipo</v>
      </c>
      <c r="B181" s="8" t="str">
        <f>IFERROR(__xludf.DUMMYFUNCTION("""COMPUTED_VALUE"""),"Kevin")</f>
        <v>Kevin</v>
      </c>
      <c r="C181" s="8" t="str">
        <f>IFERROR(__xludf.DUMMYFUNCTION("""COMPUTED_VALUE"""),"")</f>
        <v/>
      </c>
      <c r="D181" s="8" t="str">
        <f>IFERROR(__xludf.DUMMYFUNCTION("""COMPUTED_VALUE"""),"UNK")</f>
        <v>UNK</v>
      </c>
      <c r="E181" s="8" t="str">
        <f>IFERROR(__xludf.DUMMYFUNCTION("""COMPUTED_VALUE"""),"UNK")</f>
        <v>UNK</v>
      </c>
      <c r="F181" s="8" t="str">
        <f>IFERROR(__xludf.DUMMYFUNCTION("""COMPUTED_VALUE"""),"ADO 2016")</f>
        <v>ADO 2016</v>
      </c>
      <c r="G181" s="8" t="str">
        <f>IFERROR(__xludf.DUMMYFUNCTION("""COMPUTED_VALUE"""),"31st")</f>
        <v>31st</v>
      </c>
      <c r="H181" s="8" t="str">
        <f>IFERROR(__xludf.DUMMYFUNCTION("""COMPUTED_VALUE"""),"ADO 2016")</f>
        <v>ADO 2016</v>
      </c>
      <c r="I181" s="10">
        <f>IFERROR(__xludf.DUMMYFUNCTION("""COMPUTED_VALUE"""),42401.0)</f>
        <v>42401</v>
      </c>
      <c r="J181" s="10">
        <f>IFERROR(__xludf.DUMMYFUNCTION("""COMPUTED_VALUE"""),44713.0)</f>
        <v>44713</v>
      </c>
      <c r="K181" s="11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9" t="str">
        <f>IFERROR(__xludf.DUMMYFUNCTION("""COMPUTED_VALUE"""),"Daams")</f>
        <v>Daams</v>
      </c>
      <c r="B182" s="8" t="str">
        <f>IFERROR(__xludf.DUMMYFUNCTION("""COMPUTED_VALUE"""),"Dan")</f>
        <v>Dan</v>
      </c>
      <c r="C182" s="8" t="str">
        <f>IFERROR(__xludf.DUMMYFUNCTION("""COMPUTED_VALUE"""),"Racine")</f>
        <v>Racine</v>
      </c>
      <c r="D182" s="8" t="str">
        <f>IFERROR(__xludf.DUMMYFUNCTION("""COMPUTED_VALUE"""),"WI")</f>
        <v>WI</v>
      </c>
      <c r="E182" s="8" t="str">
        <f>IFERROR(__xludf.DUMMYFUNCTION("""COMPUTED_VALUE"""),"USA")</f>
        <v>USA</v>
      </c>
      <c r="F182" s="8" t="str">
        <f>IFERROR(__xludf.DUMMYFUNCTION("""COMPUTED_VALUE"""),"Mens Doubles")</f>
        <v>Mens Doubles</v>
      </c>
      <c r="G182" s="8" t="str">
        <f>IFERROR(__xludf.DUMMYFUNCTION("""COMPUTED_VALUE"""),"1st")</f>
        <v>1st</v>
      </c>
      <c r="H182" s="8" t="str">
        <f>IFERROR(__xludf.DUMMYFUNCTION("""COMPUTED_VALUE"""),"BS 33 Finals")</f>
        <v>BS 33 Finals</v>
      </c>
      <c r="I182" s="10">
        <f>IFERROR(__xludf.DUMMYFUNCTION("""COMPUTED_VALUE"""),43252.0)</f>
        <v>43252</v>
      </c>
      <c r="J182" s="10">
        <f>IFERROR(__xludf.DUMMYFUNCTION("""COMPUTED_VALUE"""),44348.0)</f>
        <v>44348</v>
      </c>
      <c r="K182" s="1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9" t="str">
        <f>IFERROR(__xludf.DUMMYFUNCTION("""COMPUTED_VALUE"""),"Daminski")</f>
        <v>Daminski</v>
      </c>
      <c r="B183" s="8" t="str">
        <f>IFERROR(__xludf.DUMMYFUNCTION("""COMPUTED_VALUE"""),"Jeff")</f>
        <v>Jeff</v>
      </c>
      <c r="C183" s="8" t="str">
        <f>IFERROR(__xludf.DUMMYFUNCTION("""COMPUTED_VALUE"""),"West Seneca")</f>
        <v>West Seneca</v>
      </c>
      <c r="D183" s="8" t="str">
        <f>IFERROR(__xludf.DUMMYFUNCTION("""COMPUTED_VALUE"""),"NY")</f>
        <v>NY</v>
      </c>
      <c r="E183" s="8" t="str">
        <f>IFERROR(__xludf.DUMMYFUNCTION("""COMPUTED_VALUE"""),"USA")</f>
        <v>USA</v>
      </c>
      <c r="F183" s="8" t="str">
        <f>IFERROR(__xludf.DUMMYFUNCTION("""COMPUTED_VALUE"""),"Mens Cricket Doubles")</f>
        <v>Mens Cricket Doubles</v>
      </c>
      <c r="G183" s="8" t="str">
        <f>IFERROR(__xludf.DUMMYFUNCTION("""COMPUTED_VALUE"""),"3rd")</f>
        <v>3rd</v>
      </c>
      <c r="H183" s="8" t="str">
        <f>IFERROR(__xludf.DUMMYFUNCTION("""COMPUTED_VALUE"""),"NY Regional 32")</f>
        <v>NY Regional 32</v>
      </c>
      <c r="I183" s="10">
        <f>IFERROR(__xludf.DUMMYFUNCTION("""COMPUTED_VALUE"""),42887.0)</f>
        <v>42887</v>
      </c>
      <c r="J183" s="10">
        <f>IFERROR(__xludf.DUMMYFUNCTION("""COMPUTED_VALUE"""),43983.0)</f>
        <v>43983</v>
      </c>
      <c r="K183" s="1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9" t="str">
        <f>IFERROR(__xludf.DUMMYFUNCTION("""COMPUTED_VALUE"""),"Damore")</f>
        <v>Damore</v>
      </c>
      <c r="B184" s="8" t="str">
        <f>IFERROR(__xludf.DUMMYFUNCTION("""COMPUTED_VALUE"""),"Jim")</f>
        <v>Jim</v>
      </c>
      <c r="C184" s="8" t="str">
        <f>IFERROR(__xludf.DUMMYFUNCTION("""COMPUTED_VALUE"""),"Palatine")</f>
        <v>Palatine</v>
      </c>
      <c r="D184" s="8" t="str">
        <f>IFERROR(__xludf.DUMMYFUNCTION("""COMPUTED_VALUE"""),"IL")</f>
        <v>IL</v>
      </c>
      <c r="E184" s="8" t="str">
        <f>IFERROR(__xludf.DUMMYFUNCTION("""COMPUTED_VALUE"""),"USA")</f>
        <v>USA</v>
      </c>
      <c r="F184" s="8" t="str">
        <f>IFERROR(__xludf.DUMMYFUNCTION("""COMPUTED_VALUE"""),"Pro Doubles")</f>
        <v>Pro Doubles</v>
      </c>
      <c r="G184" s="8" t="str">
        <f>IFERROR(__xludf.DUMMYFUNCTION("""COMPUTED_VALUE"""),"1st")</f>
        <v>1st</v>
      </c>
      <c r="H184" s="8" t="str">
        <f>IFERROR(__xludf.DUMMYFUNCTION("""COMPUTED_VALUE"""),"Known Ability")</f>
        <v>Known Ability</v>
      </c>
      <c r="I184" s="10">
        <f>IFERROR(__xludf.DUMMYFUNCTION("""COMPUTED_VALUE"""),42522.0)</f>
        <v>42522</v>
      </c>
      <c r="J184" s="10">
        <f>IFERROR(__xludf.DUMMYFUNCTION("""COMPUTED_VALUE"""),45809.0)</f>
        <v>45809</v>
      </c>
      <c r="K184" s="11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9" t="str">
        <f>IFERROR(__xludf.DUMMYFUNCTION("""COMPUTED_VALUE"""),"Daniels")</f>
        <v>Daniels</v>
      </c>
      <c r="B185" s="8" t="str">
        <f>IFERROR(__xludf.DUMMYFUNCTION("""COMPUTED_VALUE"""),"George")</f>
        <v>George</v>
      </c>
      <c r="C185" s="8" t="str">
        <f>IFERROR(__xludf.DUMMYFUNCTION("""COMPUTED_VALUE"""),"Cold Spring")</f>
        <v>Cold Spring</v>
      </c>
      <c r="D185" s="8" t="str">
        <f>IFERROR(__xludf.DUMMYFUNCTION("""COMPUTED_VALUE"""),"KY")</f>
        <v>KY</v>
      </c>
      <c r="E185" s="8" t="str">
        <f>IFERROR(__xludf.DUMMYFUNCTION("""COMPUTED_VALUE"""),"USA")</f>
        <v>USA</v>
      </c>
      <c r="F185" s="8" t="str">
        <f>IFERROR(__xludf.DUMMYFUNCTION("""COMPUTED_VALUE"""),"Pro Doubles 501")</f>
        <v>Pro Doubles 501</v>
      </c>
      <c r="G185" s="8" t="str">
        <f>IFERROR(__xludf.DUMMYFUNCTION("""COMPUTED_VALUE"""),"1st")</f>
        <v>1st</v>
      </c>
      <c r="H185" s="8" t="str">
        <f>IFERROR(__xludf.DUMMYFUNCTION("""COMPUTED_VALUE"""),"Indiana BS 34")</f>
        <v>Indiana BS 34</v>
      </c>
      <c r="I185" s="10">
        <f>IFERROR(__xludf.DUMMYFUNCTION("""COMPUTED_VALUE"""),43617.0)</f>
        <v>43617</v>
      </c>
      <c r="J185" s="10">
        <f>IFERROR(__xludf.DUMMYFUNCTION("""COMPUTED_VALUE"""),44713.0)</f>
        <v>44713</v>
      </c>
      <c r="K185" s="11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20.25" customHeight="1">
      <c r="A186" s="9" t="str">
        <f>IFERROR(__xludf.DUMMYFUNCTION("""COMPUTED_VALUE"""),"Davenport")</f>
        <v>Davenport</v>
      </c>
      <c r="B186" s="8" t="str">
        <f>IFERROR(__xludf.DUMMYFUNCTION("""COMPUTED_VALUE"""),"Bobby")</f>
        <v>Bobby</v>
      </c>
      <c r="C186" s="8" t="str">
        <f>IFERROR(__xludf.DUMMYFUNCTION("""COMPUTED_VALUE"""),"Cape Girardeau")</f>
        <v>Cape Girardeau</v>
      </c>
      <c r="D186" s="8" t="str">
        <f>IFERROR(__xludf.DUMMYFUNCTION("""COMPUTED_VALUE"""),"MO")</f>
        <v>MO</v>
      </c>
      <c r="E186" s="8" t="str">
        <f>IFERROR(__xludf.DUMMYFUNCTION("""COMPUTED_VALUE"""),"USA")</f>
        <v>USA</v>
      </c>
      <c r="F186" s="8" t="str">
        <f>IFERROR(__xludf.DUMMYFUNCTION("""COMPUTED_VALUE"""),"Men Doubles Cricket")</f>
        <v>Men Doubles Cricket</v>
      </c>
      <c r="G186" s="8" t="str">
        <f>IFERROR(__xludf.DUMMYFUNCTION("""COMPUTED_VALUE"""),"3rd")</f>
        <v>3rd</v>
      </c>
      <c r="H186" s="8" t="str">
        <f>IFERROR(__xludf.DUMMYFUNCTION("""COMPUTED_VALUE"""),"Tennessee BS 34")</f>
        <v>Tennessee BS 34</v>
      </c>
      <c r="I186" s="10">
        <f>IFERROR(__xludf.DUMMYFUNCTION("""COMPUTED_VALUE"""),43617.0)</f>
        <v>43617</v>
      </c>
      <c r="J186" s="10">
        <f>IFERROR(__xludf.DUMMYFUNCTION("""COMPUTED_VALUE"""),44713.0)</f>
        <v>44713</v>
      </c>
      <c r="K186" s="11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9" t="str">
        <f>IFERROR(__xludf.DUMMYFUNCTION("""COMPUTED_VALUE"""),"Davey")</f>
        <v>Davey</v>
      </c>
      <c r="B187" s="8" t="str">
        <f>IFERROR(__xludf.DUMMYFUNCTION("""COMPUTED_VALUE"""),"Tucker")</f>
        <v>Tucker</v>
      </c>
      <c r="C187" s="8" t="str">
        <f>IFERROR(__xludf.DUMMYFUNCTION("""COMPUTED_VALUE"""),"Ft. Lauderdale")</f>
        <v>Ft. Lauderdale</v>
      </c>
      <c r="D187" s="8" t="str">
        <f>IFERROR(__xludf.DUMMYFUNCTION("""COMPUTED_VALUE"""),"FL")</f>
        <v>FL</v>
      </c>
      <c r="E187" s="8" t="str">
        <f>IFERROR(__xludf.DUMMYFUNCTION("""COMPUTED_VALUE"""),"USA")</f>
        <v>USA</v>
      </c>
      <c r="F187" s="8" t="str">
        <f>IFERROR(__xludf.DUMMYFUNCTION("""COMPUTED_VALUE"""),"Men Singles Cricket")</f>
        <v>Men Singles Cricket</v>
      </c>
      <c r="G187" s="8" t="str">
        <f>IFERROR(__xludf.DUMMYFUNCTION("""COMPUTED_VALUE"""),"1st")</f>
        <v>1st</v>
      </c>
      <c r="H187" s="8" t="str">
        <f>IFERROR(__xludf.DUMMYFUNCTION("""COMPUTED_VALUE"""),"Florida BS 34")</f>
        <v>Florida BS 34</v>
      </c>
      <c r="I187" s="10">
        <f>IFERROR(__xludf.DUMMYFUNCTION("""COMPUTED_VALUE"""),43617.0)</f>
        <v>43617</v>
      </c>
      <c r="J187" s="10">
        <f>IFERROR(__xludf.DUMMYFUNCTION("""COMPUTED_VALUE"""),44713.0)</f>
        <v>44713</v>
      </c>
      <c r="K187" s="11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9" t="str">
        <f>IFERROR(__xludf.DUMMYFUNCTION("""COMPUTED_VALUE"""),"Davies Jr")</f>
        <v>Davies Jr</v>
      </c>
      <c r="B188" s="8" t="str">
        <f>IFERROR(__xludf.DUMMYFUNCTION("""COMPUTED_VALUE"""),"Richard")</f>
        <v>Richard</v>
      </c>
      <c r="C188" s="8" t="str">
        <f>IFERROR(__xludf.DUMMYFUNCTION("""COMPUTED_VALUE"""),"Deatsville")</f>
        <v>Deatsville</v>
      </c>
      <c r="D188" s="8" t="str">
        <f>IFERROR(__xludf.DUMMYFUNCTION("""COMPUTED_VALUE"""),"AL")</f>
        <v>AL</v>
      </c>
      <c r="E188" s="8" t="str">
        <f>IFERROR(__xludf.DUMMYFUNCTION("""COMPUTED_VALUE"""),"USA")</f>
        <v>USA</v>
      </c>
      <c r="F188" s="8" t="str">
        <f>IFERROR(__xludf.DUMMYFUNCTION("""COMPUTED_VALUE"""),"Mens Doubles")</f>
        <v>Mens Doubles</v>
      </c>
      <c r="G188" s="8" t="str">
        <f>IFERROR(__xludf.DUMMYFUNCTION("""COMPUTED_VALUE"""),"3rd")</f>
        <v>3rd</v>
      </c>
      <c r="H188" s="8" t="str">
        <f>IFERROR(__xludf.DUMMYFUNCTION("""COMPUTED_VALUE"""),"GA Regional 32")</f>
        <v>GA Regional 32</v>
      </c>
      <c r="I188" s="10">
        <f>IFERROR(__xludf.DUMMYFUNCTION("""COMPUTED_VALUE"""),42887.0)</f>
        <v>42887</v>
      </c>
      <c r="J188" s="10">
        <f>IFERROR(__xludf.DUMMYFUNCTION("""COMPUTED_VALUE"""),43983.0)</f>
        <v>43983</v>
      </c>
      <c r="K188" s="11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9" t="str">
        <f>IFERROR(__xludf.DUMMYFUNCTION("""COMPUTED_VALUE"""),"Davis")</f>
        <v>Davis</v>
      </c>
      <c r="B189" s="8" t="str">
        <f>IFERROR(__xludf.DUMMYFUNCTION("""COMPUTED_VALUE"""),"Brett")</f>
        <v>Brett</v>
      </c>
      <c r="C189" s="8" t="str">
        <f>IFERROR(__xludf.DUMMYFUNCTION("""COMPUTED_VALUE"""),"Parrish")</f>
        <v>Parrish</v>
      </c>
      <c r="D189" s="8" t="str">
        <f>IFERROR(__xludf.DUMMYFUNCTION("""COMPUTED_VALUE"""),"FL")</f>
        <v>FL</v>
      </c>
      <c r="E189" s="8" t="str">
        <f>IFERROR(__xludf.DUMMYFUNCTION("""COMPUTED_VALUE"""),"USA")</f>
        <v>USA</v>
      </c>
      <c r="F189" s="8" t="str">
        <f>IFERROR(__xludf.DUMMYFUNCTION("""COMPUTED_VALUE"""),"Mixed Cricket")</f>
        <v>Mixed Cricket</v>
      </c>
      <c r="G189" s="8" t="str">
        <f>IFERROR(__xludf.DUMMYFUNCTION("""COMPUTED_VALUE"""),"3rd")</f>
        <v>3rd</v>
      </c>
      <c r="H189" s="8" t="str">
        <f>IFERROR(__xludf.DUMMYFUNCTION("""COMPUTED_VALUE"""),"BS 33 Finals")</f>
        <v>BS 33 Finals</v>
      </c>
      <c r="I189" s="10">
        <f>IFERROR(__xludf.DUMMYFUNCTION("""COMPUTED_VALUE"""),43252.0)</f>
        <v>43252</v>
      </c>
      <c r="J189" s="10">
        <f>IFERROR(__xludf.DUMMYFUNCTION("""COMPUTED_VALUE"""),44348.0)</f>
        <v>44348</v>
      </c>
      <c r="K189" s="11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9" t="str">
        <f>IFERROR(__xludf.DUMMYFUNCTION("""COMPUTED_VALUE"""),"Davis")</f>
        <v>Davis</v>
      </c>
      <c r="B190" s="8" t="str">
        <f>IFERROR(__xludf.DUMMYFUNCTION("""COMPUTED_VALUE"""),"Desmond")</f>
        <v>Desmond</v>
      </c>
      <c r="C190" s="8" t="str">
        <f>IFERROR(__xludf.DUMMYFUNCTION("""COMPUTED_VALUE"""),"Valrico")</f>
        <v>Valrico</v>
      </c>
      <c r="D190" s="8" t="str">
        <f>IFERROR(__xludf.DUMMYFUNCTION("""COMPUTED_VALUE"""),"FL")</f>
        <v>FL</v>
      </c>
      <c r="E190" s="8" t="str">
        <f>IFERROR(__xludf.DUMMYFUNCTION("""COMPUTED_VALUE"""),"USA")</f>
        <v>USA</v>
      </c>
      <c r="F190" s="8" t="str">
        <f>IFERROR(__xludf.DUMMYFUNCTION("""COMPUTED_VALUE"""),"Mens Cricket Doubles")</f>
        <v>Mens Cricket Doubles</v>
      </c>
      <c r="G190" s="8" t="str">
        <f>IFERROR(__xludf.DUMMYFUNCTION("""COMPUTED_VALUE"""),"2nd")</f>
        <v>2nd</v>
      </c>
      <c r="H190" s="8" t="str">
        <f>IFERROR(__xludf.DUMMYFUNCTION("""COMPUTED_VALUE"""),"FL Regional 33")</f>
        <v>FL Regional 33</v>
      </c>
      <c r="I190" s="10">
        <f>IFERROR(__xludf.DUMMYFUNCTION("""COMPUTED_VALUE"""),43252.0)</f>
        <v>43252</v>
      </c>
      <c r="J190" s="10">
        <f>IFERROR(__xludf.DUMMYFUNCTION("""COMPUTED_VALUE"""),44348.0)</f>
        <v>44348</v>
      </c>
      <c r="K190" s="1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9" t="str">
        <f>IFERROR(__xludf.DUMMYFUNCTION("""COMPUTED_VALUE"""),"Davis")</f>
        <v>Davis</v>
      </c>
      <c r="B191" s="8" t="str">
        <f>IFERROR(__xludf.DUMMYFUNCTION("""COMPUTED_VALUE"""),"JT")</f>
        <v>JT</v>
      </c>
      <c r="C191" s="8" t="str">
        <f>IFERROR(__xludf.DUMMYFUNCTION("""COMPUTED_VALUE"""),"Springfield")</f>
        <v>Springfield</v>
      </c>
      <c r="D191" s="8" t="str">
        <f>IFERROR(__xludf.DUMMYFUNCTION("""COMPUTED_VALUE"""),"OH")</f>
        <v>OH</v>
      </c>
      <c r="E191" s="8" t="str">
        <f>IFERROR(__xludf.DUMMYFUNCTION("""COMPUTED_VALUE"""),"USA")</f>
        <v>USA</v>
      </c>
      <c r="F191" s="8" t="str">
        <f>IFERROR(__xludf.DUMMYFUNCTION("""COMPUTED_VALUE"""),"Men Doubles 501")</f>
        <v>Men Doubles 501</v>
      </c>
      <c r="G191" s="8" t="str">
        <f>IFERROR(__xludf.DUMMYFUNCTION("""COMPUTED_VALUE"""),"3rd")</f>
        <v>3rd</v>
      </c>
      <c r="H191" s="8" t="str">
        <f>IFERROR(__xludf.DUMMYFUNCTION("""COMPUTED_VALUE"""),"Florida BS 34")</f>
        <v>Florida BS 34</v>
      </c>
      <c r="I191" s="10">
        <f>IFERROR(__xludf.DUMMYFUNCTION("""COMPUTED_VALUE"""),43617.0)</f>
        <v>43617</v>
      </c>
      <c r="J191" s="10">
        <f>IFERROR(__xludf.DUMMYFUNCTION("""COMPUTED_VALUE"""),44713.0)</f>
        <v>44713</v>
      </c>
      <c r="K191" s="1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9" t="str">
        <f>IFERROR(__xludf.DUMMYFUNCTION("""COMPUTED_VALUE"""),"Davis")</f>
        <v>Davis</v>
      </c>
      <c r="B192" s="8" t="str">
        <f>IFERROR(__xludf.DUMMYFUNCTION("""COMPUTED_VALUE"""),"Kody")</f>
        <v>Kody</v>
      </c>
      <c r="C192" s="8" t="str">
        <f>IFERROR(__xludf.DUMMYFUNCTION("""COMPUTED_VALUE"""),"Von Ormy")</f>
        <v>Von Ormy</v>
      </c>
      <c r="D192" s="8" t="str">
        <f>IFERROR(__xludf.DUMMYFUNCTION("""COMPUTED_VALUE"""),"TX")</f>
        <v>TX</v>
      </c>
      <c r="E192" s="8" t="str">
        <f>IFERROR(__xludf.DUMMYFUNCTION("""COMPUTED_VALUE"""),"USA")</f>
        <v>USA</v>
      </c>
      <c r="F192" s="8" t="str">
        <f>IFERROR(__xludf.DUMMYFUNCTION("""COMPUTED_VALUE"""),"Mens Doubles")</f>
        <v>Mens Doubles</v>
      </c>
      <c r="G192" s="8" t="str">
        <f>IFERROR(__xludf.DUMMYFUNCTION("""COMPUTED_VALUE"""),"1st")</f>
        <v>1st</v>
      </c>
      <c r="H192" s="8" t="str">
        <f>IFERROR(__xludf.DUMMYFUNCTION("""COMPUTED_VALUE"""),"TX Regional 32")</f>
        <v>TX Regional 32</v>
      </c>
      <c r="I192" s="10">
        <f>IFERROR(__xludf.DUMMYFUNCTION("""COMPUTED_VALUE"""),42887.0)</f>
        <v>42887</v>
      </c>
      <c r="J192" s="10">
        <f>IFERROR(__xludf.DUMMYFUNCTION("""COMPUTED_VALUE"""),43983.0)</f>
        <v>43983</v>
      </c>
      <c r="K192" s="11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9" t="str">
        <f>IFERROR(__xludf.DUMMYFUNCTION("""COMPUTED_VALUE"""),"Davis")</f>
        <v>Davis</v>
      </c>
      <c r="B193" s="8" t="str">
        <f>IFERROR(__xludf.DUMMYFUNCTION("""COMPUTED_VALUE"""),"Michael")</f>
        <v>Michael</v>
      </c>
      <c r="C193" s="8" t="str">
        <f>IFERROR(__xludf.DUMMYFUNCTION("""COMPUTED_VALUE"""),"Littlestown")</f>
        <v>Littlestown</v>
      </c>
      <c r="D193" s="8" t="str">
        <f>IFERROR(__xludf.DUMMYFUNCTION("""COMPUTED_VALUE"""),"PA")</f>
        <v>PA</v>
      </c>
      <c r="E193" s="8" t="str">
        <f>IFERROR(__xludf.DUMMYFUNCTION("""COMPUTED_VALUE"""),"USA")</f>
        <v>USA</v>
      </c>
      <c r="F193" s="8" t="str">
        <f>IFERROR(__xludf.DUMMYFUNCTION("""COMPUTED_VALUE"""),"Pro Singles")</f>
        <v>Pro Singles</v>
      </c>
      <c r="G193" s="8" t="str">
        <f>IFERROR(__xludf.DUMMYFUNCTION("""COMPUTED_VALUE"""),"2nd")</f>
        <v>2nd</v>
      </c>
      <c r="H193" s="8" t="str">
        <f>IFERROR(__xludf.DUMMYFUNCTION("""COMPUTED_VALUE"""),"PA Regional 33")</f>
        <v>PA Regional 33</v>
      </c>
      <c r="I193" s="10">
        <f>IFERROR(__xludf.DUMMYFUNCTION("""COMPUTED_VALUE"""),42156.0)</f>
        <v>42156</v>
      </c>
      <c r="J193" s="10">
        <f>IFERROR(__xludf.DUMMYFUNCTION("""COMPUTED_VALUE"""),44348.0)</f>
        <v>44348</v>
      </c>
      <c r="K193" s="11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9" t="str">
        <f>IFERROR(__xludf.DUMMYFUNCTION("""COMPUTED_VALUE"""),"de Breede")</f>
        <v>de Breede</v>
      </c>
      <c r="B194" s="8" t="str">
        <f>IFERROR(__xludf.DUMMYFUNCTION("""COMPUTED_VALUE"""),"Ryan")</f>
        <v>Ryan</v>
      </c>
      <c r="C194" s="8" t="str">
        <f>IFERROR(__xludf.DUMMYFUNCTION("""COMPUTED_VALUE"""),"")</f>
        <v/>
      </c>
      <c r="D194" s="8" t="str">
        <f>IFERROR(__xludf.DUMMYFUNCTION("""COMPUTED_VALUE"""),"UNK")</f>
        <v>UNK</v>
      </c>
      <c r="E194" s="8" t="str">
        <f>IFERROR(__xludf.DUMMYFUNCTION("""COMPUTED_VALUE"""),"Netherlands")</f>
        <v>Netherlands</v>
      </c>
      <c r="F194" s="8" t="str">
        <f>IFERROR(__xludf.DUMMYFUNCTION("""COMPUTED_VALUE"""),"PDC Merit Ranking")</f>
        <v>PDC Merit Ranking</v>
      </c>
      <c r="G194" s="8" t="str">
        <f>IFERROR(__xludf.DUMMYFUNCTION("""COMPUTED_VALUE"""),"79th")</f>
        <v>79th</v>
      </c>
      <c r="H194" s="8" t="str">
        <f>IFERROR(__xludf.DUMMYFUNCTION("""COMPUTED_VALUE"""),"PDC Merit Ranking")</f>
        <v>PDC Merit Ranking</v>
      </c>
      <c r="I194" s="10">
        <f>IFERROR(__xludf.DUMMYFUNCTION("""COMPUTED_VALUE"""),42401.0)</f>
        <v>42401</v>
      </c>
      <c r="J194" s="10">
        <f>IFERROR(__xludf.DUMMYFUNCTION("""COMPUTED_VALUE"""),44713.0)</f>
        <v>44713</v>
      </c>
      <c r="K194" s="11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9" t="str">
        <f>IFERROR(__xludf.DUMMYFUNCTION("""COMPUTED_VALUE"""),"De Graaf")</f>
        <v>De Graaf</v>
      </c>
      <c r="B195" s="8" t="str">
        <f>IFERROR(__xludf.DUMMYFUNCTION("""COMPUTED_VALUE"""),"Jeffrey")</f>
        <v>Jeffrey</v>
      </c>
      <c r="C195" s="8" t="str">
        <f>IFERROR(__xludf.DUMMYFUNCTION("""COMPUTED_VALUE"""),"")</f>
        <v/>
      </c>
      <c r="D195" s="8" t="str">
        <f>IFERROR(__xludf.DUMMYFUNCTION("""COMPUTED_VALUE"""),"UNK")</f>
        <v>UNK</v>
      </c>
      <c r="E195" s="8" t="str">
        <f>IFERROR(__xludf.DUMMYFUNCTION("""COMPUTED_VALUE"""),"Netherlands")</f>
        <v>Netherlands</v>
      </c>
      <c r="F195" s="8" t="str">
        <f>IFERROR(__xludf.DUMMYFUNCTION("""COMPUTED_VALUE"""),"PDC Merit Ranking")</f>
        <v>PDC Merit Ranking</v>
      </c>
      <c r="G195" s="8" t="str">
        <f>IFERROR(__xludf.DUMMYFUNCTION("""COMPUTED_VALUE"""),"77th")</f>
        <v>77th</v>
      </c>
      <c r="H195" s="8" t="str">
        <f>IFERROR(__xludf.DUMMYFUNCTION("""COMPUTED_VALUE"""),"PDC Merit Ranking")</f>
        <v>PDC Merit Ranking</v>
      </c>
      <c r="I195" s="10">
        <f>IFERROR(__xludf.DUMMYFUNCTION("""COMPUTED_VALUE"""),42401.0)</f>
        <v>42401</v>
      </c>
      <c r="J195" s="10">
        <f>IFERROR(__xludf.DUMMYFUNCTION("""COMPUTED_VALUE"""),44713.0)</f>
        <v>44713</v>
      </c>
      <c r="K195" s="11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9" t="str">
        <f>IFERROR(__xludf.DUMMYFUNCTION("""COMPUTED_VALUE"""),"de Vos")</f>
        <v>de Vos</v>
      </c>
      <c r="B196" s="8" t="str">
        <f>IFERROR(__xludf.DUMMYFUNCTION("""COMPUTED_VALUE"""),"Geert")</f>
        <v>Geert</v>
      </c>
      <c r="C196" s="8" t="str">
        <f>IFERROR(__xludf.DUMMYFUNCTION("""COMPUTED_VALUE"""),"")</f>
        <v/>
      </c>
      <c r="D196" s="8" t="str">
        <f>IFERROR(__xludf.DUMMYFUNCTION("""COMPUTED_VALUE"""),"UNK")</f>
        <v>UNK</v>
      </c>
      <c r="E196" s="8" t="str">
        <f>IFERROR(__xludf.DUMMYFUNCTION("""COMPUTED_VALUE"""),"Belgium")</f>
        <v>Belgium</v>
      </c>
      <c r="F196" s="8" t="str">
        <f>IFERROR(__xludf.DUMMYFUNCTION("""COMPUTED_VALUE"""),"PDC Merit Ranking")</f>
        <v>PDC Merit Ranking</v>
      </c>
      <c r="G196" s="8" t="str">
        <f>IFERROR(__xludf.DUMMYFUNCTION("""COMPUTED_VALUE"""),"73rd")</f>
        <v>73rd</v>
      </c>
      <c r="H196" s="8" t="str">
        <f>IFERROR(__xludf.DUMMYFUNCTION("""COMPUTED_VALUE"""),"PDC Merit Ranking")</f>
        <v>PDC Merit Ranking</v>
      </c>
      <c r="I196" s="10">
        <f>IFERROR(__xludf.DUMMYFUNCTION("""COMPUTED_VALUE"""),42401.0)</f>
        <v>42401</v>
      </c>
      <c r="J196" s="10">
        <f>IFERROR(__xludf.DUMMYFUNCTION("""COMPUTED_VALUE"""),44713.0)</f>
        <v>44713</v>
      </c>
      <c r="K196" s="11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9" t="str">
        <f>IFERROR(__xludf.DUMMYFUNCTION("""COMPUTED_VALUE"""),"de Zwaan")</f>
        <v>de Zwaan</v>
      </c>
      <c r="B197" s="8" t="str">
        <f>IFERROR(__xludf.DUMMYFUNCTION("""COMPUTED_VALUE"""),"Jeffrey")</f>
        <v>Jeffrey</v>
      </c>
      <c r="C197" s="8" t="str">
        <f>IFERROR(__xludf.DUMMYFUNCTION("""COMPUTED_VALUE"""),"")</f>
        <v/>
      </c>
      <c r="D197" s="8" t="str">
        <f>IFERROR(__xludf.DUMMYFUNCTION("""COMPUTED_VALUE"""),"UNK")</f>
        <v>UNK</v>
      </c>
      <c r="E197" s="8" t="str">
        <f>IFERROR(__xludf.DUMMYFUNCTION("""COMPUTED_VALUE"""),"UNK")</f>
        <v>UNK</v>
      </c>
      <c r="F197" s="8" t="str">
        <f>IFERROR(__xludf.DUMMYFUNCTION("""COMPUTED_VALUE"""),"PDC Merit Ranking")</f>
        <v>PDC Merit Ranking</v>
      </c>
      <c r="G197" s="8" t="str">
        <f>IFERROR(__xludf.DUMMYFUNCTION("""COMPUTED_VALUE"""),"68th")</f>
        <v>68th</v>
      </c>
      <c r="H197" s="8" t="str">
        <f>IFERROR(__xludf.DUMMYFUNCTION("""COMPUTED_VALUE"""),"PDC Merit Ranking")</f>
        <v>PDC Merit Ranking</v>
      </c>
      <c r="I197" s="10">
        <f>IFERROR(__xludf.DUMMYFUNCTION("""COMPUTED_VALUE"""),42401.0)</f>
        <v>42401</v>
      </c>
      <c r="J197" s="10">
        <f>IFERROR(__xludf.DUMMYFUNCTION("""COMPUTED_VALUE"""),44713.0)</f>
        <v>44713</v>
      </c>
      <c r="K197" s="11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9" t="str">
        <f>IFERROR(__xludf.DUMMYFUNCTION("""COMPUTED_VALUE"""),"Deicher")</f>
        <v>Deicher</v>
      </c>
      <c r="B198" s="8" t="str">
        <f>IFERROR(__xludf.DUMMYFUNCTION("""COMPUTED_VALUE"""),"Steve")</f>
        <v>Steve</v>
      </c>
      <c r="C198" s="8" t="str">
        <f>IFERROR(__xludf.DUMMYFUNCTION("""COMPUTED_VALUE"""),"Green Bay")</f>
        <v>Green Bay</v>
      </c>
      <c r="D198" s="8" t="str">
        <f>IFERROR(__xludf.DUMMYFUNCTION("""COMPUTED_VALUE"""),"WI")</f>
        <v>WI</v>
      </c>
      <c r="E198" s="8" t="str">
        <f>IFERROR(__xludf.DUMMYFUNCTION("""COMPUTED_VALUE"""),"USA")</f>
        <v>USA</v>
      </c>
      <c r="F198" s="8" t="str">
        <f>IFERROR(__xludf.DUMMYFUNCTION("""COMPUTED_VALUE"""),"Pro Doubles")</f>
        <v>Pro Doubles</v>
      </c>
      <c r="G198" s="8" t="str">
        <f>IFERROR(__xludf.DUMMYFUNCTION("""COMPUTED_VALUE"""),"2nd")</f>
        <v>2nd</v>
      </c>
      <c r="H198" s="8" t="str">
        <f>IFERROR(__xludf.DUMMYFUNCTION("""COMPUTED_VALUE"""),"BullShooter 31")</f>
        <v>BullShooter 31</v>
      </c>
      <c r="I198" s="10">
        <f>IFERROR(__xludf.DUMMYFUNCTION("""COMPUTED_VALUE"""),42522.0)</f>
        <v>42522</v>
      </c>
      <c r="J198" s="10">
        <f>IFERROR(__xludf.DUMMYFUNCTION("""COMPUTED_VALUE"""),44713.0)</f>
        <v>44713</v>
      </c>
      <c r="K198" s="1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9" t="str">
        <f>IFERROR(__xludf.DUMMYFUNCTION("""COMPUTED_VALUE"""),"Dekker")</f>
        <v>Dekker</v>
      </c>
      <c r="B199" s="8" t="str">
        <f>IFERROR(__xludf.DUMMYFUNCTION("""COMPUTED_VALUE"""),"Cor")</f>
        <v>Cor</v>
      </c>
      <c r="C199" s="8" t="str">
        <f>IFERROR(__xludf.DUMMYFUNCTION("""COMPUTED_VALUE"""),"")</f>
        <v/>
      </c>
      <c r="D199" s="8" t="str">
        <f>IFERROR(__xludf.DUMMYFUNCTION("""COMPUTED_VALUE"""),"UNK")</f>
        <v>UNK</v>
      </c>
      <c r="E199" s="8" t="str">
        <f>IFERROR(__xludf.DUMMYFUNCTION("""COMPUTED_VALUE"""),"Norway")</f>
        <v>Norway</v>
      </c>
      <c r="F199" s="8" t="str">
        <f>IFERROR(__xludf.DUMMYFUNCTION("""COMPUTED_VALUE"""),"Top Gun Pro/AA Triples")</f>
        <v>Top Gun Pro/AA Triples</v>
      </c>
      <c r="G199" s="8" t="str">
        <f>IFERROR(__xludf.DUMMYFUNCTION("""COMPUTED_VALUE"""),"4th")</f>
        <v>4th</v>
      </c>
      <c r="H199" s="8" t="str">
        <f>IFERROR(__xludf.DUMMYFUNCTION("""COMPUTED_VALUE"""),"Off AA List")</f>
        <v>Off AA List</v>
      </c>
      <c r="I199" s="10">
        <f>IFERROR(__xludf.DUMMYFUNCTION("""COMPUTED_VALUE"""),42887.0)</f>
        <v>42887</v>
      </c>
      <c r="J199" s="10">
        <f>IFERROR(__xludf.DUMMYFUNCTION("""COMPUTED_VALUE"""),43983.0)</f>
        <v>43983</v>
      </c>
      <c r="K199" s="1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9" t="str">
        <f>IFERROR(__xludf.DUMMYFUNCTION("""COMPUTED_VALUE"""),"Delacruz")</f>
        <v>Delacruz</v>
      </c>
      <c r="B200" s="8" t="str">
        <f>IFERROR(__xludf.DUMMYFUNCTION("""COMPUTED_VALUE"""),"Reu")</f>
        <v>Reu</v>
      </c>
      <c r="C200" s="8" t="str">
        <f>IFERROR(__xludf.DUMMYFUNCTION("""COMPUTED_VALUE"""),"")</f>
        <v/>
      </c>
      <c r="D200" s="8" t="str">
        <f>IFERROR(__xludf.DUMMYFUNCTION("""COMPUTED_VALUE"""),"CA")</f>
        <v>CA</v>
      </c>
      <c r="E200" s="8" t="str">
        <f>IFERROR(__xludf.DUMMYFUNCTION("""COMPUTED_VALUE"""),"USA")</f>
        <v>USA</v>
      </c>
      <c r="F200" s="8" t="str">
        <f>IFERROR(__xludf.DUMMYFUNCTION("""COMPUTED_VALUE"""),"Mens Singles")</f>
        <v>Mens Singles</v>
      </c>
      <c r="G200" s="8" t="str">
        <f>IFERROR(__xludf.DUMMYFUNCTION("""COMPUTED_VALUE"""),"2nd")</f>
        <v>2nd</v>
      </c>
      <c r="H200" s="8" t="str">
        <f>IFERROR(__xludf.DUMMYFUNCTION("""COMPUTED_VALUE"""),"CA Regional 33")</f>
        <v>CA Regional 33</v>
      </c>
      <c r="I200" s="10">
        <f>IFERROR(__xludf.DUMMYFUNCTION("""COMPUTED_VALUE"""),43252.0)</f>
        <v>43252</v>
      </c>
      <c r="J200" s="10">
        <f>IFERROR(__xludf.DUMMYFUNCTION("""COMPUTED_VALUE"""),44348.0)</f>
        <v>44348</v>
      </c>
      <c r="K200" s="1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9" t="str">
        <f>IFERROR(__xludf.DUMMYFUNCTION("""COMPUTED_VALUE"""),"Dellarocca")</f>
        <v>Dellarocca</v>
      </c>
      <c r="B201" s="8" t="str">
        <f>IFERROR(__xludf.DUMMYFUNCTION("""COMPUTED_VALUE"""),"William")</f>
        <v>William</v>
      </c>
      <c r="C201" s="8" t="str">
        <f>IFERROR(__xludf.DUMMYFUNCTION("""COMPUTED_VALUE"""),"")</f>
        <v/>
      </c>
      <c r="D201" s="8" t="str">
        <f>IFERROR(__xludf.DUMMYFUNCTION("""COMPUTED_VALUE"""),"UNK")</f>
        <v>UNK</v>
      </c>
      <c r="E201" s="8" t="str">
        <f>IFERROR(__xludf.DUMMYFUNCTION("""COMPUTED_VALUE"""),"USA")</f>
        <v>USA</v>
      </c>
      <c r="F201" s="8" t="str">
        <f>IFERROR(__xludf.DUMMYFUNCTION("""COMPUTED_VALUE"""),"ADO 2018")</f>
        <v>ADO 2018</v>
      </c>
      <c r="G201" s="8" t="str">
        <f>IFERROR(__xludf.DUMMYFUNCTION("""COMPUTED_VALUE"""),"41st")</f>
        <v>41st</v>
      </c>
      <c r="H201" s="8" t="str">
        <f>IFERROR(__xludf.DUMMYFUNCTION("""COMPUTED_VALUE"""),"ADO 2018")</f>
        <v>ADO 2018</v>
      </c>
      <c r="I201" s="10">
        <f>IFERROR(__xludf.DUMMYFUNCTION("""COMPUTED_VALUE"""),43344.0)</f>
        <v>43344</v>
      </c>
      <c r="J201" s="10">
        <f>IFERROR(__xludf.DUMMYFUNCTION("""COMPUTED_VALUE"""),44348.0)</f>
        <v>44348</v>
      </c>
      <c r="K201" s="1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9" t="str">
        <f>IFERROR(__xludf.DUMMYFUNCTION("""COMPUTED_VALUE"""),"Delp")</f>
        <v>Delp</v>
      </c>
      <c r="B202" s="8" t="str">
        <f>IFERROR(__xludf.DUMMYFUNCTION("""COMPUTED_VALUE"""),"David")</f>
        <v>David</v>
      </c>
      <c r="C202" s="8" t="str">
        <f>IFERROR(__xludf.DUMMYFUNCTION("""COMPUTED_VALUE"""),"Roanoake")</f>
        <v>Roanoake</v>
      </c>
      <c r="D202" s="8" t="str">
        <f>IFERROR(__xludf.DUMMYFUNCTION("""COMPUTED_VALUE"""),"VA")</f>
        <v>VA</v>
      </c>
      <c r="E202" s="8" t="str">
        <f>IFERROR(__xludf.DUMMYFUNCTION("""COMPUTED_VALUE"""),"USA")</f>
        <v>USA</v>
      </c>
      <c r="F202" s="8" t="str">
        <f>IFERROR(__xludf.DUMMYFUNCTION("""COMPUTED_VALUE"""),"Pro Doubles 501")</f>
        <v>Pro Doubles 501</v>
      </c>
      <c r="G202" s="8" t="str">
        <f>IFERROR(__xludf.DUMMYFUNCTION("""COMPUTED_VALUE"""),"3rd")</f>
        <v>3rd</v>
      </c>
      <c r="H202" s="8" t="str">
        <f>IFERROR(__xludf.DUMMYFUNCTION("""COMPUTED_VALUE"""),"South Carolina BS 34")</f>
        <v>South Carolina BS 34</v>
      </c>
      <c r="I202" s="10">
        <f>IFERROR(__xludf.DUMMYFUNCTION("""COMPUTED_VALUE"""),43617.0)</f>
        <v>43617</v>
      </c>
      <c r="J202" s="10">
        <f>IFERROR(__xludf.DUMMYFUNCTION("""COMPUTED_VALUE"""),44713.0)</f>
        <v>44713</v>
      </c>
      <c r="K202" s="1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9" t="str">
        <f>IFERROR(__xludf.DUMMYFUNCTION("""COMPUTED_VALUE"""),"Dement")</f>
        <v>Dement</v>
      </c>
      <c r="B203" s="8" t="str">
        <f>IFERROR(__xludf.DUMMYFUNCTION("""COMPUTED_VALUE"""),"Rich")</f>
        <v>Rich</v>
      </c>
      <c r="C203" s="8" t="str">
        <f>IFERROR(__xludf.DUMMYFUNCTION("""COMPUTED_VALUE"""),"Janesville")</f>
        <v>Janesville</v>
      </c>
      <c r="D203" s="8" t="str">
        <f>IFERROR(__xludf.DUMMYFUNCTION("""COMPUTED_VALUE"""),"WI")</f>
        <v>WI</v>
      </c>
      <c r="E203" s="8" t="str">
        <f>IFERROR(__xludf.DUMMYFUNCTION("""COMPUTED_VALUE"""),"USA")</f>
        <v>USA</v>
      </c>
      <c r="F203" s="8" t="str">
        <f>IFERROR(__xludf.DUMMYFUNCTION("""COMPUTED_VALUE"""),"Pro Mens Doubles")</f>
        <v>Pro Mens Doubles</v>
      </c>
      <c r="G203" s="8" t="str">
        <f>IFERROR(__xludf.DUMMYFUNCTION("""COMPUTED_VALUE"""),"Off AA list")</f>
        <v>Off AA list</v>
      </c>
      <c r="H203" s="8" t="str">
        <f>IFERROR(__xludf.DUMMYFUNCTION("""COMPUTED_VALUE"""),"Known Ability")</f>
        <v>Known Ability</v>
      </c>
      <c r="I203" s="10">
        <f>IFERROR(__xludf.DUMMYFUNCTION("""COMPUTED_VALUE"""),36892.0)</f>
        <v>36892</v>
      </c>
      <c r="J203" s="10">
        <f>IFERROR(__xludf.DUMMYFUNCTION("""COMPUTED_VALUE"""),45809.0)</f>
        <v>45809</v>
      </c>
      <c r="K203" s="1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9" t="str">
        <f>IFERROR(__xludf.DUMMYFUNCTION("""COMPUTED_VALUE"""),"Dennard")</f>
        <v>Dennard</v>
      </c>
      <c r="B204" s="8" t="str">
        <f>IFERROR(__xludf.DUMMYFUNCTION("""COMPUTED_VALUE"""),"Chandler")</f>
        <v>Chandler</v>
      </c>
      <c r="C204" s="8" t="str">
        <f>IFERROR(__xludf.DUMMYFUNCTION("""COMPUTED_VALUE"""),"Macon")</f>
        <v>Macon</v>
      </c>
      <c r="D204" s="8" t="str">
        <f>IFERROR(__xludf.DUMMYFUNCTION("""COMPUTED_VALUE"""),"GA")</f>
        <v>GA</v>
      </c>
      <c r="E204" s="8" t="str">
        <f>IFERROR(__xludf.DUMMYFUNCTION("""COMPUTED_VALUE"""),"USA")</f>
        <v>USA</v>
      </c>
      <c r="F204" s="8" t="str">
        <f>IFERROR(__xludf.DUMMYFUNCTION("""COMPUTED_VALUE"""),"Mens Doubles")</f>
        <v>Mens Doubles</v>
      </c>
      <c r="G204" s="8" t="str">
        <f>IFERROR(__xludf.DUMMYFUNCTION("""COMPUTED_VALUE"""),"2nd")</f>
        <v>2nd</v>
      </c>
      <c r="H204" s="8" t="str">
        <f>IFERROR(__xludf.DUMMYFUNCTION("""COMPUTED_VALUE"""),"GA Regional 32")</f>
        <v>GA Regional 32</v>
      </c>
      <c r="I204" s="10">
        <f>IFERROR(__xludf.DUMMYFUNCTION("""COMPUTED_VALUE"""),42887.0)</f>
        <v>42887</v>
      </c>
      <c r="J204" s="10">
        <f>IFERROR(__xludf.DUMMYFUNCTION("""COMPUTED_VALUE"""),43983.0)</f>
        <v>43983</v>
      </c>
      <c r="K204" s="1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9" t="str">
        <f>IFERROR(__xludf.DUMMYFUNCTION("""COMPUTED_VALUE"""),"Dennard")</f>
        <v>Dennard</v>
      </c>
      <c r="B205" s="8" t="str">
        <f>IFERROR(__xludf.DUMMYFUNCTION("""COMPUTED_VALUE"""),"Scott")</f>
        <v>Scott</v>
      </c>
      <c r="C205" s="8" t="str">
        <f>IFERROR(__xludf.DUMMYFUNCTION("""COMPUTED_VALUE"""),"Macon")</f>
        <v>Macon</v>
      </c>
      <c r="D205" s="8" t="str">
        <f>IFERROR(__xludf.DUMMYFUNCTION("""COMPUTED_VALUE"""),"GA")</f>
        <v>GA</v>
      </c>
      <c r="E205" s="8" t="str">
        <f>IFERROR(__xludf.DUMMYFUNCTION("""COMPUTED_VALUE"""),"USA")</f>
        <v>USA</v>
      </c>
      <c r="F205" s="8" t="str">
        <f>IFERROR(__xludf.DUMMYFUNCTION("""COMPUTED_VALUE"""),"Mens Cricket Doubles")</f>
        <v>Mens Cricket Doubles</v>
      </c>
      <c r="G205" s="8" t="str">
        <f>IFERROR(__xludf.DUMMYFUNCTION("""COMPUTED_VALUE"""),"1st")</f>
        <v>1st</v>
      </c>
      <c r="H205" s="8" t="str">
        <f>IFERROR(__xludf.DUMMYFUNCTION("""COMPUTED_VALUE"""),"GA Regional 32")</f>
        <v>GA Regional 32</v>
      </c>
      <c r="I205" s="10">
        <f>IFERROR(__xludf.DUMMYFUNCTION("""COMPUTED_VALUE"""),42887.0)</f>
        <v>42887</v>
      </c>
      <c r="J205" s="10">
        <f>IFERROR(__xludf.DUMMYFUNCTION("""COMPUTED_VALUE"""),43983.0)</f>
        <v>43983</v>
      </c>
      <c r="K205" s="11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9" t="str">
        <f>IFERROR(__xludf.DUMMYFUNCTION("""COMPUTED_VALUE"""),"Dennis")</f>
        <v>Dennis</v>
      </c>
      <c r="B206" s="8" t="str">
        <f>IFERROR(__xludf.DUMMYFUNCTION("""COMPUTED_VALUE"""),"Brian")</f>
        <v>Brian</v>
      </c>
      <c r="C206" s="8" t="str">
        <f>IFERROR(__xludf.DUMMYFUNCTION("""COMPUTED_VALUE"""),"St. Cloud")</f>
        <v>St. Cloud</v>
      </c>
      <c r="D206" s="8" t="str">
        <f>IFERROR(__xludf.DUMMYFUNCTION("""COMPUTED_VALUE"""),"FL")</f>
        <v>FL</v>
      </c>
      <c r="E206" s="8" t="str">
        <f>IFERROR(__xludf.DUMMYFUNCTION("""COMPUTED_VALUE"""),"USA")</f>
        <v>USA</v>
      </c>
      <c r="F206" s="8" t="str">
        <f>IFERROR(__xludf.DUMMYFUNCTION("""COMPUTED_VALUE"""),"Mixed Doubles Cricket")</f>
        <v>Mixed Doubles Cricket</v>
      </c>
      <c r="G206" s="8" t="str">
        <f>IFERROR(__xludf.DUMMYFUNCTION("""COMPUTED_VALUE"""),"1st")</f>
        <v>1st</v>
      </c>
      <c r="H206" s="8" t="str">
        <f>IFERROR(__xludf.DUMMYFUNCTION("""COMPUTED_VALUE"""),"Florida BS 34")</f>
        <v>Florida BS 34</v>
      </c>
      <c r="I206" s="10">
        <f>IFERROR(__xludf.DUMMYFUNCTION("""COMPUTED_VALUE"""),43617.0)</f>
        <v>43617</v>
      </c>
      <c r="J206" s="10">
        <f>IFERROR(__xludf.DUMMYFUNCTION("""COMPUTED_VALUE"""),44713.0)</f>
        <v>44713</v>
      </c>
      <c r="K206" s="11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9" t="str">
        <f>IFERROR(__xludf.DUMMYFUNCTION("""COMPUTED_VALUE"""),"DeRemer")</f>
        <v>DeRemer</v>
      </c>
      <c r="B207" s="8" t="str">
        <f>IFERROR(__xludf.DUMMYFUNCTION("""COMPUTED_VALUE"""),"Doug")</f>
        <v>Doug</v>
      </c>
      <c r="C207" s="8" t="str">
        <f>IFERROR(__xludf.DUMMYFUNCTION("""COMPUTED_VALUE"""),"Centreville")</f>
        <v>Centreville</v>
      </c>
      <c r="D207" s="8" t="str">
        <f>IFERROR(__xludf.DUMMYFUNCTION("""COMPUTED_VALUE"""),"VA")</f>
        <v>VA</v>
      </c>
      <c r="E207" s="8" t="str">
        <f>IFERROR(__xludf.DUMMYFUNCTION("""COMPUTED_VALUE"""),"USA")</f>
        <v>USA</v>
      </c>
      <c r="F207" s="8" t="str">
        <f>IFERROR(__xludf.DUMMYFUNCTION("""COMPUTED_VALUE"""),"ADO 2016")</f>
        <v>ADO 2016</v>
      </c>
      <c r="G207" s="8" t="str">
        <f>IFERROR(__xludf.DUMMYFUNCTION("""COMPUTED_VALUE"""),"33rd")</f>
        <v>33rd</v>
      </c>
      <c r="H207" s="8" t="str">
        <f>IFERROR(__xludf.DUMMYFUNCTION("""COMPUTED_VALUE"""),"ADO 2016")</f>
        <v>ADO 2016</v>
      </c>
      <c r="I207" s="10">
        <f>IFERROR(__xludf.DUMMYFUNCTION("""COMPUTED_VALUE"""),42401.0)</f>
        <v>42401</v>
      </c>
      <c r="J207" s="10">
        <f>IFERROR(__xludf.DUMMYFUNCTION("""COMPUTED_VALUE"""),44713.0)</f>
        <v>44713</v>
      </c>
      <c r="K207" s="11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9" t="str">
        <f>IFERROR(__xludf.DUMMYFUNCTION("""COMPUTED_VALUE"""),"Deyne")</f>
        <v>Deyne</v>
      </c>
      <c r="B208" s="8" t="str">
        <f>IFERROR(__xludf.DUMMYFUNCTION("""COMPUTED_VALUE"""),"John")</f>
        <v>John</v>
      </c>
      <c r="C208" s="8" t="str">
        <f>IFERROR(__xludf.DUMMYFUNCTION("""COMPUTED_VALUE"""),"Henderson")</f>
        <v>Henderson</v>
      </c>
      <c r="D208" s="8" t="str">
        <f>IFERROR(__xludf.DUMMYFUNCTION("""COMPUTED_VALUE"""),"CO")</f>
        <v>CO</v>
      </c>
      <c r="E208" s="8" t="str">
        <f>IFERROR(__xludf.DUMMYFUNCTION("""COMPUTED_VALUE"""),"USA")</f>
        <v>USA</v>
      </c>
      <c r="F208" s="8" t="str">
        <f>IFERROR(__xludf.DUMMYFUNCTION("""COMPUTED_VALUE"""),"Men Doubles 501")</f>
        <v>Men Doubles 501</v>
      </c>
      <c r="G208" s="8" t="str">
        <f>IFERROR(__xludf.DUMMYFUNCTION("""COMPUTED_VALUE"""),"2nd")</f>
        <v>2nd</v>
      </c>
      <c r="H208" s="8" t="str">
        <f>IFERROR(__xludf.DUMMYFUNCTION("""COMPUTED_VALUE"""),"Nebraska BS 34")</f>
        <v>Nebraska BS 34</v>
      </c>
      <c r="I208" s="10">
        <f>IFERROR(__xludf.DUMMYFUNCTION("""COMPUTED_VALUE"""),43617.0)</f>
        <v>43617</v>
      </c>
      <c r="J208" s="10">
        <f>IFERROR(__xludf.DUMMYFUNCTION("""COMPUTED_VALUE"""),44713.0)</f>
        <v>44713</v>
      </c>
      <c r="K208" s="1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9" t="str">
        <f>IFERROR(__xludf.DUMMYFUNCTION("""COMPUTED_VALUE"""),"Digiulio")</f>
        <v>Digiulio</v>
      </c>
      <c r="B209" s="8" t="str">
        <f>IFERROR(__xludf.DUMMYFUNCTION("""COMPUTED_VALUE"""),"Angelo")</f>
        <v>Angelo</v>
      </c>
      <c r="C209" s="8" t="str">
        <f>IFERROR(__xludf.DUMMYFUNCTION("""COMPUTED_VALUE"""),"Kenmore")</f>
        <v>Kenmore</v>
      </c>
      <c r="D209" s="8" t="str">
        <f>IFERROR(__xludf.DUMMYFUNCTION("""COMPUTED_VALUE"""),"NY")</f>
        <v>NY</v>
      </c>
      <c r="E209" s="8" t="str">
        <f>IFERROR(__xludf.DUMMYFUNCTION("""COMPUTED_VALUE"""),"USA")</f>
        <v>USA</v>
      </c>
      <c r="F209" s="8" t="str">
        <f>IFERROR(__xludf.DUMMYFUNCTION("""COMPUTED_VALUE"""),"Pro/Am Cricket")</f>
        <v>Pro/Am Cricket</v>
      </c>
      <c r="G209" s="8" t="str">
        <f>IFERROR(__xludf.DUMMYFUNCTION("""COMPUTED_VALUE"""),"2nd")</f>
        <v>2nd</v>
      </c>
      <c r="H209" s="8" t="str">
        <f>IFERROR(__xludf.DUMMYFUNCTION("""COMPUTED_VALUE"""),"NY Regional 33")</f>
        <v>NY Regional 33</v>
      </c>
      <c r="I209" s="10">
        <f>IFERROR(__xludf.DUMMYFUNCTION("""COMPUTED_VALUE"""),43252.0)</f>
        <v>43252</v>
      </c>
      <c r="J209" s="10">
        <f>IFERROR(__xludf.DUMMYFUNCTION("""COMPUTED_VALUE"""),44348.0)</f>
        <v>44348</v>
      </c>
      <c r="K209" s="11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9" t="str">
        <f>IFERROR(__xludf.DUMMYFUNCTION("""COMPUTED_VALUE"""),"Dimodica III")</f>
        <v>Dimodica III</v>
      </c>
      <c r="B210" s="8" t="str">
        <f>IFERROR(__xludf.DUMMYFUNCTION("""COMPUTED_VALUE"""),"Joseph")</f>
        <v>Joseph</v>
      </c>
      <c r="C210" s="8" t="str">
        <f>IFERROR(__xludf.DUMMYFUNCTION("""COMPUTED_VALUE"""),"Surfside Beach")</f>
        <v>Surfside Beach</v>
      </c>
      <c r="D210" s="8" t="str">
        <f>IFERROR(__xludf.DUMMYFUNCTION("""COMPUTED_VALUE"""),"SC")</f>
        <v>SC</v>
      </c>
      <c r="E210" s="8" t="str">
        <f>IFERROR(__xludf.DUMMYFUNCTION("""COMPUTED_VALUE"""),"USA")</f>
        <v>USA</v>
      </c>
      <c r="F210" s="8" t="str">
        <f>IFERROR(__xludf.DUMMYFUNCTION("""COMPUTED_VALUE"""),"Mens Doubles")</f>
        <v>Mens Doubles</v>
      </c>
      <c r="G210" s="8" t="str">
        <f>IFERROR(__xludf.DUMMYFUNCTION("""COMPUTED_VALUE"""),"1st")</f>
        <v>1st</v>
      </c>
      <c r="H210" s="8" t="str">
        <f>IFERROR(__xludf.DUMMYFUNCTION("""COMPUTED_VALUE"""),"SC Regional 32")</f>
        <v>SC Regional 32</v>
      </c>
      <c r="I210" s="10">
        <f>IFERROR(__xludf.DUMMYFUNCTION("""COMPUTED_VALUE"""),42887.0)</f>
        <v>42887</v>
      </c>
      <c r="J210" s="10">
        <f>IFERROR(__xludf.DUMMYFUNCTION("""COMPUTED_VALUE"""),43983.0)</f>
        <v>43983</v>
      </c>
      <c r="K210" s="11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9" t="str">
        <f>IFERROR(__xludf.DUMMYFUNCTION("""COMPUTED_VALUE"""),"Dobromyslova")</f>
        <v>Dobromyslova</v>
      </c>
      <c r="B211" s="8" t="str">
        <f>IFERROR(__xludf.DUMMYFUNCTION("""COMPUTED_VALUE"""),"Anastasia")</f>
        <v>Anastasia</v>
      </c>
      <c r="C211" s="8" t="str">
        <f>IFERROR(__xludf.DUMMYFUNCTION("""COMPUTED_VALUE"""),"")</f>
        <v/>
      </c>
      <c r="D211" s="8" t="str">
        <f>IFERROR(__xludf.DUMMYFUNCTION("""COMPUTED_VALUE"""),"UNK")</f>
        <v>UNK</v>
      </c>
      <c r="E211" s="8" t="str">
        <f>IFERROR(__xludf.DUMMYFUNCTION("""COMPUTED_VALUE"""),"Russia")</f>
        <v>Russia</v>
      </c>
      <c r="F211" s="8" t="str">
        <f>IFERROR(__xludf.DUMMYFUNCTION("""COMPUTED_VALUE"""),"PDC Merit Ranking")</f>
        <v>PDC Merit Ranking</v>
      </c>
      <c r="G211" s="8" t="str">
        <f>IFERROR(__xludf.DUMMYFUNCTION("""COMPUTED_VALUE"""),"86th")</f>
        <v>86th</v>
      </c>
      <c r="H211" s="8" t="str">
        <f>IFERROR(__xludf.DUMMYFUNCTION("""COMPUTED_VALUE"""),"PDC Merit Ranking")</f>
        <v>PDC Merit Ranking</v>
      </c>
      <c r="I211" s="10">
        <f>IFERROR(__xludf.DUMMYFUNCTION("""COMPUTED_VALUE"""),42401.0)</f>
        <v>42401</v>
      </c>
      <c r="J211" s="10">
        <f>IFERROR(__xludf.DUMMYFUNCTION("""COMPUTED_VALUE"""),44713.0)</f>
        <v>44713</v>
      </c>
      <c r="K211" s="11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9" t="str">
        <f>IFERROR(__xludf.DUMMYFUNCTION("""COMPUTED_VALUE"""),"Docherty")</f>
        <v>Docherty</v>
      </c>
      <c r="B212" s="8" t="str">
        <f>IFERROR(__xludf.DUMMYFUNCTION("""COMPUTED_VALUE"""),"Jeffery")</f>
        <v>Jeffery</v>
      </c>
      <c r="C212" s="8" t="str">
        <f>IFERROR(__xludf.DUMMYFUNCTION("""COMPUTED_VALUE"""),"Herrin")</f>
        <v>Herrin</v>
      </c>
      <c r="D212" s="8" t="str">
        <f>IFERROR(__xludf.DUMMYFUNCTION("""COMPUTED_VALUE"""),"IL")</f>
        <v>IL</v>
      </c>
      <c r="E212" s="8" t="str">
        <f>IFERROR(__xludf.DUMMYFUNCTION("""COMPUTED_VALUE"""),"USA")</f>
        <v>USA</v>
      </c>
      <c r="F212" s="8" t="str">
        <f>IFERROR(__xludf.DUMMYFUNCTION("""COMPUTED_VALUE"""),"Pro Doubles 501")</f>
        <v>Pro Doubles 501</v>
      </c>
      <c r="G212" s="8" t="str">
        <f>IFERROR(__xludf.DUMMYFUNCTION("""COMPUTED_VALUE"""),"2nd")</f>
        <v>2nd</v>
      </c>
      <c r="H212" s="8" t="str">
        <f>IFERROR(__xludf.DUMMYFUNCTION("""COMPUTED_VALUE"""),"Nebraska BS 34")</f>
        <v>Nebraska BS 34</v>
      </c>
      <c r="I212" s="10">
        <f>IFERROR(__xludf.DUMMYFUNCTION("""COMPUTED_VALUE"""),43617.0)</f>
        <v>43617</v>
      </c>
      <c r="J212" s="10">
        <f>IFERROR(__xludf.DUMMYFUNCTION("""COMPUTED_VALUE"""),44713.0)</f>
        <v>44713</v>
      </c>
      <c r="K212" s="11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9" t="str">
        <f>IFERROR(__xludf.DUMMYFUNCTION("""COMPUTED_VALUE"""),"Donahue")</f>
        <v>Donahue</v>
      </c>
      <c r="B213" s="8" t="str">
        <f>IFERROR(__xludf.DUMMYFUNCTION("""COMPUTED_VALUE"""),"Tim")</f>
        <v>Tim</v>
      </c>
      <c r="C213" s="8" t="str">
        <f>IFERROR(__xludf.DUMMYFUNCTION("""COMPUTED_VALUE"""),"Alexander")</f>
        <v>Alexander</v>
      </c>
      <c r="D213" s="8" t="str">
        <f>IFERROR(__xludf.DUMMYFUNCTION("""COMPUTED_VALUE"""),"IL")</f>
        <v>IL</v>
      </c>
      <c r="E213" s="8" t="str">
        <f>IFERROR(__xludf.DUMMYFUNCTION("""COMPUTED_VALUE"""),"USA")</f>
        <v>USA</v>
      </c>
      <c r="F213" s="8" t="str">
        <f>IFERROR(__xludf.DUMMYFUNCTION("""COMPUTED_VALUE"""),"Mens Doubles")</f>
        <v>Mens Doubles</v>
      </c>
      <c r="G213" s="8" t="str">
        <f>IFERROR(__xludf.DUMMYFUNCTION("""COMPUTED_VALUE"""),"3rd")</f>
        <v>3rd</v>
      </c>
      <c r="H213" s="8" t="str">
        <f>IFERROR(__xludf.DUMMYFUNCTION("""COMPUTED_VALUE"""),"BS 33 Finals")</f>
        <v>BS 33 Finals</v>
      </c>
      <c r="I213" s="10">
        <f>IFERROR(__xludf.DUMMYFUNCTION("""COMPUTED_VALUE"""),43252.0)</f>
        <v>43252</v>
      </c>
      <c r="J213" s="10">
        <f>IFERROR(__xludf.DUMMYFUNCTION("""COMPUTED_VALUE"""),44348.0)</f>
        <v>44348</v>
      </c>
      <c r="K213" s="11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9" t="str">
        <f>IFERROR(__xludf.DUMMYFUNCTION("""COMPUTED_VALUE"""),"Donbeck")</f>
        <v>Donbeck</v>
      </c>
      <c r="B214" s="8" t="str">
        <f>IFERROR(__xludf.DUMMYFUNCTION("""COMPUTED_VALUE"""),"Andrew")</f>
        <v>Andrew</v>
      </c>
      <c r="C214" s="8" t="str">
        <f>IFERROR(__xludf.DUMMYFUNCTION("""COMPUTED_VALUE"""),"Rayland")</f>
        <v>Rayland</v>
      </c>
      <c r="D214" s="8" t="str">
        <f>IFERROR(__xludf.DUMMYFUNCTION("""COMPUTED_VALUE"""),"OH")</f>
        <v>OH</v>
      </c>
      <c r="E214" s="8" t="str">
        <f>IFERROR(__xludf.DUMMYFUNCTION("""COMPUTED_VALUE"""),"USA")</f>
        <v>USA</v>
      </c>
      <c r="F214" s="8" t="str">
        <f>IFERROR(__xludf.DUMMYFUNCTION("""COMPUTED_VALUE"""),"Mens Doubles")</f>
        <v>Mens Doubles</v>
      </c>
      <c r="G214" s="8" t="str">
        <f>IFERROR(__xludf.DUMMYFUNCTION("""COMPUTED_VALUE"""),"2nd")</f>
        <v>2nd</v>
      </c>
      <c r="H214" s="8" t="str">
        <f>IFERROR(__xludf.DUMMYFUNCTION("""COMPUTED_VALUE"""),"PA Regional 32")</f>
        <v>PA Regional 32</v>
      </c>
      <c r="I214" s="10">
        <f>IFERROR(__xludf.DUMMYFUNCTION("""COMPUTED_VALUE"""),42887.0)</f>
        <v>42887</v>
      </c>
      <c r="J214" s="10">
        <f>IFERROR(__xludf.DUMMYFUNCTION("""COMPUTED_VALUE"""),43983.0)</f>
        <v>43983</v>
      </c>
      <c r="K214" s="11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9" t="str">
        <f>IFERROR(__xludf.DUMMYFUNCTION("""COMPUTED_VALUE"""),"Donnelly")</f>
        <v>Donnelly</v>
      </c>
      <c r="B215" s="8" t="str">
        <f>IFERROR(__xludf.DUMMYFUNCTION("""COMPUTED_VALUE"""),"Bob")</f>
        <v>Bob</v>
      </c>
      <c r="C215" s="8" t="str">
        <f>IFERROR(__xludf.DUMMYFUNCTION("""COMPUTED_VALUE"""),"Steubenville")</f>
        <v>Steubenville</v>
      </c>
      <c r="D215" s="8" t="str">
        <f>IFERROR(__xludf.DUMMYFUNCTION("""COMPUTED_VALUE"""),"OH")</f>
        <v>OH</v>
      </c>
      <c r="E215" s="8" t="str">
        <f>IFERROR(__xludf.DUMMYFUNCTION("""COMPUTED_VALUE"""),"USA")</f>
        <v>USA</v>
      </c>
      <c r="F215" s="8" t="str">
        <f>IFERROR(__xludf.DUMMYFUNCTION("""COMPUTED_VALUE"""),"Men Doubles Cricket")</f>
        <v>Men Doubles Cricket</v>
      </c>
      <c r="G215" s="8" t="str">
        <f>IFERROR(__xludf.DUMMYFUNCTION("""COMPUTED_VALUE"""),"3rd")</f>
        <v>3rd</v>
      </c>
      <c r="H215" s="8" t="str">
        <f>IFERROR(__xludf.DUMMYFUNCTION("""COMPUTED_VALUE"""),"Ohio BS 34")</f>
        <v>Ohio BS 34</v>
      </c>
      <c r="I215" s="10">
        <f>IFERROR(__xludf.DUMMYFUNCTION("""COMPUTED_VALUE"""),43617.0)</f>
        <v>43617</v>
      </c>
      <c r="J215" s="10">
        <f>IFERROR(__xludf.DUMMYFUNCTION("""COMPUTED_VALUE"""),44713.0)</f>
        <v>44713</v>
      </c>
      <c r="K215" s="11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9" t="str">
        <f>IFERROR(__xludf.DUMMYFUNCTION("""COMPUTED_VALUE"""),"Dougherty")</f>
        <v>Dougherty</v>
      </c>
      <c r="B216" s="8" t="str">
        <f>IFERROR(__xludf.DUMMYFUNCTION("""COMPUTED_VALUE"""),"Brian")</f>
        <v>Brian</v>
      </c>
      <c r="C216" s="8" t="str">
        <f>IFERROR(__xludf.DUMMYFUNCTION("""COMPUTED_VALUE"""),"Ocala")</f>
        <v>Ocala</v>
      </c>
      <c r="D216" s="8" t="str">
        <f>IFERROR(__xludf.DUMMYFUNCTION("""COMPUTED_VALUE"""),"FL")</f>
        <v>FL</v>
      </c>
      <c r="E216" s="8" t="str">
        <f>IFERROR(__xludf.DUMMYFUNCTION("""COMPUTED_VALUE"""),"USA")</f>
        <v>USA</v>
      </c>
      <c r="F216" s="8" t="str">
        <f>IFERROR(__xludf.DUMMYFUNCTION("""COMPUTED_VALUE"""),"Mens Doubles")</f>
        <v>Mens Doubles</v>
      </c>
      <c r="G216" s="8" t="str">
        <f>IFERROR(__xludf.DUMMYFUNCTION("""COMPUTED_VALUE"""),"1st")</f>
        <v>1st</v>
      </c>
      <c r="H216" s="8" t="str">
        <f>IFERROR(__xludf.DUMMYFUNCTION("""COMPUTED_VALUE"""),"FL Regional 33")</f>
        <v>FL Regional 33</v>
      </c>
      <c r="I216" s="10">
        <f>IFERROR(__xludf.DUMMYFUNCTION("""COMPUTED_VALUE"""),43252.0)</f>
        <v>43252</v>
      </c>
      <c r="J216" s="10">
        <f>IFERROR(__xludf.DUMMYFUNCTION("""COMPUTED_VALUE"""),44348.0)</f>
        <v>44348</v>
      </c>
      <c r="K216" s="11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9" t="str">
        <f>IFERROR(__xludf.DUMMYFUNCTION("""COMPUTED_VALUE"""),"Doyle")</f>
        <v>Doyle</v>
      </c>
      <c r="B217" s="8" t="str">
        <f>IFERROR(__xludf.DUMMYFUNCTION("""COMPUTED_VALUE"""),"Kenny")</f>
        <v>Kenny</v>
      </c>
      <c r="C217" s="8" t="str">
        <f>IFERROR(__xludf.DUMMYFUNCTION("""COMPUTED_VALUE"""),"Altamonte Springs")</f>
        <v>Altamonte Springs</v>
      </c>
      <c r="D217" s="8" t="str">
        <f>IFERROR(__xludf.DUMMYFUNCTION("""COMPUTED_VALUE"""),"FL")</f>
        <v>FL</v>
      </c>
      <c r="E217" s="8" t="str">
        <f>IFERROR(__xludf.DUMMYFUNCTION("""COMPUTED_VALUE"""),"USA")</f>
        <v>USA</v>
      </c>
      <c r="F217" s="8" t="str">
        <f>IFERROR(__xludf.DUMMYFUNCTION("""COMPUTED_VALUE"""),"Pro Doubles 501")</f>
        <v>Pro Doubles 501</v>
      </c>
      <c r="G217" s="8" t="str">
        <f>IFERROR(__xludf.DUMMYFUNCTION("""COMPUTED_VALUE"""),"1st")</f>
        <v>1st</v>
      </c>
      <c r="H217" s="8" t="str">
        <f>IFERROR(__xludf.DUMMYFUNCTION("""COMPUTED_VALUE"""),"Florida BS 34")</f>
        <v>Florida BS 34</v>
      </c>
      <c r="I217" s="10">
        <f>IFERROR(__xludf.DUMMYFUNCTION("""COMPUTED_VALUE"""),43617.0)</f>
        <v>43617</v>
      </c>
      <c r="J217" s="10">
        <f>IFERROR(__xludf.DUMMYFUNCTION("""COMPUTED_VALUE"""),44713.0)</f>
        <v>44713</v>
      </c>
      <c r="K217" s="11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9" t="str">
        <f>IFERROR(__xludf.DUMMYFUNCTION("""COMPUTED_VALUE"""),"Drager")</f>
        <v>Drager</v>
      </c>
      <c r="B218" s="8" t="str">
        <f>IFERROR(__xludf.DUMMYFUNCTION("""COMPUTED_VALUE"""),"Cody")</f>
        <v>Cody</v>
      </c>
      <c r="C218" s="8" t="str">
        <f>IFERROR(__xludf.DUMMYFUNCTION("""COMPUTED_VALUE"""),"Markesan")</f>
        <v>Markesan</v>
      </c>
      <c r="D218" s="8" t="str">
        <f>IFERROR(__xludf.DUMMYFUNCTION("""COMPUTED_VALUE"""),"WI")</f>
        <v>WI</v>
      </c>
      <c r="E218" s="8" t="str">
        <f>IFERROR(__xludf.DUMMYFUNCTION("""COMPUTED_VALUE"""),"USA")</f>
        <v>USA</v>
      </c>
      <c r="F218" s="8" t="str">
        <f>IFERROR(__xludf.DUMMYFUNCTION("""COMPUTED_VALUE"""),"Mens Cricket Singles")</f>
        <v>Mens Cricket Singles</v>
      </c>
      <c r="G218" s="8" t="str">
        <f>IFERROR(__xludf.DUMMYFUNCTION("""COMPUTED_VALUE"""),"1st")</f>
        <v>1st</v>
      </c>
      <c r="H218" s="8" t="str">
        <f>IFERROR(__xludf.DUMMYFUNCTION("""COMPUTED_VALUE"""),"NE Regional 32")</f>
        <v>NE Regional 32</v>
      </c>
      <c r="I218" s="10">
        <f>IFERROR(__xludf.DUMMYFUNCTION("""COMPUTED_VALUE"""),42887.0)</f>
        <v>42887</v>
      </c>
      <c r="J218" s="10">
        <f>IFERROR(__xludf.DUMMYFUNCTION("""COMPUTED_VALUE"""),43983.0)</f>
        <v>43983</v>
      </c>
      <c r="K218" s="11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9" t="str">
        <f>IFERROR(__xludf.DUMMYFUNCTION("""COMPUTED_VALUE"""),"Drake")</f>
        <v>Drake</v>
      </c>
      <c r="B219" s="8" t="str">
        <f>IFERROR(__xludf.DUMMYFUNCTION("""COMPUTED_VALUE"""),"Cory")</f>
        <v>Cory</v>
      </c>
      <c r="C219" s="8" t="str">
        <f>IFERROR(__xludf.DUMMYFUNCTION("""COMPUTED_VALUE"""),"Greenwood")</f>
        <v>Greenwood</v>
      </c>
      <c r="D219" s="8" t="str">
        <f>IFERROR(__xludf.DUMMYFUNCTION("""COMPUTED_VALUE"""),"IN")</f>
        <v>IN</v>
      </c>
      <c r="E219" s="8" t="str">
        <f>IFERROR(__xludf.DUMMYFUNCTION("""COMPUTED_VALUE"""),"USA")</f>
        <v>USA</v>
      </c>
      <c r="F219" s="8" t="str">
        <f>IFERROR(__xludf.DUMMYFUNCTION("""COMPUTED_VALUE"""),"Mens Doubles")</f>
        <v>Mens Doubles</v>
      </c>
      <c r="G219" s="8" t="str">
        <f>IFERROR(__xludf.DUMMYFUNCTION("""COMPUTED_VALUE"""),"3rd")</f>
        <v>3rd</v>
      </c>
      <c r="H219" s="8" t="str">
        <f>IFERROR(__xludf.DUMMYFUNCTION("""COMPUTED_VALUE"""),"SC Regional 33")</f>
        <v>SC Regional 33</v>
      </c>
      <c r="I219" s="10">
        <f>IFERROR(__xludf.DUMMYFUNCTION("""COMPUTED_VALUE"""),43252.0)</f>
        <v>43252</v>
      </c>
      <c r="J219" s="10">
        <f>IFERROR(__xludf.DUMMYFUNCTION("""COMPUTED_VALUE"""),44348.0)</f>
        <v>44348</v>
      </c>
      <c r="K219" s="11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9" t="str">
        <f>IFERROR(__xludf.DUMMYFUNCTION("""COMPUTED_VALUE"""),"Dreher")</f>
        <v>Dreher</v>
      </c>
      <c r="B220" s="8" t="str">
        <f>IFERROR(__xludf.DUMMYFUNCTION("""COMPUTED_VALUE"""),"Ryan")</f>
        <v>Ryan</v>
      </c>
      <c r="C220" s="8" t="str">
        <f>IFERROR(__xludf.DUMMYFUNCTION("""COMPUTED_VALUE"""),"Schuykill Haven")</f>
        <v>Schuykill Haven</v>
      </c>
      <c r="D220" s="8" t="str">
        <f>IFERROR(__xludf.DUMMYFUNCTION("""COMPUTED_VALUE"""),"PA")</f>
        <v>PA</v>
      </c>
      <c r="E220" s="8" t="str">
        <f>IFERROR(__xludf.DUMMYFUNCTION("""COMPUTED_VALUE"""),"USA")</f>
        <v>USA</v>
      </c>
      <c r="F220" s="8" t="str">
        <f>IFERROR(__xludf.DUMMYFUNCTION("""COMPUTED_VALUE"""),"Pro Singles Cricket")</f>
        <v>Pro Singles Cricket</v>
      </c>
      <c r="G220" s="8" t="str">
        <f>IFERROR(__xludf.DUMMYFUNCTION("""COMPUTED_VALUE"""),"3rd")</f>
        <v>3rd</v>
      </c>
      <c r="H220" s="8" t="str">
        <f>IFERROR(__xludf.DUMMYFUNCTION("""COMPUTED_VALUE"""),"Pennsylvania BS 34")</f>
        <v>Pennsylvania BS 34</v>
      </c>
      <c r="I220" s="10">
        <f>IFERROR(__xludf.DUMMYFUNCTION("""COMPUTED_VALUE"""),43617.0)</f>
        <v>43617</v>
      </c>
      <c r="J220" s="10">
        <f>IFERROR(__xludf.DUMMYFUNCTION("""COMPUTED_VALUE"""),44713.0)</f>
        <v>44713</v>
      </c>
      <c r="K220" s="11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9" t="str">
        <f>IFERROR(__xludf.DUMMYFUNCTION("""COMPUTED_VALUE"""),"Drion")</f>
        <v>Drion</v>
      </c>
      <c r="B221" s="8" t="str">
        <f>IFERROR(__xludf.DUMMYFUNCTION("""COMPUTED_VALUE"""),"Jean Pierre")</f>
        <v>Jean Pierre</v>
      </c>
      <c r="C221" s="8" t="str">
        <f>IFERROR(__xludf.DUMMYFUNCTION("""COMPUTED_VALUE"""),"")</f>
        <v/>
      </c>
      <c r="D221" s="8" t="str">
        <f>IFERROR(__xludf.DUMMYFUNCTION("""COMPUTED_VALUE"""),"UNK")</f>
        <v>UNK</v>
      </c>
      <c r="E221" s="8" t="str">
        <f>IFERROR(__xludf.DUMMYFUNCTION("""COMPUTED_VALUE"""),"Belgium")</f>
        <v>Belgium</v>
      </c>
      <c r="F221" s="8" t="str">
        <f>IFERROR(__xludf.DUMMYFUNCTION("""COMPUTED_VALUE"""),"Known Pro")</f>
        <v>Known Pro</v>
      </c>
      <c r="G221" s="8" t="str">
        <f>IFERROR(__xludf.DUMMYFUNCTION("""COMPUTED_VALUE"""),"")</f>
        <v/>
      </c>
      <c r="H221" s="8" t="str">
        <f>IFERROR(__xludf.DUMMYFUNCTION("""COMPUTED_VALUE"""),"Known Ability")</f>
        <v>Known Ability</v>
      </c>
      <c r="I221" s="10">
        <f>IFERROR(__xludf.DUMMYFUNCTION("""COMPUTED_VALUE"""),36892.0)</f>
        <v>36892</v>
      </c>
      <c r="J221" s="10">
        <f>IFERROR(__xludf.DUMMYFUNCTION("""COMPUTED_VALUE"""),45809.0)</f>
        <v>45809</v>
      </c>
      <c r="K221" s="11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9" t="str">
        <f>IFERROR(__xludf.DUMMYFUNCTION("""COMPUTED_VALUE"""),"Duibley")</f>
        <v>Duibley</v>
      </c>
      <c r="B222" s="8" t="str">
        <f>IFERROR(__xludf.DUMMYFUNCTION("""COMPUTED_VALUE"""),"Gary")</f>
        <v>Gary</v>
      </c>
      <c r="C222" s="8" t="str">
        <f>IFERROR(__xludf.DUMMYFUNCTION("""COMPUTED_VALUE"""),"Beavercreek")</f>
        <v>Beavercreek</v>
      </c>
      <c r="D222" s="8" t="str">
        <f>IFERROR(__xludf.DUMMYFUNCTION("""COMPUTED_VALUE"""),"OH")</f>
        <v>OH</v>
      </c>
      <c r="E222" s="8" t="str">
        <f>IFERROR(__xludf.DUMMYFUNCTION("""COMPUTED_VALUE"""),"USA")</f>
        <v>USA</v>
      </c>
      <c r="F222" s="8" t="str">
        <f>IFERROR(__xludf.DUMMYFUNCTION("""COMPUTED_VALUE"""),"Men Doubles 501")</f>
        <v>Men Doubles 501</v>
      </c>
      <c r="G222" s="8" t="str">
        <f>IFERROR(__xludf.DUMMYFUNCTION("""COMPUTED_VALUE"""),"2nd")</f>
        <v>2nd</v>
      </c>
      <c r="H222" s="8" t="str">
        <f>IFERROR(__xludf.DUMMYFUNCTION("""COMPUTED_VALUE"""),"Pennsylvania BS 34")</f>
        <v>Pennsylvania BS 34</v>
      </c>
      <c r="I222" s="10">
        <f>IFERROR(__xludf.DUMMYFUNCTION("""COMPUTED_VALUE"""),43617.0)</f>
        <v>43617</v>
      </c>
      <c r="J222" s="10">
        <f>IFERROR(__xludf.DUMMYFUNCTION("""COMPUTED_VALUE"""),44713.0)</f>
        <v>44713</v>
      </c>
      <c r="K222" s="11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9" t="str">
        <f>IFERROR(__xludf.DUMMYFUNCTION("""COMPUTED_VALUE"""),"Dumont")</f>
        <v>Dumont</v>
      </c>
      <c r="B223" s="8" t="str">
        <f>IFERROR(__xludf.DUMMYFUNCTION("""COMPUTED_VALUE"""),"Donald")</f>
        <v>Donald</v>
      </c>
      <c r="C223" s="8" t="str">
        <f>IFERROR(__xludf.DUMMYFUNCTION("""COMPUTED_VALUE"""),"Stewartstown")</f>
        <v>Stewartstown</v>
      </c>
      <c r="D223" s="8" t="str">
        <f>IFERROR(__xludf.DUMMYFUNCTION("""COMPUTED_VALUE"""),"NH")</f>
        <v>NH</v>
      </c>
      <c r="E223" s="8" t="str">
        <f>IFERROR(__xludf.DUMMYFUNCTION("""COMPUTED_VALUE"""),"USA")</f>
        <v>USA</v>
      </c>
      <c r="F223" s="8" t="str">
        <f>IFERROR(__xludf.DUMMYFUNCTION("""COMPUTED_VALUE"""),"Men 501 Doubles")</f>
        <v>Men 501 Doubles</v>
      </c>
      <c r="G223" s="8" t="str">
        <f>IFERROR(__xludf.DUMMYFUNCTION("""COMPUTED_VALUE"""),"4th")</f>
        <v>4th</v>
      </c>
      <c r="H223" s="8" t="str">
        <f>IFERROR(__xludf.DUMMYFUNCTION("""COMPUTED_VALUE"""),"BullShooter 34 Finals")</f>
        <v>BullShooter 34 Finals</v>
      </c>
      <c r="I223" s="10">
        <f>IFERROR(__xludf.DUMMYFUNCTION("""COMPUTED_VALUE"""),43617.0)</f>
        <v>43617</v>
      </c>
      <c r="J223" s="10">
        <f>IFERROR(__xludf.DUMMYFUNCTION("""COMPUTED_VALUE"""),44713.0)</f>
        <v>44713</v>
      </c>
      <c r="K223" s="11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12" t="str">
        <f>IFERROR(__xludf.DUMMYFUNCTION("""COMPUTED_VALUE"""),"Dunaway Jr.")</f>
        <v>Dunaway Jr.</v>
      </c>
      <c r="B224" s="13" t="str">
        <f>IFERROR(__xludf.DUMMYFUNCTION("""COMPUTED_VALUE"""),"Scott")</f>
        <v>Scott</v>
      </c>
      <c r="C224" s="13" t="str">
        <f>IFERROR(__xludf.DUMMYFUNCTION("""COMPUTED_VALUE"""),"Omaha")</f>
        <v>Omaha</v>
      </c>
      <c r="D224" s="13" t="str">
        <f>IFERROR(__xludf.DUMMYFUNCTION("""COMPUTED_VALUE"""),"NE")</f>
        <v>NE</v>
      </c>
      <c r="E224" s="13" t="str">
        <f>IFERROR(__xludf.DUMMYFUNCTION("""COMPUTED_VALUE"""),"USA")</f>
        <v>USA</v>
      </c>
      <c r="F224" s="13" t="str">
        <f>IFERROR(__xludf.DUMMYFUNCTION("""COMPUTED_VALUE"""),"Men Singles Cricket")</f>
        <v>Men Singles Cricket</v>
      </c>
      <c r="G224" s="13" t="str">
        <f>IFERROR(__xludf.DUMMYFUNCTION("""COMPUTED_VALUE"""),"2nd")</f>
        <v>2nd</v>
      </c>
      <c r="H224" s="13" t="str">
        <f>IFERROR(__xludf.DUMMYFUNCTION("""COMPUTED_VALUE"""),"Nebraska BS 34")</f>
        <v>Nebraska BS 34</v>
      </c>
      <c r="I224" s="14">
        <f>IFERROR(__xludf.DUMMYFUNCTION("""COMPUTED_VALUE"""),43617.0)</f>
        <v>43617</v>
      </c>
      <c r="J224" s="14">
        <f>IFERROR(__xludf.DUMMYFUNCTION("""COMPUTED_VALUE"""),44713.0)</f>
        <v>44713</v>
      </c>
      <c r="K224" s="11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9" t="str">
        <f>IFERROR(__xludf.DUMMYFUNCTION("""COMPUTED_VALUE"""),"Dunbar")</f>
        <v>Dunbar</v>
      </c>
      <c r="B225" s="8" t="str">
        <f>IFERROR(__xludf.DUMMYFUNCTION("""COMPUTED_VALUE"""),"Zachary")</f>
        <v>Zachary</v>
      </c>
      <c r="C225" s="8" t="str">
        <f>IFERROR(__xludf.DUMMYFUNCTION("""COMPUTED_VALUE"""),"New London")</f>
        <v>New London</v>
      </c>
      <c r="D225" s="8" t="str">
        <f>IFERROR(__xludf.DUMMYFUNCTION("""COMPUTED_VALUE"""),"WI")</f>
        <v>WI</v>
      </c>
      <c r="E225" s="8" t="str">
        <f>IFERROR(__xludf.DUMMYFUNCTION("""COMPUTED_VALUE"""),"USA")</f>
        <v>USA</v>
      </c>
      <c r="F225" s="8" t="str">
        <f>IFERROR(__xludf.DUMMYFUNCTION("""COMPUTED_VALUE"""),"Mens Doubles")</f>
        <v>Mens Doubles</v>
      </c>
      <c r="G225" s="8" t="str">
        <f>IFERROR(__xludf.DUMMYFUNCTION("""COMPUTED_VALUE"""),"3rd")</f>
        <v>3rd</v>
      </c>
      <c r="H225" s="8" t="str">
        <f>IFERROR(__xludf.DUMMYFUNCTION("""COMPUTED_VALUE"""),"WI Regional 33")</f>
        <v>WI Regional 33</v>
      </c>
      <c r="I225" s="10">
        <f>IFERROR(__xludf.DUMMYFUNCTION("""COMPUTED_VALUE"""),41426.0)</f>
        <v>41426</v>
      </c>
      <c r="J225" s="10">
        <f>IFERROR(__xludf.DUMMYFUNCTION("""COMPUTED_VALUE"""),44348.0)</f>
        <v>44348</v>
      </c>
      <c r="K225" s="11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9" t="str">
        <f>IFERROR(__xludf.DUMMYFUNCTION("""COMPUTED_VALUE"""),"Durrant")</f>
        <v>Durrant</v>
      </c>
      <c r="B226" s="8" t="str">
        <f>IFERROR(__xludf.DUMMYFUNCTION("""COMPUTED_VALUE"""),"Glen")</f>
        <v>Glen</v>
      </c>
      <c r="C226" s="8" t="str">
        <f>IFERROR(__xludf.DUMMYFUNCTION("""COMPUTED_VALUE"""),"")</f>
        <v/>
      </c>
      <c r="D226" s="8" t="str">
        <f>IFERROR(__xludf.DUMMYFUNCTION("""COMPUTED_VALUE"""),"UNK")</f>
        <v>UNK</v>
      </c>
      <c r="E226" s="8" t="str">
        <f>IFERROR(__xludf.DUMMYFUNCTION("""COMPUTED_VALUE"""),"England")</f>
        <v>England</v>
      </c>
      <c r="F226" s="8" t="str">
        <f>IFERROR(__xludf.DUMMYFUNCTION("""COMPUTED_VALUE"""),"PDC Merit Ranking")</f>
        <v>PDC Merit Ranking</v>
      </c>
      <c r="G226" s="8" t="str">
        <f>IFERROR(__xludf.DUMMYFUNCTION("""COMPUTED_VALUE"""),"44th")</f>
        <v>44th</v>
      </c>
      <c r="H226" s="8" t="str">
        <f>IFERROR(__xludf.DUMMYFUNCTION("""COMPUTED_VALUE"""),"PDC Merit Ranking")</f>
        <v>PDC Merit Ranking</v>
      </c>
      <c r="I226" s="10">
        <f>IFERROR(__xludf.DUMMYFUNCTION("""COMPUTED_VALUE"""),42401.0)</f>
        <v>42401</v>
      </c>
      <c r="J226" s="10">
        <f>IFERROR(__xludf.DUMMYFUNCTION("""COMPUTED_VALUE"""),44713.0)</f>
        <v>44713</v>
      </c>
      <c r="K226" s="11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9" t="str">
        <f>IFERROR(__xludf.DUMMYFUNCTION("""COMPUTED_VALUE"""),"Dycus")</f>
        <v>Dycus</v>
      </c>
      <c r="B227" s="8" t="str">
        <f>IFERROR(__xludf.DUMMYFUNCTION("""COMPUTED_VALUE"""),"Shawn")</f>
        <v>Shawn</v>
      </c>
      <c r="C227" s="8" t="str">
        <f>IFERROR(__xludf.DUMMYFUNCTION("""COMPUTED_VALUE"""),"Crystal Lake")</f>
        <v>Crystal Lake</v>
      </c>
      <c r="D227" s="8" t="str">
        <f>IFERROR(__xludf.DUMMYFUNCTION("""COMPUTED_VALUE"""),"IL")</f>
        <v>IL</v>
      </c>
      <c r="E227" s="8" t="str">
        <f>IFERROR(__xludf.DUMMYFUNCTION("""COMPUTED_VALUE"""),"USA")</f>
        <v>USA</v>
      </c>
      <c r="F227" s="8" t="str">
        <f>IFERROR(__xludf.DUMMYFUNCTION("""COMPUTED_VALUE"""),"Pro Doubles")</f>
        <v>Pro Doubles</v>
      </c>
      <c r="G227" s="8" t="str">
        <f>IFERROR(__xludf.DUMMYFUNCTION("""COMPUTED_VALUE"""),"2nd")</f>
        <v>2nd</v>
      </c>
      <c r="H227" s="8" t="str">
        <f>IFERROR(__xludf.DUMMYFUNCTION("""COMPUTED_VALUE"""),"Known Ability")</f>
        <v>Known Ability</v>
      </c>
      <c r="I227" s="10">
        <f>IFERROR(__xludf.DUMMYFUNCTION("""COMPUTED_VALUE"""),36892.0)</f>
        <v>36892</v>
      </c>
      <c r="J227" s="10">
        <f>IFERROR(__xludf.DUMMYFUNCTION("""COMPUTED_VALUE"""),45809.0)</f>
        <v>45809</v>
      </c>
      <c r="K227" s="11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9" t="str">
        <f>IFERROR(__xludf.DUMMYFUNCTION("""COMPUTED_VALUE"""),"Earle")</f>
        <v>Earle</v>
      </c>
      <c r="B228" s="8" t="str">
        <f>IFERROR(__xludf.DUMMYFUNCTION("""COMPUTED_VALUE"""),"Ryan")</f>
        <v>Ryan</v>
      </c>
      <c r="C228" s="8" t="str">
        <f>IFERROR(__xludf.DUMMYFUNCTION("""COMPUTED_VALUE"""),"Cedar Rapids")</f>
        <v>Cedar Rapids</v>
      </c>
      <c r="D228" s="8" t="str">
        <f>IFERROR(__xludf.DUMMYFUNCTION("""COMPUTED_VALUE"""),"IA")</f>
        <v>IA</v>
      </c>
      <c r="E228" s="8" t="str">
        <f>IFERROR(__xludf.DUMMYFUNCTION("""COMPUTED_VALUE"""),"USA")</f>
        <v>USA</v>
      </c>
      <c r="F228" s="8" t="str">
        <f>IFERROR(__xludf.DUMMYFUNCTION("""COMPUTED_VALUE"""),"Cricket Doubles")</f>
        <v>Cricket Doubles</v>
      </c>
      <c r="G228" s="8" t="str">
        <f>IFERROR(__xludf.DUMMYFUNCTION("""COMPUTED_VALUE"""),"4th")</f>
        <v>4th</v>
      </c>
      <c r="H228" s="8" t="str">
        <f>IFERROR(__xludf.DUMMYFUNCTION("""COMPUTED_VALUE"""),"BS 33 Finals")</f>
        <v>BS 33 Finals</v>
      </c>
      <c r="I228" s="10">
        <f>IFERROR(__xludf.DUMMYFUNCTION("""COMPUTED_VALUE"""),41791.0)</f>
        <v>41791</v>
      </c>
      <c r="J228" s="10">
        <f>IFERROR(__xludf.DUMMYFUNCTION("""COMPUTED_VALUE"""),44348.0)</f>
        <v>44348</v>
      </c>
      <c r="K228" s="11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9" t="str">
        <f>IFERROR(__xludf.DUMMYFUNCTION("""COMPUTED_VALUE"""),"Earley")</f>
        <v>Earley</v>
      </c>
      <c r="B229" s="8" t="str">
        <f>IFERROR(__xludf.DUMMYFUNCTION("""COMPUTED_VALUE"""),"Eric")</f>
        <v>Eric</v>
      </c>
      <c r="C229" s="8" t="str">
        <f>IFERROR(__xludf.DUMMYFUNCTION("""COMPUTED_VALUE"""),"Hartford")</f>
        <v>Hartford</v>
      </c>
      <c r="D229" s="8" t="str">
        <f>IFERROR(__xludf.DUMMYFUNCTION("""COMPUTED_VALUE"""),"SD")</f>
        <v>SD</v>
      </c>
      <c r="E229" s="8" t="str">
        <f>IFERROR(__xludf.DUMMYFUNCTION("""COMPUTED_VALUE"""),"USA")</f>
        <v>USA</v>
      </c>
      <c r="F229" s="8" t="str">
        <f>IFERROR(__xludf.DUMMYFUNCTION("""COMPUTED_VALUE"""),"Mens Doubles")</f>
        <v>Mens Doubles</v>
      </c>
      <c r="G229" s="8" t="str">
        <f>IFERROR(__xludf.DUMMYFUNCTION("""COMPUTED_VALUE"""),"1st")</f>
        <v>1st</v>
      </c>
      <c r="H229" s="8" t="str">
        <f>IFERROR(__xludf.DUMMYFUNCTION("""COMPUTED_VALUE"""),"NE Regional 33")</f>
        <v>NE Regional 33</v>
      </c>
      <c r="I229" s="10">
        <f>IFERROR(__xludf.DUMMYFUNCTION("""COMPUTED_VALUE"""),43252.0)</f>
        <v>43252</v>
      </c>
      <c r="J229" s="10">
        <f>IFERROR(__xludf.DUMMYFUNCTION("""COMPUTED_VALUE"""),44348.0)</f>
        <v>44348</v>
      </c>
      <c r="K229" s="11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9" t="str">
        <f>IFERROR(__xludf.DUMMYFUNCTION("""COMPUTED_VALUE"""),"Eastman")</f>
        <v>Eastman</v>
      </c>
      <c r="B230" s="8" t="str">
        <f>IFERROR(__xludf.DUMMYFUNCTION("""COMPUTED_VALUE"""),"Clint")</f>
        <v>Clint</v>
      </c>
      <c r="C230" s="8" t="str">
        <f>IFERROR(__xludf.DUMMYFUNCTION("""COMPUTED_VALUE"""),"Winner")</f>
        <v>Winner</v>
      </c>
      <c r="D230" s="8" t="str">
        <f>IFERROR(__xludf.DUMMYFUNCTION("""COMPUTED_VALUE"""),"SD")</f>
        <v>SD</v>
      </c>
      <c r="E230" s="8" t="str">
        <f>IFERROR(__xludf.DUMMYFUNCTION("""COMPUTED_VALUE"""),"USA")</f>
        <v>USA</v>
      </c>
      <c r="F230" s="8" t="str">
        <f>IFERROR(__xludf.DUMMYFUNCTION("""COMPUTED_VALUE"""),"TopGun Non Pro Triples")</f>
        <v>TopGun Non Pro Triples</v>
      </c>
      <c r="G230" s="8" t="str">
        <f>IFERROR(__xludf.DUMMYFUNCTION("""COMPUTED_VALUE"""),"3rd")</f>
        <v>3rd</v>
      </c>
      <c r="H230" s="8" t="str">
        <f>IFERROR(__xludf.DUMMYFUNCTION("""COMPUTED_VALUE"""),"BullShooter 34 Finals")</f>
        <v>BullShooter 34 Finals</v>
      </c>
      <c r="I230" s="10">
        <f>IFERROR(__xludf.DUMMYFUNCTION("""COMPUTED_VALUE"""),43617.0)</f>
        <v>43617</v>
      </c>
      <c r="J230" s="10">
        <f>IFERROR(__xludf.DUMMYFUNCTION("""COMPUTED_VALUE"""),44713.0)</f>
        <v>44713</v>
      </c>
      <c r="K230" s="11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9" t="str">
        <f>IFERROR(__xludf.DUMMYFUNCTION("""COMPUTED_VALUE"""),"Eaton")</f>
        <v>Eaton</v>
      </c>
      <c r="B231" s="8" t="str">
        <f>IFERROR(__xludf.DUMMYFUNCTION("""COMPUTED_VALUE"""),"Timothy")</f>
        <v>Timothy</v>
      </c>
      <c r="C231" s="8" t="str">
        <f>IFERROR(__xludf.DUMMYFUNCTION("""COMPUTED_VALUE"""),"Akron")</f>
        <v>Akron</v>
      </c>
      <c r="D231" s="8" t="str">
        <f>IFERROR(__xludf.DUMMYFUNCTION("""COMPUTED_VALUE"""),"OH")</f>
        <v>OH</v>
      </c>
      <c r="E231" s="8" t="str">
        <f>IFERROR(__xludf.DUMMYFUNCTION("""COMPUTED_VALUE"""),"USA")</f>
        <v>USA</v>
      </c>
      <c r="F231" s="8" t="str">
        <f>IFERROR(__xludf.DUMMYFUNCTION("""COMPUTED_VALUE"""),"Mens Singles Cricket")</f>
        <v>Mens Singles Cricket</v>
      </c>
      <c r="G231" s="8" t="str">
        <f>IFERROR(__xludf.DUMMYFUNCTION("""COMPUTED_VALUE"""),"3rd")</f>
        <v>3rd</v>
      </c>
      <c r="H231" s="8" t="str">
        <f>IFERROR(__xludf.DUMMYFUNCTION("""COMPUTED_VALUE"""),"OH Regional 32")</f>
        <v>OH Regional 32</v>
      </c>
      <c r="I231" s="10">
        <f>IFERROR(__xludf.DUMMYFUNCTION("""COMPUTED_VALUE"""),42887.0)</f>
        <v>42887</v>
      </c>
      <c r="J231" s="10">
        <f>IFERROR(__xludf.DUMMYFUNCTION("""COMPUTED_VALUE"""),43983.0)</f>
        <v>43983</v>
      </c>
      <c r="K231" s="11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9" t="str">
        <f>IFERROR(__xludf.DUMMYFUNCTION("""COMPUTED_VALUE"""),"Eckenrode")</f>
        <v>Eckenrode</v>
      </c>
      <c r="B232" s="8" t="str">
        <f>IFERROR(__xludf.DUMMYFUNCTION("""COMPUTED_VALUE"""),"Brad")</f>
        <v>Brad</v>
      </c>
      <c r="C232" s="8" t="str">
        <f>IFERROR(__xludf.DUMMYFUNCTION("""COMPUTED_VALUE"""),"Fort Walton Beach")</f>
        <v>Fort Walton Beach</v>
      </c>
      <c r="D232" s="8" t="str">
        <f>IFERROR(__xludf.DUMMYFUNCTION("""COMPUTED_VALUE"""),"FL")</f>
        <v>FL</v>
      </c>
      <c r="E232" s="8" t="str">
        <f>IFERROR(__xludf.DUMMYFUNCTION("""COMPUTED_VALUE"""),"USA")</f>
        <v>USA</v>
      </c>
      <c r="F232" s="8" t="str">
        <f>IFERROR(__xludf.DUMMYFUNCTION("""COMPUTED_VALUE"""),"Mixed Triples")</f>
        <v>Mixed Triples</v>
      </c>
      <c r="G232" s="8" t="str">
        <f>IFERROR(__xludf.DUMMYFUNCTION("""COMPUTED_VALUE"""),"1st")</f>
        <v>1st</v>
      </c>
      <c r="H232" s="8" t="str">
        <f>IFERROR(__xludf.DUMMYFUNCTION("""COMPUTED_VALUE"""),"GA Regional 33")</f>
        <v>GA Regional 33</v>
      </c>
      <c r="I232" s="10">
        <f>IFERROR(__xludf.DUMMYFUNCTION("""COMPUTED_VALUE"""),43252.0)</f>
        <v>43252</v>
      </c>
      <c r="J232" s="10">
        <f>IFERROR(__xludf.DUMMYFUNCTION("""COMPUTED_VALUE"""),44348.0)</f>
        <v>44348</v>
      </c>
      <c r="K232" s="11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9" t="str">
        <f>IFERROR(__xludf.DUMMYFUNCTION("""COMPUTED_VALUE"""),"Edwards")</f>
        <v>Edwards</v>
      </c>
      <c r="B233" s="8" t="str">
        <f>IFERROR(__xludf.DUMMYFUNCTION("""COMPUTED_VALUE"""),"Vincent")</f>
        <v>Vincent</v>
      </c>
      <c r="C233" s="8" t="str">
        <f>IFERROR(__xludf.DUMMYFUNCTION("""COMPUTED_VALUE"""),"Spring Hill")</f>
        <v>Spring Hill</v>
      </c>
      <c r="D233" s="8" t="str">
        <f>IFERROR(__xludf.DUMMYFUNCTION("""COMPUTED_VALUE"""),"FL")</f>
        <v>FL</v>
      </c>
      <c r="E233" s="8" t="str">
        <f>IFERROR(__xludf.DUMMYFUNCTION("""COMPUTED_VALUE"""),"USA")</f>
        <v>USA</v>
      </c>
      <c r="F233" s="8" t="str">
        <f>IFERROR(__xludf.DUMMYFUNCTION("""COMPUTED_VALUE"""),"Men Doubles 501")</f>
        <v>Men Doubles 501</v>
      </c>
      <c r="G233" s="8" t="str">
        <f>IFERROR(__xludf.DUMMYFUNCTION("""COMPUTED_VALUE"""),"2nd")</f>
        <v>2nd</v>
      </c>
      <c r="H233" s="8" t="str">
        <f>IFERROR(__xludf.DUMMYFUNCTION("""COMPUTED_VALUE"""),"Florida BS 34")</f>
        <v>Florida BS 34</v>
      </c>
      <c r="I233" s="10">
        <f>IFERROR(__xludf.DUMMYFUNCTION("""COMPUTED_VALUE"""),43617.0)</f>
        <v>43617</v>
      </c>
      <c r="J233" s="10">
        <f>IFERROR(__xludf.DUMMYFUNCTION("""COMPUTED_VALUE"""),44713.0)</f>
        <v>44713</v>
      </c>
      <c r="K233" s="11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9" t="str">
        <f>IFERROR(__xludf.DUMMYFUNCTION("""COMPUTED_VALUE"""),"Eichor")</f>
        <v>Eichor</v>
      </c>
      <c r="B234" s="8" t="str">
        <f>IFERROR(__xludf.DUMMYFUNCTION("""COMPUTED_VALUE"""),"Gary")</f>
        <v>Gary</v>
      </c>
      <c r="C234" s="8" t="str">
        <f>IFERROR(__xludf.DUMMYFUNCTION("""COMPUTED_VALUE"""),"Scottdale")</f>
        <v>Scottdale</v>
      </c>
      <c r="D234" s="8" t="str">
        <f>IFERROR(__xludf.DUMMYFUNCTION("""COMPUTED_VALUE"""),"PA")</f>
        <v>PA</v>
      </c>
      <c r="E234" s="8" t="str">
        <f>IFERROR(__xludf.DUMMYFUNCTION("""COMPUTED_VALUE"""),"USA")</f>
        <v>USA</v>
      </c>
      <c r="F234" s="8" t="str">
        <f>IFERROR(__xludf.DUMMYFUNCTION("""COMPUTED_VALUE"""),"Mens Cricket Doubles")</f>
        <v>Mens Cricket Doubles</v>
      </c>
      <c r="G234" s="8" t="str">
        <f>IFERROR(__xludf.DUMMYFUNCTION("""COMPUTED_VALUE"""),"3rd")</f>
        <v>3rd</v>
      </c>
      <c r="H234" s="8" t="str">
        <f>IFERROR(__xludf.DUMMYFUNCTION("""COMPUTED_VALUE"""),"PA Regional 33")</f>
        <v>PA Regional 33</v>
      </c>
      <c r="I234" s="10">
        <f>IFERROR(__xludf.DUMMYFUNCTION("""COMPUTED_VALUE"""),43252.0)</f>
        <v>43252</v>
      </c>
      <c r="J234" s="10">
        <f>IFERROR(__xludf.DUMMYFUNCTION("""COMPUTED_VALUE"""),44348.0)</f>
        <v>44348</v>
      </c>
      <c r="K234" s="11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12" t="str">
        <f>IFERROR(__xludf.DUMMYFUNCTION("""COMPUTED_VALUE"""),"Eichorst")</f>
        <v>Eichorst</v>
      </c>
      <c r="B235" s="13" t="str">
        <f>IFERROR(__xludf.DUMMYFUNCTION("""COMPUTED_VALUE"""),"James")</f>
        <v>James</v>
      </c>
      <c r="C235" s="13" t="str">
        <f>IFERROR(__xludf.DUMMYFUNCTION("""COMPUTED_VALUE"""),"Walton")</f>
        <v>Walton</v>
      </c>
      <c r="D235" s="13" t="str">
        <f>IFERROR(__xludf.DUMMYFUNCTION("""COMPUTED_VALUE"""),"KY")</f>
        <v>KY</v>
      </c>
      <c r="E235" s="13" t="str">
        <f>IFERROR(__xludf.DUMMYFUNCTION("""COMPUTED_VALUE"""),"USA")</f>
        <v>USA</v>
      </c>
      <c r="F235" s="13" t="str">
        <f>IFERROR(__xludf.DUMMYFUNCTION("""COMPUTED_VALUE"""),"Pro Doubles")</f>
        <v>Pro Doubles</v>
      </c>
      <c r="G235" s="13" t="str">
        <f>IFERROR(__xludf.DUMMYFUNCTION("""COMPUTED_VALUE"""),"1st")</f>
        <v>1st</v>
      </c>
      <c r="H235" s="13" t="str">
        <f>IFERROR(__xludf.DUMMYFUNCTION("""COMPUTED_VALUE"""),"OH Regional 33")</f>
        <v>OH Regional 33</v>
      </c>
      <c r="I235" s="14">
        <f>IFERROR(__xludf.DUMMYFUNCTION("""COMPUTED_VALUE"""),42887.0)</f>
        <v>42887</v>
      </c>
      <c r="J235" s="14">
        <f>IFERROR(__xludf.DUMMYFUNCTION("""COMPUTED_VALUE"""),44348.0)</f>
        <v>44348</v>
      </c>
      <c r="K235" s="11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9" t="str">
        <f>IFERROR(__xludf.DUMMYFUNCTION("""COMPUTED_VALUE"""),"Eisner")</f>
        <v>Eisner</v>
      </c>
      <c r="B236" s="8" t="str">
        <f>IFERROR(__xludf.DUMMYFUNCTION("""COMPUTED_VALUE"""),"Tim")</f>
        <v>Tim</v>
      </c>
      <c r="C236" s="8" t="str">
        <f>IFERROR(__xludf.DUMMYFUNCTION("""COMPUTED_VALUE"""),"Whitewater")</f>
        <v>Whitewater</v>
      </c>
      <c r="D236" s="8" t="str">
        <f>IFERROR(__xludf.DUMMYFUNCTION("""COMPUTED_VALUE"""),"WI")</f>
        <v>WI</v>
      </c>
      <c r="E236" s="8" t="str">
        <f>IFERROR(__xludf.DUMMYFUNCTION("""COMPUTED_VALUE"""),"USA")</f>
        <v>USA</v>
      </c>
      <c r="F236" s="8" t="str">
        <f>IFERROR(__xludf.DUMMYFUNCTION("""COMPUTED_VALUE"""),"Pro Doubles")</f>
        <v>Pro Doubles</v>
      </c>
      <c r="G236" s="8" t="str">
        <f>IFERROR(__xludf.DUMMYFUNCTION("""COMPUTED_VALUE"""),"2nd")</f>
        <v>2nd</v>
      </c>
      <c r="H236" s="8" t="str">
        <f>IFERROR(__xludf.DUMMYFUNCTION("""COMPUTED_VALUE"""),"WI Regional 33")</f>
        <v>WI Regional 33</v>
      </c>
      <c r="I236" s="10">
        <f>IFERROR(__xludf.DUMMYFUNCTION("""COMPUTED_VALUE"""),42887.0)</f>
        <v>42887</v>
      </c>
      <c r="J236" s="10">
        <f>IFERROR(__xludf.DUMMYFUNCTION("""COMPUTED_VALUE"""),44348.0)</f>
        <v>44348</v>
      </c>
      <c r="K236" s="11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9" t="str">
        <f>IFERROR(__xludf.DUMMYFUNCTION("""COMPUTED_VALUE"""),"Elder")</f>
        <v>Elder</v>
      </c>
      <c r="B237" s="8" t="str">
        <f>IFERROR(__xludf.DUMMYFUNCTION("""COMPUTED_VALUE"""),"Craig")</f>
        <v>Craig</v>
      </c>
      <c r="C237" s="8" t="str">
        <f>IFERROR(__xludf.DUMMYFUNCTION("""COMPUTED_VALUE"""),"Myrtle Beach")</f>
        <v>Myrtle Beach</v>
      </c>
      <c r="D237" s="8" t="str">
        <f>IFERROR(__xludf.DUMMYFUNCTION("""COMPUTED_VALUE"""),"SC")</f>
        <v>SC</v>
      </c>
      <c r="E237" s="8" t="str">
        <f>IFERROR(__xludf.DUMMYFUNCTION("""COMPUTED_VALUE"""),"USA")</f>
        <v>USA</v>
      </c>
      <c r="F237" s="8" t="str">
        <f>IFERROR(__xludf.DUMMYFUNCTION("""COMPUTED_VALUE"""),"Pro Doubles")</f>
        <v>Pro Doubles</v>
      </c>
      <c r="G237" s="8" t="str">
        <f>IFERROR(__xludf.DUMMYFUNCTION("""COMPUTED_VALUE"""),"3rd")</f>
        <v>3rd</v>
      </c>
      <c r="H237" s="8" t="str">
        <f>IFERROR(__xludf.DUMMYFUNCTION("""COMPUTED_VALUE"""),"SC Regional 33")</f>
        <v>SC Regional 33</v>
      </c>
      <c r="I237" s="10">
        <f>IFERROR(__xludf.DUMMYFUNCTION("""COMPUTED_VALUE"""),42887.0)</f>
        <v>42887</v>
      </c>
      <c r="J237" s="10">
        <f>IFERROR(__xludf.DUMMYFUNCTION("""COMPUTED_VALUE"""),44348.0)</f>
        <v>44348</v>
      </c>
      <c r="K237" s="11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9" t="str">
        <f>IFERROR(__xludf.DUMMYFUNCTION("""COMPUTED_VALUE"""),"Elderbroom")</f>
        <v>Elderbroom</v>
      </c>
      <c r="B238" s="8" t="str">
        <f>IFERROR(__xludf.DUMMYFUNCTION("""COMPUTED_VALUE"""),"Mike")</f>
        <v>Mike</v>
      </c>
      <c r="C238" s="8" t="str">
        <f>IFERROR(__xludf.DUMMYFUNCTION("""COMPUTED_VALUE"""),"Lake Wylie")</f>
        <v>Lake Wylie</v>
      </c>
      <c r="D238" s="8" t="str">
        <f>IFERROR(__xludf.DUMMYFUNCTION("""COMPUTED_VALUE"""),"SC")</f>
        <v>SC</v>
      </c>
      <c r="E238" s="8" t="str">
        <f>IFERROR(__xludf.DUMMYFUNCTION("""COMPUTED_VALUE"""),"USA")</f>
        <v>USA</v>
      </c>
      <c r="F238" s="8" t="str">
        <f>IFERROR(__xludf.DUMMYFUNCTION("""COMPUTED_VALUE"""),"ADO 2014")</f>
        <v>ADO 2014</v>
      </c>
      <c r="G238" s="8" t="str">
        <f>IFERROR(__xludf.DUMMYFUNCTION("""COMPUTED_VALUE"""),"46th")</f>
        <v>46th</v>
      </c>
      <c r="H238" s="8" t="str">
        <f>IFERROR(__xludf.DUMMYFUNCTION("""COMPUTED_VALUE"""),"Off AA List")</f>
        <v>Off AA List</v>
      </c>
      <c r="I238" s="10">
        <f>IFERROR(__xludf.DUMMYFUNCTION("""COMPUTED_VALUE"""),42887.0)</f>
        <v>42887</v>
      </c>
      <c r="J238" s="10">
        <f>IFERROR(__xludf.DUMMYFUNCTION("""COMPUTED_VALUE"""),43983.0)</f>
        <v>43983</v>
      </c>
      <c r="K238" s="11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9" t="str">
        <f>IFERROR(__xludf.DUMMYFUNCTION("""COMPUTED_VALUE"""),"Eldridge")</f>
        <v>Eldridge</v>
      </c>
      <c r="B239" s="8" t="str">
        <f>IFERROR(__xludf.DUMMYFUNCTION("""COMPUTED_VALUE"""),"James")</f>
        <v>James</v>
      </c>
      <c r="C239" s="8" t="str">
        <f>IFERROR(__xludf.DUMMYFUNCTION("""COMPUTED_VALUE"""),"Columbus")</f>
        <v>Columbus</v>
      </c>
      <c r="D239" s="8" t="str">
        <f>IFERROR(__xludf.DUMMYFUNCTION("""COMPUTED_VALUE"""),"GA")</f>
        <v>GA</v>
      </c>
      <c r="E239" s="8" t="str">
        <f>IFERROR(__xludf.DUMMYFUNCTION("""COMPUTED_VALUE"""),"USA")</f>
        <v>USA</v>
      </c>
      <c r="F239" s="8" t="str">
        <f>IFERROR(__xludf.DUMMYFUNCTION("""COMPUTED_VALUE"""),"Pro/Am Cricket")</f>
        <v>Pro/Am Cricket</v>
      </c>
      <c r="G239" s="8" t="str">
        <f>IFERROR(__xludf.DUMMYFUNCTION("""COMPUTED_VALUE"""),"1st")</f>
        <v>1st</v>
      </c>
      <c r="H239" s="8" t="str">
        <f>IFERROR(__xludf.DUMMYFUNCTION("""COMPUTED_VALUE"""),"Georgia BS 34")</f>
        <v>Georgia BS 34</v>
      </c>
      <c r="I239" s="10">
        <f>IFERROR(__xludf.DUMMYFUNCTION("""COMPUTED_VALUE"""),43617.0)</f>
        <v>43617</v>
      </c>
      <c r="J239" s="10">
        <f>IFERROR(__xludf.DUMMYFUNCTION("""COMPUTED_VALUE"""),44713.0)</f>
        <v>44713</v>
      </c>
      <c r="K239" s="11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9" t="str">
        <f>IFERROR(__xludf.DUMMYFUNCTION("""COMPUTED_VALUE"""),"Eribal")</f>
        <v>Eribal</v>
      </c>
      <c r="B240" s="8" t="str">
        <f>IFERROR(__xludf.DUMMYFUNCTION("""COMPUTED_VALUE"""),"Bryan")</f>
        <v>Bryan</v>
      </c>
      <c r="C240" s="8" t="str">
        <f>IFERROR(__xludf.DUMMYFUNCTION("""COMPUTED_VALUE"""),"")</f>
        <v/>
      </c>
      <c r="D240" s="8" t="str">
        <f>IFERROR(__xludf.DUMMYFUNCTION("""COMPUTED_VALUE"""),"UNK")</f>
        <v>UNK</v>
      </c>
      <c r="E240" s="8" t="str">
        <f>IFERROR(__xludf.DUMMYFUNCTION("""COMPUTED_VALUE"""),"Philippines")</f>
        <v>Philippines</v>
      </c>
      <c r="F240" s="8" t="str">
        <f>IFERROR(__xludf.DUMMYFUNCTION("""COMPUTED_VALUE"""),"DL")</f>
        <v>DL</v>
      </c>
      <c r="G240" s="8" t="str">
        <f>IFERROR(__xludf.DUMMYFUNCTION("""COMPUTED_VALUE"""),"83rd")</f>
        <v>83rd</v>
      </c>
      <c r="H240" s="8" t="str">
        <f>IFERROR(__xludf.DUMMYFUNCTION("""COMPUTED_VALUE"""),"DL")</f>
        <v>DL</v>
      </c>
      <c r="I240" s="10">
        <f>IFERROR(__xludf.DUMMYFUNCTION("""COMPUTED_VALUE"""),42401.0)</f>
        <v>42401</v>
      </c>
      <c r="J240" s="10">
        <f>IFERROR(__xludf.DUMMYFUNCTION("""COMPUTED_VALUE"""),44713.0)</f>
        <v>44713</v>
      </c>
      <c r="K240" s="11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9" t="str">
        <f>IFERROR(__xludf.DUMMYFUNCTION("""COMPUTED_VALUE"""),"Espinoza")</f>
        <v>Espinoza</v>
      </c>
      <c r="B241" s="8" t="str">
        <f>IFERROR(__xludf.DUMMYFUNCTION("""COMPUTED_VALUE"""),"Richard")</f>
        <v>Richard</v>
      </c>
      <c r="C241" s="8" t="str">
        <f>IFERROR(__xludf.DUMMYFUNCTION("""COMPUTED_VALUE"""),"Owatonna")</f>
        <v>Owatonna</v>
      </c>
      <c r="D241" s="8" t="str">
        <f>IFERROR(__xludf.DUMMYFUNCTION("""COMPUTED_VALUE"""),"MN")</f>
        <v>MN</v>
      </c>
      <c r="E241" s="8" t="str">
        <f>IFERROR(__xludf.DUMMYFUNCTION("""COMPUTED_VALUE"""),"USA")</f>
        <v>USA</v>
      </c>
      <c r="F241" s="8" t="str">
        <f>IFERROR(__xludf.DUMMYFUNCTION("""COMPUTED_VALUE"""),"Men's Doubles")</f>
        <v>Men's Doubles</v>
      </c>
      <c r="G241" s="8" t="str">
        <f>IFERROR(__xludf.DUMMYFUNCTION("""COMPUTED_VALUE"""),"1st")</f>
        <v>1st</v>
      </c>
      <c r="H241" s="8" t="str">
        <f>IFERROR(__xludf.DUMMYFUNCTION("""COMPUTED_VALUE"""),"BullShooter 32")</f>
        <v>BullShooter 32</v>
      </c>
      <c r="I241" s="10">
        <f>IFERROR(__xludf.DUMMYFUNCTION("""COMPUTED_VALUE"""),42887.0)</f>
        <v>42887</v>
      </c>
      <c r="J241" s="10">
        <f>IFERROR(__xludf.DUMMYFUNCTION("""COMPUTED_VALUE"""),43983.0)</f>
        <v>43983</v>
      </c>
      <c r="K241" s="11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9" t="str">
        <f>IFERROR(__xludf.DUMMYFUNCTION("""COMPUTED_VALUE"""),"Eugea")</f>
        <v>Eugea</v>
      </c>
      <c r="B242" s="8" t="str">
        <f>IFERROR(__xludf.DUMMYFUNCTION("""COMPUTED_VALUE"""),"Timothy")</f>
        <v>Timothy</v>
      </c>
      <c r="C242" s="8" t="str">
        <f>IFERROR(__xludf.DUMMYFUNCTION("""COMPUTED_VALUE"""),"Granite City")</f>
        <v>Granite City</v>
      </c>
      <c r="D242" s="8" t="str">
        <f>IFERROR(__xludf.DUMMYFUNCTION("""COMPUTED_VALUE"""),"IL")</f>
        <v>IL</v>
      </c>
      <c r="E242" s="8" t="str">
        <f>IFERROR(__xludf.DUMMYFUNCTION("""COMPUTED_VALUE"""),"USA")</f>
        <v>USA</v>
      </c>
      <c r="F242" s="8" t="str">
        <f>IFERROR(__xludf.DUMMYFUNCTION("""COMPUTED_VALUE"""),"Men Doubles Cricket")</f>
        <v>Men Doubles Cricket</v>
      </c>
      <c r="G242" s="8" t="str">
        <f>IFERROR(__xludf.DUMMYFUNCTION("""COMPUTED_VALUE"""),"1st")</f>
        <v>1st</v>
      </c>
      <c r="H242" s="8" t="str">
        <f>IFERROR(__xludf.DUMMYFUNCTION("""COMPUTED_VALUE"""),"Tennessee BS 34")</f>
        <v>Tennessee BS 34</v>
      </c>
      <c r="I242" s="10">
        <f>IFERROR(__xludf.DUMMYFUNCTION("""COMPUTED_VALUE"""),43617.0)</f>
        <v>43617</v>
      </c>
      <c r="J242" s="10">
        <f>IFERROR(__xludf.DUMMYFUNCTION("""COMPUTED_VALUE"""),44713.0)</f>
        <v>44713</v>
      </c>
      <c r="K242" s="11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9" t="str">
        <f>IFERROR(__xludf.DUMMYFUNCTION("""COMPUTED_VALUE"""),"Evans")</f>
        <v>Evans</v>
      </c>
      <c r="B243" s="8" t="str">
        <f>IFERROR(__xludf.DUMMYFUNCTION("""COMPUTED_VALUE"""),"Tom")</f>
        <v>Tom</v>
      </c>
      <c r="C243" s="8" t="str">
        <f>IFERROR(__xludf.DUMMYFUNCTION("""COMPUTED_VALUE"""),"Hernando Beach")</f>
        <v>Hernando Beach</v>
      </c>
      <c r="D243" s="8" t="str">
        <f>IFERROR(__xludf.DUMMYFUNCTION("""COMPUTED_VALUE"""),"FL")</f>
        <v>FL</v>
      </c>
      <c r="E243" s="8" t="str">
        <f>IFERROR(__xludf.DUMMYFUNCTION("""COMPUTED_VALUE"""),"USA")</f>
        <v>USA</v>
      </c>
      <c r="F243" s="8" t="str">
        <f>IFERROR(__xludf.DUMMYFUNCTION("""COMPUTED_VALUE"""),"Pro Doubles 501")</f>
        <v>Pro Doubles 501</v>
      </c>
      <c r="G243" s="8" t="str">
        <f>IFERROR(__xludf.DUMMYFUNCTION("""COMPUTED_VALUE"""),"3rd")</f>
        <v>3rd</v>
      </c>
      <c r="H243" s="8" t="str">
        <f>IFERROR(__xludf.DUMMYFUNCTION("""COMPUTED_VALUE"""),"Florida BS 34")</f>
        <v>Florida BS 34</v>
      </c>
      <c r="I243" s="10">
        <f>IFERROR(__xludf.DUMMYFUNCTION("""COMPUTED_VALUE"""),43617.0)</f>
        <v>43617</v>
      </c>
      <c r="J243" s="10">
        <f>IFERROR(__xludf.DUMMYFUNCTION("""COMPUTED_VALUE"""),44713.0)</f>
        <v>44713</v>
      </c>
      <c r="K243" s="11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9" t="str">
        <f>IFERROR(__xludf.DUMMYFUNCTION("""COMPUTED_VALUE"""),"Ewing")</f>
        <v>Ewing</v>
      </c>
      <c r="B244" s="8" t="str">
        <f>IFERROR(__xludf.DUMMYFUNCTION("""COMPUTED_VALUE"""),"Seth")</f>
        <v>Seth</v>
      </c>
      <c r="C244" s="8" t="str">
        <f>IFERROR(__xludf.DUMMYFUNCTION("""COMPUTED_VALUE"""),"Akron")</f>
        <v>Akron</v>
      </c>
      <c r="D244" s="8" t="str">
        <f>IFERROR(__xludf.DUMMYFUNCTION("""COMPUTED_VALUE"""),"OH")</f>
        <v>OH</v>
      </c>
      <c r="E244" s="8" t="str">
        <f>IFERROR(__xludf.DUMMYFUNCTION("""COMPUTED_VALUE"""),"USA")</f>
        <v>USA</v>
      </c>
      <c r="F244" s="8" t="str">
        <f>IFERROR(__xludf.DUMMYFUNCTION("""COMPUTED_VALUE"""),"Mens Cricket Doubles")</f>
        <v>Mens Cricket Doubles</v>
      </c>
      <c r="G244" s="8" t="str">
        <f>IFERROR(__xludf.DUMMYFUNCTION("""COMPUTED_VALUE"""),"3rd")</f>
        <v>3rd</v>
      </c>
      <c r="H244" s="8" t="str">
        <f>IFERROR(__xludf.DUMMYFUNCTION("""COMPUTED_VALUE"""),"OH Regional 32")</f>
        <v>OH Regional 32</v>
      </c>
      <c r="I244" s="10">
        <f>IFERROR(__xludf.DUMMYFUNCTION("""COMPUTED_VALUE"""),42887.0)</f>
        <v>42887</v>
      </c>
      <c r="J244" s="10">
        <f>IFERROR(__xludf.DUMMYFUNCTION("""COMPUTED_VALUE"""),43983.0)</f>
        <v>43983</v>
      </c>
      <c r="K244" s="11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9" t="str">
        <f>IFERROR(__xludf.DUMMYFUNCTION("""COMPUTED_VALUE"""),"Fatum")</f>
        <v>Fatum</v>
      </c>
      <c r="B245" s="8" t="str">
        <f>IFERROR(__xludf.DUMMYFUNCTION("""COMPUTED_VALUE"""),"David")</f>
        <v>David</v>
      </c>
      <c r="C245" s="8" t="str">
        <f>IFERROR(__xludf.DUMMYFUNCTION("""COMPUTED_VALUE"""),"Glendale")</f>
        <v>Glendale</v>
      </c>
      <c r="D245" s="8" t="str">
        <f>IFERROR(__xludf.DUMMYFUNCTION("""COMPUTED_VALUE"""),"AZ")</f>
        <v>AZ</v>
      </c>
      <c r="E245" s="8" t="str">
        <f>IFERROR(__xludf.DUMMYFUNCTION("""COMPUTED_VALUE"""),"USA")</f>
        <v>USA</v>
      </c>
      <c r="F245" s="8" t="str">
        <f>IFERROR(__xludf.DUMMYFUNCTION("""COMPUTED_VALUE"""),"NAPDA 2018")</f>
        <v>NAPDA 2018</v>
      </c>
      <c r="G245" s="8" t="str">
        <f>IFERROR(__xludf.DUMMYFUNCTION("""COMPUTED_VALUE"""),"4th")</f>
        <v>4th</v>
      </c>
      <c r="H245" s="8" t="str">
        <f>IFERROR(__xludf.DUMMYFUNCTION("""COMPUTED_VALUE"""),"Known Ability")</f>
        <v>Known Ability</v>
      </c>
      <c r="I245" s="10">
        <f>IFERROR(__xludf.DUMMYFUNCTION("""COMPUTED_VALUE"""),43132.0)</f>
        <v>43132</v>
      </c>
      <c r="J245" s="10">
        <f>IFERROR(__xludf.DUMMYFUNCTION("""COMPUTED_VALUE"""),45809.0)</f>
        <v>45809</v>
      </c>
      <c r="K245" s="11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9" t="str">
        <f>IFERROR(__xludf.DUMMYFUNCTION("""COMPUTED_VALUE"""),"Feldpusch")</f>
        <v>Feldpusch</v>
      </c>
      <c r="B246" s="8" t="str">
        <f>IFERROR(__xludf.DUMMYFUNCTION("""COMPUTED_VALUE"""),"David")</f>
        <v>David</v>
      </c>
      <c r="C246" s="8" t="str">
        <f>IFERROR(__xludf.DUMMYFUNCTION("""COMPUTED_VALUE"""),"North Canton")</f>
        <v>North Canton</v>
      </c>
      <c r="D246" s="8" t="str">
        <f>IFERROR(__xludf.DUMMYFUNCTION("""COMPUTED_VALUE"""),"OH")</f>
        <v>OH</v>
      </c>
      <c r="E246" s="8" t="str">
        <f>IFERROR(__xludf.DUMMYFUNCTION("""COMPUTED_VALUE"""),"USA")</f>
        <v>USA</v>
      </c>
      <c r="F246" s="8" t="str">
        <f>IFERROR(__xludf.DUMMYFUNCTION("""COMPUTED_VALUE"""),"Pro Singles")</f>
        <v>Pro Singles</v>
      </c>
      <c r="G246" s="8" t="str">
        <f>IFERROR(__xludf.DUMMYFUNCTION("""COMPUTED_VALUE"""),"2nd")</f>
        <v>2nd</v>
      </c>
      <c r="H246" s="8" t="str">
        <f>IFERROR(__xludf.DUMMYFUNCTION("""COMPUTED_VALUE"""),"BullShooter 31")</f>
        <v>BullShooter 31</v>
      </c>
      <c r="I246" s="10">
        <f>IFERROR(__xludf.DUMMYFUNCTION("""COMPUTED_VALUE"""),42522.0)</f>
        <v>42522</v>
      </c>
      <c r="J246" s="10">
        <f>IFERROR(__xludf.DUMMYFUNCTION("""COMPUTED_VALUE"""),44713.0)</f>
        <v>44713</v>
      </c>
      <c r="K246" s="11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9" t="str">
        <f>IFERROR(__xludf.DUMMYFUNCTION("""COMPUTED_VALUE"""),"Ferguson")</f>
        <v>Ferguson</v>
      </c>
      <c r="B247" s="8" t="str">
        <f>IFERROR(__xludf.DUMMYFUNCTION("""COMPUTED_VALUE"""),"Brad")</f>
        <v>Brad</v>
      </c>
      <c r="C247" s="8" t="str">
        <f>IFERROR(__xludf.DUMMYFUNCTION("""COMPUTED_VALUE"""),"Lewistown")</f>
        <v>Lewistown</v>
      </c>
      <c r="D247" s="8" t="str">
        <f>IFERROR(__xludf.DUMMYFUNCTION("""COMPUTED_VALUE"""),"PA")</f>
        <v>PA</v>
      </c>
      <c r="E247" s="8" t="str">
        <f>IFERROR(__xludf.DUMMYFUNCTION("""COMPUTED_VALUE"""),"USA")</f>
        <v>USA</v>
      </c>
      <c r="F247" s="8" t="str">
        <f>IFERROR(__xludf.DUMMYFUNCTION("""COMPUTED_VALUE"""),"Pro/Am Cricket")</f>
        <v>Pro/Am Cricket</v>
      </c>
      <c r="G247" s="8" t="str">
        <f>IFERROR(__xludf.DUMMYFUNCTION("""COMPUTED_VALUE"""),"2nd")</f>
        <v>2nd</v>
      </c>
      <c r="H247" s="8" t="str">
        <f>IFERROR(__xludf.DUMMYFUNCTION("""COMPUTED_VALUE"""),"Pennsylvania BS 34")</f>
        <v>Pennsylvania BS 34</v>
      </c>
      <c r="I247" s="10">
        <f>IFERROR(__xludf.DUMMYFUNCTION("""COMPUTED_VALUE"""),43617.0)</f>
        <v>43617</v>
      </c>
      <c r="J247" s="10">
        <f>IFERROR(__xludf.DUMMYFUNCTION("""COMPUTED_VALUE"""),44713.0)</f>
        <v>44713</v>
      </c>
      <c r="K247" s="11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9" t="str">
        <f>IFERROR(__xludf.DUMMYFUNCTION("""COMPUTED_VALUE"""),"Fernando")</f>
        <v>Fernando</v>
      </c>
      <c r="B248" s="8" t="str">
        <f>IFERROR(__xludf.DUMMYFUNCTION("""COMPUTED_VALUE"""),"Junlan")</f>
        <v>Junlan</v>
      </c>
      <c r="C248" s="8" t="str">
        <f>IFERROR(__xludf.DUMMYFUNCTION("""COMPUTED_VALUE"""),"Portsmouth")</f>
        <v>Portsmouth</v>
      </c>
      <c r="D248" s="8" t="str">
        <f>IFERROR(__xludf.DUMMYFUNCTION("""COMPUTED_VALUE"""),"OH")</f>
        <v>OH</v>
      </c>
      <c r="E248" s="8" t="str">
        <f>IFERROR(__xludf.DUMMYFUNCTION("""COMPUTED_VALUE"""),"USA")</f>
        <v>USA</v>
      </c>
      <c r="F248" s="8" t="str">
        <f>IFERROR(__xludf.DUMMYFUNCTION("""COMPUTED_VALUE"""),"Pro Doubles 501")</f>
        <v>Pro Doubles 501</v>
      </c>
      <c r="G248" s="8" t="str">
        <f>IFERROR(__xludf.DUMMYFUNCTION("""COMPUTED_VALUE"""),"2nd")</f>
        <v>2nd</v>
      </c>
      <c r="H248" s="8" t="str">
        <f>IFERROR(__xludf.DUMMYFUNCTION("""COMPUTED_VALUE"""),"Ohio BS 34")</f>
        <v>Ohio BS 34</v>
      </c>
      <c r="I248" s="10">
        <f>IFERROR(__xludf.DUMMYFUNCTION("""COMPUTED_VALUE"""),43617.0)</f>
        <v>43617</v>
      </c>
      <c r="J248" s="10">
        <f>IFERROR(__xludf.DUMMYFUNCTION("""COMPUTED_VALUE"""),44713.0)</f>
        <v>44713</v>
      </c>
      <c r="K248" s="11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9" t="str">
        <f>IFERROR(__xludf.DUMMYFUNCTION("""COMPUTED_VALUE"""),"Fields")</f>
        <v>Fields</v>
      </c>
      <c r="B249" s="8" t="str">
        <f>IFERROR(__xludf.DUMMYFUNCTION("""COMPUTED_VALUE"""),"Gregory")</f>
        <v>Gregory</v>
      </c>
      <c r="C249" s="8" t="str">
        <f>IFERROR(__xludf.DUMMYFUNCTION("""COMPUTED_VALUE"""),"Kingsport")</f>
        <v>Kingsport</v>
      </c>
      <c r="D249" s="8" t="str">
        <f>IFERROR(__xludf.DUMMYFUNCTION("""COMPUTED_VALUE"""),"TN")</f>
        <v>TN</v>
      </c>
      <c r="E249" s="8" t="str">
        <f>IFERROR(__xludf.DUMMYFUNCTION("""COMPUTED_VALUE"""),"USA")</f>
        <v>USA</v>
      </c>
      <c r="F249" s="8" t="str">
        <f>IFERROR(__xludf.DUMMYFUNCTION("""COMPUTED_VALUE"""),"Pro Doubles")</f>
        <v>Pro Doubles</v>
      </c>
      <c r="G249" s="8" t="str">
        <f>IFERROR(__xludf.DUMMYFUNCTION("""COMPUTED_VALUE"""),"2nd")</f>
        <v>2nd</v>
      </c>
      <c r="H249" s="8" t="str">
        <f>IFERROR(__xludf.DUMMYFUNCTION("""COMPUTED_VALUE"""),"TN Regional 32")</f>
        <v>TN Regional 32</v>
      </c>
      <c r="I249" s="10">
        <f>IFERROR(__xludf.DUMMYFUNCTION("""COMPUTED_VALUE"""),42887.0)</f>
        <v>42887</v>
      </c>
      <c r="J249" s="10">
        <f>IFERROR(__xludf.DUMMYFUNCTION("""COMPUTED_VALUE"""),43983.0)</f>
        <v>43983</v>
      </c>
      <c r="K249" s="11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9" t="str">
        <f>IFERROR(__xludf.DUMMYFUNCTION("""COMPUTED_VALUE"""),"Fitton")</f>
        <v>Fitton</v>
      </c>
      <c r="B250" s="8" t="str">
        <f>IFERROR(__xludf.DUMMYFUNCTION("""COMPUTED_VALUE"""),"Darryl")</f>
        <v>Darryl</v>
      </c>
      <c r="C250" s="8" t="str">
        <f>IFERROR(__xludf.DUMMYFUNCTION("""COMPUTED_VALUE"""),"")</f>
        <v/>
      </c>
      <c r="D250" s="8" t="str">
        <f>IFERROR(__xludf.DUMMYFUNCTION("""COMPUTED_VALUE"""),"UNK")</f>
        <v>UNK</v>
      </c>
      <c r="E250" s="8" t="str">
        <f>IFERROR(__xludf.DUMMYFUNCTION("""COMPUTED_VALUE"""),"United Kingdom")</f>
        <v>United Kingdom</v>
      </c>
      <c r="F250" s="8" t="str">
        <f>IFERROR(__xludf.DUMMYFUNCTION("""COMPUTED_VALUE"""),"PDC Merit Ranking")</f>
        <v>PDC Merit Ranking</v>
      </c>
      <c r="G250" s="8" t="str">
        <f>IFERROR(__xludf.DUMMYFUNCTION("""COMPUTED_VALUE"""),"89th")</f>
        <v>89th</v>
      </c>
      <c r="H250" s="8" t="str">
        <f>IFERROR(__xludf.DUMMYFUNCTION("""COMPUTED_VALUE"""),"PDC Merit Ranking")</f>
        <v>PDC Merit Ranking</v>
      </c>
      <c r="I250" s="10">
        <f>IFERROR(__xludf.DUMMYFUNCTION("""COMPUTED_VALUE"""),42401.0)</f>
        <v>42401</v>
      </c>
      <c r="J250" s="10">
        <f>IFERROR(__xludf.DUMMYFUNCTION("""COMPUTED_VALUE"""),44713.0)</f>
        <v>44713</v>
      </c>
      <c r="K250" s="11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9" t="str">
        <f>IFERROR(__xludf.DUMMYFUNCTION("""COMPUTED_VALUE"""),"Fitzgerald")</f>
        <v>Fitzgerald</v>
      </c>
      <c r="B251" s="8" t="str">
        <f>IFERROR(__xludf.DUMMYFUNCTION("""COMPUTED_VALUE"""),"John")</f>
        <v>John</v>
      </c>
      <c r="C251" s="8" t="str">
        <f>IFERROR(__xludf.DUMMYFUNCTION("""COMPUTED_VALUE"""),"Fredericksburg")</f>
        <v>Fredericksburg</v>
      </c>
      <c r="D251" s="8" t="str">
        <f>IFERROR(__xludf.DUMMYFUNCTION("""COMPUTED_VALUE"""),"VA")</f>
        <v>VA</v>
      </c>
      <c r="E251" s="8" t="str">
        <f>IFERROR(__xludf.DUMMYFUNCTION("""COMPUTED_VALUE"""),"USA")</f>
        <v>USA</v>
      </c>
      <c r="F251" s="8" t="str">
        <f>IFERROR(__xludf.DUMMYFUNCTION("""COMPUTED_VALUE"""),"TopGun Men Singles")</f>
        <v>TopGun Men Singles</v>
      </c>
      <c r="G251" s="8" t="str">
        <f>IFERROR(__xludf.DUMMYFUNCTION("""COMPUTED_VALUE"""),"2nd")</f>
        <v>2nd</v>
      </c>
      <c r="H251" s="8" t="str">
        <f>IFERROR(__xludf.DUMMYFUNCTION("""COMPUTED_VALUE"""),"BullShooter 34 Finals")</f>
        <v>BullShooter 34 Finals</v>
      </c>
      <c r="I251" s="10">
        <f>IFERROR(__xludf.DUMMYFUNCTION("""COMPUTED_VALUE"""),43617.0)</f>
        <v>43617</v>
      </c>
      <c r="J251" s="10">
        <f>IFERROR(__xludf.DUMMYFUNCTION("""COMPUTED_VALUE"""),44713.0)</f>
        <v>44713</v>
      </c>
      <c r="K251" s="11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9" t="str">
        <f>IFERROR(__xludf.DUMMYFUNCTION("""COMPUTED_VALUE"""),"Florian")</f>
        <v>Florian</v>
      </c>
      <c r="B252" s="8" t="str">
        <f>IFERROR(__xludf.DUMMYFUNCTION("""COMPUTED_VALUE"""),"Eugene")</f>
        <v>Eugene</v>
      </c>
      <c r="C252" s="8" t="str">
        <f>IFERROR(__xludf.DUMMYFUNCTION("""COMPUTED_VALUE"""),"Marietta")</f>
        <v>Marietta</v>
      </c>
      <c r="D252" s="8" t="str">
        <f>IFERROR(__xludf.DUMMYFUNCTION("""COMPUTED_VALUE"""),"NY")</f>
        <v>NY</v>
      </c>
      <c r="E252" s="8" t="str">
        <f>IFERROR(__xludf.DUMMYFUNCTION("""COMPUTED_VALUE"""),"USA")</f>
        <v>USA</v>
      </c>
      <c r="F252" s="8" t="str">
        <f>IFERROR(__xludf.DUMMYFUNCTION("""COMPUTED_VALUE"""),"Men Doubles 501")</f>
        <v>Men Doubles 501</v>
      </c>
      <c r="G252" s="8" t="str">
        <f>IFERROR(__xludf.DUMMYFUNCTION("""COMPUTED_VALUE"""),"1st")</f>
        <v>1st</v>
      </c>
      <c r="H252" s="8" t="str">
        <f>IFERROR(__xludf.DUMMYFUNCTION("""COMPUTED_VALUE"""),"New York BS 34")</f>
        <v>New York BS 34</v>
      </c>
      <c r="I252" s="10">
        <f>IFERROR(__xludf.DUMMYFUNCTION("""COMPUTED_VALUE"""),43617.0)</f>
        <v>43617</v>
      </c>
      <c r="J252" s="10">
        <f>IFERROR(__xludf.DUMMYFUNCTION("""COMPUTED_VALUE"""),44713.0)</f>
        <v>44713</v>
      </c>
      <c r="K252" s="11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9" t="str">
        <f>IFERROR(__xludf.DUMMYFUNCTION("""COMPUTED_VALUE"""),"Flowers")</f>
        <v>Flowers</v>
      </c>
      <c r="B253" s="8" t="str">
        <f>IFERROR(__xludf.DUMMYFUNCTION("""COMPUTED_VALUE"""),"David")</f>
        <v>David</v>
      </c>
      <c r="C253" s="8" t="str">
        <f>IFERROR(__xludf.DUMMYFUNCTION("""COMPUTED_VALUE"""),"Henderson")</f>
        <v>Henderson</v>
      </c>
      <c r="D253" s="8" t="str">
        <f>IFERROR(__xludf.DUMMYFUNCTION("""COMPUTED_VALUE"""),"NV")</f>
        <v>NV</v>
      </c>
      <c r="E253" s="8" t="str">
        <f>IFERROR(__xludf.DUMMYFUNCTION("""COMPUTED_VALUE"""),"USA")</f>
        <v>USA</v>
      </c>
      <c r="F253" s="8" t="str">
        <f>IFERROR(__xludf.DUMMYFUNCTION("""COMPUTED_VALUE"""),"Pro Doubles")</f>
        <v>Pro Doubles</v>
      </c>
      <c r="G253" s="8" t="str">
        <f>IFERROR(__xludf.DUMMYFUNCTION("""COMPUTED_VALUE"""),"2nd")</f>
        <v>2nd</v>
      </c>
      <c r="H253" s="8" t="str">
        <f>IFERROR(__xludf.DUMMYFUNCTION("""COMPUTED_VALUE"""),"NV Regional 32")</f>
        <v>NV Regional 32</v>
      </c>
      <c r="I253" s="10">
        <f>IFERROR(__xludf.DUMMYFUNCTION("""COMPUTED_VALUE"""),42887.0)</f>
        <v>42887</v>
      </c>
      <c r="J253" s="10">
        <f>IFERROR(__xludf.DUMMYFUNCTION("""COMPUTED_VALUE"""),43983.0)</f>
        <v>43983</v>
      </c>
      <c r="K253" s="11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9" t="str">
        <f>IFERROR(__xludf.DUMMYFUNCTION("""COMPUTED_VALUE"""),"Flowers")</f>
        <v>Flowers</v>
      </c>
      <c r="B254" s="8" t="str">
        <f>IFERROR(__xludf.DUMMYFUNCTION("""COMPUTED_VALUE"""),"John")</f>
        <v>John</v>
      </c>
      <c r="C254" s="8" t="str">
        <f>IFERROR(__xludf.DUMMYFUNCTION("""COMPUTED_VALUE"""),"Henderson")</f>
        <v>Henderson</v>
      </c>
      <c r="D254" s="8" t="str">
        <f>IFERROR(__xludf.DUMMYFUNCTION("""COMPUTED_VALUE"""),"NV")</f>
        <v>NV</v>
      </c>
      <c r="E254" s="8" t="str">
        <f>IFERROR(__xludf.DUMMYFUNCTION("""COMPUTED_VALUE"""),"USA")</f>
        <v>USA</v>
      </c>
      <c r="F254" s="8" t="str">
        <f>IFERROR(__xludf.DUMMYFUNCTION("""COMPUTED_VALUE"""),"Mens Doubles")</f>
        <v>Mens Doubles</v>
      </c>
      <c r="G254" s="8" t="str">
        <f>IFERROR(__xludf.DUMMYFUNCTION("""COMPUTED_VALUE"""),"3rd")</f>
        <v>3rd</v>
      </c>
      <c r="H254" s="8" t="str">
        <f>IFERROR(__xludf.DUMMYFUNCTION("""COMPUTED_VALUE"""),"NV Regional 32")</f>
        <v>NV Regional 32</v>
      </c>
      <c r="I254" s="10">
        <f>IFERROR(__xludf.DUMMYFUNCTION("""COMPUTED_VALUE"""),42887.0)</f>
        <v>42887</v>
      </c>
      <c r="J254" s="10">
        <f>IFERROR(__xludf.DUMMYFUNCTION("""COMPUTED_VALUE"""),43983.0)</f>
        <v>43983</v>
      </c>
      <c r="K254" s="11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9" t="str">
        <f>IFERROR(__xludf.DUMMYFUNCTION("""COMPUTED_VALUE"""),"Foist")</f>
        <v>Foist</v>
      </c>
      <c r="B255" s="8" t="str">
        <f>IFERROR(__xludf.DUMMYFUNCTION("""COMPUTED_VALUE"""),"Shawn")</f>
        <v>Shawn</v>
      </c>
      <c r="C255" s="8" t="str">
        <f>IFERROR(__xludf.DUMMYFUNCTION("""COMPUTED_VALUE"""),"Ozark")</f>
        <v>Ozark</v>
      </c>
      <c r="D255" s="8" t="str">
        <f>IFERROR(__xludf.DUMMYFUNCTION("""COMPUTED_VALUE"""),"AL")</f>
        <v>AL</v>
      </c>
      <c r="E255" s="8" t="str">
        <f>IFERROR(__xludf.DUMMYFUNCTION("""COMPUTED_VALUE"""),"USA")</f>
        <v>USA</v>
      </c>
      <c r="F255" s="8" t="str">
        <f>IFERROR(__xludf.DUMMYFUNCTION("""COMPUTED_VALUE"""),"Men Singles Cricket")</f>
        <v>Men Singles Cricket</v>
      </c>
      <c r="G255" s="8" t="str">
        <f>IFERROR(__xludf.DUMMYFUNCTION("""COMPUTED_VALUE"""),"2nd")</f>
        <v>2nd</v>
      </c>
      <c r="H255" s="8" t="str">
        <f>IFERROR(__xludf.DUMMYFUNCTION("""COMPUTED_VALUE"""),"Georgia BS 34")</f>
        <v>Georgia BS 34</v>
      </c>
      <c r="I255" s="10">
        <f>IFERROR(__xludf.DUMMYFUNCTION("""COMPUTED_VALUE"""),43617.0)</f>
        <v>43617</v>
      </c>
      <c r="J255" s="10">
        <f>IFERROR(__xludf.DUMMYFUNCTION("""COMPUTED_VALUE"""),44713.0)</f>
        <v>44713</v>
      </c>
      <c r="K255" s="11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9" t="str">
        <f>IFERROR(__xludf.DUMMYFUNCTION("""COMPUTED_VALUE"""),"Foong")</f>
        <v>Foong</v>
      </c>
      <c r="B256" s="8" t="str">
        <f>IFERROR(__xludf.DUMMYFUNCTION("""COMPUTED_VALUE"""),"Jet")</f>
        <v>Jet</v>
      </c>
      <c r="C256" s="8" t="str">
        <f>IFERROR(__xludf.DUMMYFUNCTION("""COMPUTED_VALUE"""),"")</f>
        <v/>
      </c>
      <c r="D256" s="8" t="str">
        <f>IFERROR(__xludf.DUMMYFUNCTION("""COMPUTED_VALUE"""),"UNK")</f>
        <v>UNK</v>
      </c>
      <c r="E256" s="8" t="str">
        <f>IFERROR(__xludf.DUMMYFUNCTION("""COMPUTED_VALUE"""),"Malaysia")</f>
        <v>Malaysia</v>
      </c>
      <c r="F256" s="8" t="str">
        <f>IFERROR(__xludf.DUMMYFUNCTION("""COMPUTED_VALUE"""),"DL")</f>
        <v>DL</v>
      </c>
      <c r="G256" s="8" t="str">
        <f>IFERROR(__xludf.DUMMYFUNCTION("""COMPUTED_VALUE"""),"59th")</f>
        <v>59th</v>
      </c>
      <c r="H256" s="8" t="str">
        <f>IFERROR(__xludf.DUMMYFUNCTION("""COMPUTED_VALUE"""),"DL")</f>
        <v>DL</v>
      </c>
      <c r="I256" s="10">
        <f>IFERROR(__xludf.DUMMYFUNCTION("""COMPUTED_VALUE"""),42401.0)</f>
        <v>42401</v>
      </c>
      <c r="J256" s="10">
        <f>IFERROR(__xludf.DUMMYFUNCTION("""COMPUTED_VALUE"""),44713.0)</f>
        <v>44713</v>
      </c>
      <c r="K256" s="11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9" t="str">
        <f>IFERROR(__xludf.DUMMYFUNCTION("""COMPUTED_VALUE"""),"Foreman")</f>
        <v>Foreman</v>
      </c>
      <c r="B257" s="8" t="str">
        <f>IFERROR(__xludf.DUMMYFUNCTION("""COMPUTED_VALUE"""),"Jon")</f>
        <v>Jon</v>
      </c>
      <c r="C257" s="8" t="str">
        <f>IFERROR(__xludf.DUMMYFUNCTION("""COMPUTED_VALUE"""),"Richardson")</f>
        <v>Richardson</v>
      </c>
      <c r="D257" s="8" t="str">
        <f>IFERROR(__xludf.DUMMYFUNCTION("""COMPUTED_VALUE"""),"TX")</f>
        <v>TX</v>
      </c>
      <c r="E257" s="8" t="str">
        <f>IFERROR(__xludf.DUMMYFUNCTION("""COMPUTED_VALUE"""),"USA")</f>
        <v>USA</v>
      </c>
      <c r="F257" s="8" t="str">
        <f>IFERROR(__xludf.DUMMYFUNCTION("""COMPUTED_VALUE"""),"Pro/Am Cricket")</f>
        <v>Pro/Am Cricket</v>
      </c>
      <c r="G257" s="8" t="str">
        <f>IFERROR(__xludf.DUMMYFUNCTION("""COMPUTED_VALUE"""),"3rd")</f>
        <v>3rd</v>
      </c>
      <c r="H257" s="8" t="str">
        <f>IFERROR(__xludf.DUMMYFUNCTION("""COMPUTED_VALUE"""),"TX Regional 33")</f>
        <v>TX Regional 33</v>
      </c>
      <c r="I257" s="10">
        <f>IFERROR(__xludf.DUMMYFUNCTION("""COMPUTED_VALUE"""),43252.0)</f>
        <v>43252</v>
      </c>
      <c r="J257" s="10">
        <f>IFERROR(__xludf.DUMMYFUNCTION("""COMPUTED_VALUE"""),44348.0)</f>
        <v>44348</v>
      </c>
      <c r="K257" s="11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9" t="str">
        <f>IFERROR(__xludf.DUMMYFUNCTION("""COMPUTED_VALUE"""),"Fountaine")</f>
        <v>Fountaine</v>
      </c>
      <c r="B258" s="8" t="str">
        <f>IFERROR(__xludf.DUMMYFUNCTION("""COMPUTED_VALUE"""),"Gregg")</f>
        <v>Gregg</v>
      </c>
      <c r="C258" s="8" t="str">
        <f>IFERROR(__xludf.DUMMYFUNCTION("""COMPUTED_VALUE"""),"Oregon")</f>
        <v>Oregon</v>
      </c>
      <c r="D258" s="8" t="str">
        <f>IFERROR(__xludf.DUMMYFUNCTION("""COMPUTED_VALUE"""),"IN")</f>
        <v>IN</v>
      </c>
      <c r="E258" s="8" t="str">
        <f>IFERROR(__xludf.DUMMYFUNCTION("""COMPUTED_VALUE"""),"USA")</f>
        <v>USA</v>
      </c>
      <c r="F258" s="8" t="str">
        <f>IFERROR(__xludf.DUMMYFUNCTION("""COMPUTED_VALUE"""),"")</f>
        <v/>
      </c>
      <c r="G258" s="8" t="str">
        <f>IFERROR(__xludf.DUMMYFUNCTION("""COMPUTED_VALUE"""),"")</f>
        <v/>
      </c>
      <c r="H258" s="8" t="str">
        <f>IFERROR(__xludf.DUMMYFUNCTION("""COMPUTED_VALUE"""),"BS 30 Finals")</f>
        <v>BS 30 Finals</v>
      </c>
      <c r="I258" s="10">
        <f>IFERROR(__xludf.DUMMYFUNCTION("""COMPUTED_VALUE"""),43252.0)</f>
        <v>43252</v>
      </c>
      <c r="J258" s="10">
        <f>IFERROR(__xludf.DUMMYFUNCTION("""COMPUTED_VALUE"""),44348.0)</f>
        <v>44348</v>
      </c>
      <c r="K258" s="11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9" t="str">
        <f>IFERROR(__xludf.DUMMYFUNCTION("""COMPUTED_VALUE"""),"Foushee")</f>
        <v>Foushee</v>
      </c>
      <c r="B259" s="8" t="str">
        <f>IFERROR(__xludf.DUMMYFUNCTION("""COMPUTED_VALUE"""),"Kevin")</f>
        <v>Kevin</v>
      </c>
      <c r="C259" s="8" t="str">
        <f>IFERROR(__xludf.DUMMYFUNCTION("""COMPUTED_VALUE"""),"Knightdale")</f>
        <v>Knightdale</v>
      </c>
      <c r="D259" s="8" t="str">
        <f>IFERROR(__xludf.DUMMYFUNCTION("""COMPUTED_VALUE"""),"NC")</f>
        <v>NC</v>
      </c>
      <c r="E259" s="8" t="str">
        <f>IFERROR(__xludf.DUMMYFUNCTION("""COMPUTED_VALUE"""),"USA")</f>
        <v>USA</v>
      </c>
      <c r="F259" s="8" t="str">
        <f>IFERROR(__xludf.DUMMYFUNCTION("""COMPUTED_VALUE"""),"Men Doubles 501")</f>
        <v>Men Doubles 501</v>
      </c>
      <c r="G259" s="8" t="str">
        <f>IFERROR(__xludf.DUMMYFUNCTION("""COMPUTED_VALUE"""),"1st")</f>
        <v>1st</v>
      </c>
      <c r="H259" s="8" t="str">
        <f>IFERROR(__xludf.DUMMYFUNCTION("""COMPUTED_VALUE"""),"South Carolina BS 34")</f>
        <v>South Carolina BS 34</v>
      </c>
      <c r="I259" s="10">
        <f>IFERROR(__xludf.DUMMYFUNCTION("""COMPUTED_VALUE"""),43617.0)</f>
        <v>43617</v>
      </c>
      <c r="J259" s="10">
        <f>IFERROR(__xludf.DUMMYFUNCTION("""COMPUTED_VALUE"""),44713.0)</f>
        <v>44713</v>
      </c>
      <c r="K259" s="11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9" t="str">
        <f>IFERROR(__xludf.DUMMYFUNCTION("""COMPUTED_VALUE"""),"Fowler")</f>
        <v>Fowler</v>
      </c>
      <c r="B260" s="8" t="str">
        <f>IFERROR(__xludf.DUMMYFUNCTION("""COMPUTED_VALUE"""),"Nathaniel")</f>
        <v>Nathaniel</v>
      </c>
      <c r="C260" s="8" t="str">
        <f>IFERROR(__xludf.DUMMYFUNCTION("""COMPUTED_VALUE"""),"St. Louis")</f>
        <v>St. Louis</v>
      </c>
      <c r="D260" s="8" t="str">
        <f>IFERROR(__xludf.DUMMYFUNCTION("""COMPUTED_VALUE"""),"MO")</f>
        <v>MO</v>
      </c>
      <c r="E260" s="8" t="str">
        <f>IFERROR(__xludf.DUMMYFUNCTION("""COMPUTED_VALUE"""),"USA")</f>
        <v>USA</v>
      </c>
      <c r="F260" s="8" t="str">
        <f>IFERROR(__xludf.DUMMYFUNCTION("""COMPUTED_VALUE"""),"")</f>
        <v/>
      </c>
      <c r="G260" s="8" t="str">
        <f>IFERROR(__xludf.DUMMYFUNCTION("""COMPUTED_VALUE"""),"")</f>
        <v/>
      </c>
      <c r="H260" s="8" t="str">
        <f>IFERROR(__xludf.DUMMYFUNCTION("""COMPUTED_VALUE"""),"BS 30 Finals")</f>
        <v>BS 30 Finals</v>
      </c>
      <c r="I260" s="10">
        <f>IFERROR(__xludf.DUMMYFUNCTION("""COMPUTED_VALUE"""),43252.0)</f>
        <v>43252</v>
      </c>
      <c r="J260" s="10">
        <f>IFERROR(__xludf.DUMMYFUNCTION("""COMPUTED_VALUE"""),44348.0)</f>
        <v>44348</v>
      </c>
      <c r="K260" s="11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9" t="str">
        <f>IFERROR(__xludf.DUMMYFUNCTION("""COMPUTED_VALUE"""),"Fricks")</f>
        <v>Fricks</v>
      </c>
      <c r="B261" s="8" t="str">
        <f>IFERROR(__xludf.DUMMYFUNCTION("""COMPUTED_VALUE"""),"Michael")</f>
        <v>Michael</v>
      </c>
      <c r="C261" s="8" t="str">
        <f>IFERROR(__xludf.DUMMYFUNCTION("""COMPUTED_VALUE"""),"Gadsden")</f>
        <v>Gadsden</v>
      </c>
      <c r="D261" s="8" t="str">
        <f>IFERROR(__xludf.DUMMYFUNCTION("""COMPUTED_VALUE"""),"AL")</f>
        <v>AL</v>
      </c>
      <c r="E261" s="8" t="str">
        <f>IFERROR(__xludf.DUMMYFUNCTION("""COMPUTED_VALUE"""),"USA")</f>
        <v>USA</v>
      </c>
      <c r="F261" s="8" t="str">
        <f>IFERROR(__xludf.DUMMYFUNCTION("""COMPUTED_VALUE"""),"Mens Doubles")</f>
        <v>Mens Doubles</v>
      </c>
      <c r="G261" s="8" t="str">
        <f>IFERROR(__xludf.DUMMYFUNCTION("""COMPUTED_VALUE"""),"1st")</f>
        <v>1st</v>
      </c>
      <c r="H261" s="8" t="str">
        <f>IFERROR(__xludf.DUMMYFUNCTION("""COMPUTED_VALUE"""),"TN Regional 32")</f>
        <v>TN Regional 32</v>
      </c>
      <c r="I261" s="10">
        <f>IFERROR(__xludf.DUMMYFUNCTION("""COMPUTED_VALUE"""),42887.0)</f>
        <v>42887</v>
      </c>
      <c r="J261" s="10">
        <f>IFERROR(__xludf.DUMMYFUNCTION("""COMPUTED_VALUE"""),43983.0)</f>
        <v>43983</v>
      </c>
      <c r="K261" s="1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9" t="str">
        <f>IFERROR(__xludf.DUMMYFUNCTION("""COMPUTED_VALUE"""),"Friedrich")</f>
        <v>Friedrich</v>
      </c>
      <c r="B262" s="8" t="str">
        <f>IFERROR(__xludf.DUMMYFUNCTION("""COMPUTED_VALUE"""),"Paul")</f>
        <v>Paul</v>
      </c>
      <c r="C262" s="8" t="str">
        <f>IFERROR(__xludf.DUMMYFUNCTION("""COMPUTED_VALUE"""),"Inverness")</f>
        <v>Inverness</v>
      </c>
      <c r="D262" s="8" t="str">
        <f>IFERROR(__xludf.DUMMYFUNCTION("""COMPUTED_VALUE"""),"FL")</f>
        <v>FL</v>
      </c>
      <c r="E262" s="8" t="str">
        <f>IFERROR(__xludf.DUMMYFUNCTION("""COMPUTED_VALUE"""),"USA")</f>
        <v>USA</v>
      </c>
      <c r="F262" s="8" t="str">
        <f>IFERROR(__xludf.DUMMYFUNCTION("""COMPUTED_VALUE"""),"Men Doubles 501")</f>
        <v>Men Doubles 501</v>
      </c>
      <c r="G262" s="8" t="str">
        <f>IFERROR(__xludf.DUMMYFUNCTION("""COMPUTED_VALUE"""),"2nd")</f>
        <v>2nd</v>
      </c>
      <c r="H262" s="8" t="str">
        <f>IFERROR(__xludf.DUMMYFUNCTION("""COMPUTED_VALUE"""),"Florida BS 34")</f>
        <v>Florida BS 34</v>
      </c>
      <c r="I262" s="10">
        <f>IFERROR(__xludf.DUMMYFUNCTION("""COMPUTED_VALUE"""),43617.0)</f>
        <v>43617</v>
      </c>
      <c r="J262" s="10">
        <f>IFERROR(__xludf.DUMMYFUNCTION("""COMPUTED_VALUE"""),44713.0)</f>
        <v>44713</v>
      </c>
      <c r="K262" s="11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9" t="str">
        <f>IFERROR(__xludf.DUMMYFUNCTION("""COMPUTED_VALUE"""),"Frizzell")</f>
        <v>Frizzell</v>
      </c>
      <c r="B263" s="8" t="str">
        <f>IFERROR(__xludf.DUMMYFUNCTION("""COMPUTED_VALUE"""),"Tim")</f>
        <v>Tim</v>
      </c>
      <c r="C263" s="8" t="str">
        <f>IFERROR(__xludf.DUMMYFUNCTION("""COMPUTED_VALUE"""),"Finleyville")</f>
        <v>Finleyville</v>
      </c>
      <c r="D263" s="8" t="str">
        <f>IFERROR(__xludf.DUMMYFUNCTION("""COMPUTED_VALUE"""),"PA")</f>
        <v>PA</v>
      </c>
      <c r="E263" s="8" t="str">
        <f>IFERROR(__xludf.DUMMYFUNCTION("""COMPUTED_VALUE"""),"USA")</f>
        <v>USA</v>
      </c>
      <c r="F263" s="8" t="str">
        <f>IFERROR(__xludf.DUMMYFUNCTION("""COMPUTED_VALUE"""),"Pro Doubles")</f>
        <v>Pro Doubles</v>
      </c>
      <c r="G263" s="8" t="str">
        <f>IFERROR(__xludf.DUMMYFUNCTION("""COMPUTED_VALUE"""),"2nd")</f>
        <v>2nd</v>
      </c>
      <c r="H263" s="8" t="str">
        <f>IFERROR(__xludf.DUMMYFUNCTION("""COMPUTED_VALUE"""),"Known Ability")</f>
        <v>Known Ability</v>
      </c>
      <c r="I263" s="10">
        <f>IFERROR(__xludf.DUMMYFUNCTION("""COMPUTED_VALUE"""),36892.0)</f>
        <v>36892</v>
      </c>
      <c r="J263" s="10">
        <f>IFERROR(__xludf.DUMMYFUNCTION("""COMPUTED_VALUE"""),45809.0)</f>
        <v>45809</v>
      </c>
      <c r="K263" s="11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9" t="str">
        <f>IFERROR(__xludf.DUMMYFUNCTION("""COMPUTED_VALUE"""),"Froelick")</f>
        <v>Froelick</v>
      </c>
      <c r="B264" s="8" t="str">
        <f>IFERROR(__xludf.DUMMYFUNCTION("""COMPUTED_VALUE"""),"Kevin")</f>
        <v>Kevin</v>
      </c>
      <c r="C264" s="8" t="str">
        <f>IFERROR(__xludf.DUMMYFUNCTION("""COMPUTED_VALUE"""),"Defiance")</f>
        <v>Defiance</v>
      </c>
      <c r="D264" s="8" t="str">
        <f>IFERROR(__xludf.DUMMYFUNCTION("""COMPUTED_VALUE"""),"OH")</f>
        <v>OH</v>
      </c>
      <c r="E264" s="8" t="str">
        <f>IFERROR(__xludf.DUMMYFUNCTION("""COMPUTED_VALUE"""),"USA")</f>
        <v>USA</v>
      </c>
      <c r="F264" s="8" t="str">
        <f>IFERROR(__xludf.DUMMYFUNCTION("""COMPUTED_VALUE"""),"Mens Doubles")</f>
        <v>Mens Doubles</v>
      </c>
      <c r="G264" s="8" t="str">
        <f>IFERROR(__xludf.DUMMYFUNCTION("""COMPUTED_VALUE"""),"3rd")</f>
        <v>3rd</v>
      </c>
      <c r="H264" s="8" t="str">
        <f>IFERROR(__xludf.DUMMYFUNCTION("""COMPUTED_VALUE"""),"OH Regional 33")</f>
        <v>OH Regional 33</v>
      </c>
      <c r="I264" s="10">
        <f>IFERROR(__xludf.DUMMYFUNCTION("""COMPUTED_VALUE"""),43252.0)</f>
        <v>43252</v>
      </c>
      <c r="J264" s="10">
        <f>IFERROR(__xludf.DUMMYFUNCTION("""COMPUTED_VALUE"""),44348.0)</f>
        <v>44348</v>
      </c>
      <c r="K264" s="11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9" t="str">
        <f>IFERROR(__xludf.DUMMYFUNCTION("""COMPUTED_VALUE"""),"Fry")</f>
        <v>Fry</v>
      </c>
      <c r="B265" s="8" t="str">
        <f>IFERROR(__xludf.DUMMYFUNCTION("""COMPUTED_VALUE"""),"Breck")</f>
        <v>Breck</v>
      </c>
      <c r="C265" s="8" t="str">
        <f>IFERROR(__xludf.DUMMYFUNCTION("""COMPUTED_VALUE"""),"Sheffield")</f>
        <v>Sheffield</v>
      </c>
      <c r="D265" s="8" t="str">
        <f>IFERROR(__xludf.DUMMYFUNCTION("""COMPUTED_VALUE"""),"PA")</f>
        <v>PA</v>
      </c>
      <c r="E265" s="8" t="str">
        <f>IFERROR(__xludf.DUMMYFUNCTION("""COMPUTED_VALUE"""),"USA")</f>
        <v>USA</v>
      </c>
      <c r="F265" s="8" t="str">
        <f>IFERROR(__xludf.DUMMYFUNCTION("""COMPUTED_VALUE"""),"Pro Doubles 501")</f>
        <v>Pro Doubles 501</v>
      </c>
      <c r="G265" s="8" t="str">
        <f>IFERROR(__xludf.DUMMYFUNCTION("""COMPUTED_VALUE"""),"1st")</f>
        <v>1st</v>
      </c>
      <c r="H265" s="8" t="str">
        <f>IFERROR(__xludf.DUMMYFUNCTION("""COMPUTED_VALUE"""),"Pennsylvania BS 34")</f>
        <v>Pennsylvania BS 34</v>
      </c>
      <c r="I265" s="10">
        <f>IFERROR(__xludf.DUMMYFUNCTION("""COMPUTED_VALUE"""),43617.0)</f>
        <v>43617</v>
      </c>
      <c r="J265" s="10">
        <f>IFERROR(__xludf.DUMMYFUNCTION("""COMPUTED_VALUE"""),44713.0)</f>
        <v>44713</v>
      </c>
      <c r="K265" s="11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9" t="str">
        <f>IFERROR(__xludf.DUMMYFUNCTION("""COMPUTED_VALUE"""),"Fuller")</f>
        <v>Fuller</v>
      </c>
      <c r="B266" s="8" t="str">
        <f>IFERROR(__xludf.DUMMYFUNCTION("""COMPUTED_VALUE"""),"Scvott")</f>
        <v>Scvott</v>
      </c>
      <c r="C266" s="8" t="str">
        <f>IFERROR(__xludf.DUMMYFUNCTION("""COMPUTED_VALUE"""),"Little Genessee")</f>
        <v>Little Genessee</v>
      </c>
      <c r="D266" s="8" t="str">
        <f>IFERROR(__xludf.DUMMYFUNCTION("""COMPUTED_VALUE"""),"NY")</f>
        <v>NY</v>
      </c>
      <c r="E266" s="8" t="str">
        <f>IFERROR(__xludf.DUMMYFUNCTION("""COMPUTED_VALUE"""),"USA")</f>
        <v>USA</v>
      </c>
      <c r="F266" s="8" t="str">
        <f>IFERROR(__xludf.DUMMYFUNCTION("""COMPUTED_VALUE"""),"Pro Doubles")</f>
        <v>Pro Doubles</v>
      </c>
      <c r="G266" s="8" t="str">
        <f>IFERROR(__xludf.DUMMYFUNCTION("""COMPUTED_VALUE"""),"2nd")</f>
        <v>2nd</v>
      </c>
      <c r="H266" s="8" t="str">
        <f>IFERROR(__xludf.DUMMYFUNCTION("""COMPUTED_VALUE"""),"NY Regional 33")</f>
        <v>NY Regional 33</v>
      </c>
      <c r="I266" s="10">
        <f>IFERROR(__xludf.DUMMYFUNCTION("""COMPUTED_VALUE"""),42887.0)</f>
        <v>42887</v>
      </c>
      <c r="J266" s="10">
        <f>IFERROR(__xludf.DUMMYFUNCTION("""COMPUTED_VALUE"""),44348.0)</f>
        <v>44348</v>
      </c>
      <c r="K266" s="11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9" t="str">
        <f>IFERROR(__xludf.DUMMYFUNCTION("""COMPUTED_VALUE"""),"Gage")</f>
        <v>Gage</v>
      </c>
      <c r="B267" s="8" t="str">
        <f>IFERROR(__xludf.DUMMYFUNCTION("""COMPUTED_VALUE"""),"Glen")</f>
        <v>Glen</v>
      </c>
      <c r="C267" s="8" t="str">
        <f>IFERROR(__xludf.DUMMYFUNCTION("""COMPUTED_VALUE"""),"Diamond")</f>
        <v>Diamond</v>
      </c>
      <c r="D267" s="8" t="str">
        <f>IFERROR(__xludf.DUMMYFUNCTION("""COMPUTED_VALUE"""),"IL")</f>
        <v>IL</v>
      </c>
      <c r="E267" s="8" t="str">
        <f>IFERROR(__xludf.DUMMYFUNCTION("""COMPUTED_VALUE"""),"USA")</f>
        <v>USA</v>
      </c>
      <c r="F267" s="8" t="str">
        <f>IFERROR(__xludf.DUMMYFUNCTION("""COMPUTED_VALUE"""),"Pro AA Doubles Cricket")</f>
        <v>Pro AA Doubles Cricket</v>
      </c>
      <c r="G267" s="8" t="str">
        <f>IFERROR(__xludf.DUMMYFUNCTION("""COMPUTED_VALUE"""),"4th")</f>
        <v>4th</v>
      </c>
      <c r="H267" s="8" t="str">
        <f>IFERROR(__xludf.DUMMYFUNCTION("""COMPUTED_VALUE"""),"Known Ability")</f>
        <v>Known Ability</v>
      </c>
      <c r="I267" s="10">
        <f>IFERROR(__xludf.DUMMYFUNCTION("""COMPUTED_VALUE"""),40695.0)</f>
        <v>40695</v>
      </c>
      <c r="J267" s="10">
        <f>IFERROR(__xludf.DUMMYFUNCTION("""COMPUTED_VALUE"""),45809.0)</f>
        <v>45809</v>
      </c>
      <c r="K267" s="11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9" t="str">
        <f>IFERROR(__xludf.DUMMYFUNCTION("""COMPUTED_VALUE"""),"Gaitan")</f>
        <v>Gaitan</v>
      </c>
      <c r="B268" s="8" t="str">
        <f>IFERROR(__xludf.DUMMYFUNCTION("""COMPUTED_VALUE"""),"Paul")</f>
        <v>Paul</v>
      </c>
      <c r="C268" s="8" t="str">
        <f>IFERROR(__xludf.DUMMYFUNCTION("""COMPUTED_VALUE"""),"San Antonio")</f>
        <v>San Antonio</v>
      </c>
      <c r="D268" s="8" t="str">
        <f>IFERROR(__xludf.DUMMYFUNCTION("""COMPUTED_VALUE"""),"TX")</f>
        <v>TX</v>
      </c>
      <c r="E268" s="8" t="str">
        <f>IFERROR(__xludf.DUMMYFUNCTION("""COMPUTED_VALUE"""),"USA")</f>
        <v>USA</v>
      </c>
      <c r="F268" s="8" t="str">
        <f>IFERROR(__xludf.DUMMYFUNCTION("""COMPUTED_VALUE"""),"Mens Cricket Doubles")</f>
        <v>Mens Cricket Doubles</v>
      </c>
      <c r="G268" s="8" t="str">
        <f>IFERROR(__xludf.DUMMYFUNCTION("""COMPUTED_VALUE"""),"3rd")</f>
        <v>3rd</v>
      </c>
      <c r="H268" s="8" t="str">
        <f>IFERROR(__xludf.DUMMYFUNCTION("""COMPUTED_VALUE"""),"GA Regional 32")</f>
        <v>GA Regional 32</v>
      </c>
      <c r="I268" s="10">
        <f>IFERROR(__xludf.DUMMYFUNCTION("""COMPUTED_VALUE"""),42887.0)</f>
        <v>42887</v>
      </c>
      <c r="J268" s="10">
        <f>IFERROR(__xludf.DUMMYFUNCTION("""COMPUTED_VALUE"""),43983.0)</f>
        <v>43983</v>
      </c>
      <c r="K268" s="11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9" t="str">
        <f>IFERROR(__xludf.DUMMYFUNCTION("""COMPUTED_VALUE"""),"Gallagner")</f>
        <v>Gallagner</v>
      </c>
      <c r="B269" s="8" t="str">
        <f>IFERROR(__xludf.DUMMYFUNCTION("""COMPUTED_VALUE"""),"Christopher")</f>
        <v>Christopher</v>
      </c>
      <c r="C269" s="8" t="str">
        <f>IFERROR(__xludf.DUMMYFUNCTION("""COMPUTED_VALUE"""),"Erie")</f>
        <v>Erie</v>
      </c>
      <c r="D269" s="8" t="str">
        <f>IFERROR(__xludf.DUMMYFUNCTION("""COMPUTED_VALUE"""),"PA")</f>
        <v>PA</v>
      </c>
      <c r="E269" s="8" t="str">
        <f>IFERROR(__xludf.DUMMYFUNCTION("""COMPUTED_VALUE"""),"USA")</f>
        <v>USA</v>
      </c>
      <c r="F269" s="8" t="str">
        <f>IFERROR(__xludf.DUMMYFUNCTION("""COMPUTED_VALUE"""),"Mens Doubles")</f>
        <v>Mens Doubles</v>
      </c>
      <c r="G269" s="8" t="str">
        <f>IFERROR(__xludf.DUMMYFUNCTION("""COMPUTED_VALUE"""),"2nd")</f>
        <v>2nd</v>
      </c>
      <c r="H269" s="8" t="str">
        <f>IFERROR(__xludf.DUMMYFUNCTION("""COMPUTED_VALUE"""),"NY Regional 32")</f>
        <v>NY Regional 32</v>
      </c>
      <c r="I269" s="10">
        <f>IFERROR(__xludf.DUMMYFUNCTION("""COMPUTED_VALUE"""),42887.0)</f>
        <v>42887</v>
      </c>
      <c r="J269" s="10">
        <f>IFERROR(__xludf.DUMMYFUNCTION("""COMPUTED_VALUE"""),43983.0)</f>
        <v>43983</v>
      </c>
      <c r="K269" s="11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9" t="str">
        <f>IFERROR(__xludf.DUMMYFUNCTION("""COMPUTED_VALUE"""),"Galvan")</f>
        <v>Galvan</v>
      </c>
      <c r="B270" s="8" t="str">
        <f>IFERROR(__xludf.DUMMYFUNCTION("""COMPUTED_VALUE"""),"Andrew")</f>
        <v>Andrew</v>
      </c>
      <c r="C270" s="8" t="str">
        <f>IFERROR(__xludf.DUMMYFUNCTION("""COMPUTED_VALUE"""),"Beaver Falls")</f>
        <v>Beaver Falls</v>
      </c>
      <c r="D270" s="8" t="str">
        <f>IFERROR(__xludf.DUMMYFUNCTION("""COMPUTED_VALUE"""),"PA")</f>
        <v>PA</v>
      </c>
      <c r="E270" s="8" t="str">
        <f>IFERROR(__xludf.DUMMYFUNCTION("""COMPUTED_VALUE"""),"USA")</f>
        <v>USA</v>
      </c>
      <c r="F270" s="8" t="str">
        <f>IFERROR(__xludf.DUMMYFUNCTION("""COMPUTED_VALUE"""),"Pro Doubles")</f>
        <v>Pro Doubles</v>
      </c>
      <c r="G270" s="8" t="str">
        <f>IFERROR(__xludf.DUMMYFUNCTION("""COMPUTED_VALUE"""),"2nd")</f>
        <v>2nd</v>
      </c>
      <c r="H270" s="8" t="str">
        <f>IFERROR(__xludf.DUMMYFUNCTION("""COMPUTED_VALUE"""),"PA Regional 32")</f>
        <v>PA Regional 32</v>
      </c>
      <c r="I270" s="10">
        <f>IFERROR(__xludf.DUMMYFUNCTION("""COMPUTED_VALUE"""),42887.0)</f>
        <v>42887</v>
      </c>
      <c r="J270" s="10">
        <f>IFERROR(__xludf.DUMMYFUNCTION("""COMPUTED_VALUE"""),43983.0)</f>
        <v>43983</v>
      </c>
      <c r="K270" s="11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9" t="str">
        <f>IFERROR(__xludf.DUMMYFUNCTION("""COMPUTED_VALUE"""),"Gamble")</f>
        <v>Gamble</v>
      </c>
      <c r="B271" s="8" t="str">
        <f>IFERROR(__xludf.DUMMYFUNCTION("""COMPUTED_VALUE"""),"Jason")</f>
        <v>Jason</v>
      </c>
      <c r="C271" s="8" t="str">
        <f>IFERROR(__xludf.DUMMYFUNCTION("""COMPUTED_VALUE"""),"Winter Haven")</f>
        <v>Winter Haven</v>
      </c>
      <c r="D271" s="8" t="str">
        <f>IFERROR(__xludf.DUMMYFUNCTION("""COMPUTED_VALUE"""),"FL")</f>
        <v>FL</v>
      </c>
      <c r="E271" s="8" t="str">
        <f>IFERROR(__xludf.DUMMYFUNCTION("""COMPUTED_VALUE"""),"USA")</f>
        <v>USA</v>
      </c>
      <c r="F271" s="8" t="str">
        <f>IFERROR(__xludf.DUMMYFUNCTION("""COMPUTED_VALUE"""),"Mens Doubles")</f>
        <v>Mens Doubles</v>
      </c>
      <c r="G271" s="8" t="str">
        <f>IFERROR(__xludf.DUMMYFUNCTION("""COMPUTED_VALUE"""),"3rd")</f>
        <v>3rd</v>
      </c>
      <c r="H271" s="8" t="str">
        <f>IFERROR(__xludf.DUMMYFUNCTION("""COMPUTED_VALUE"""),"GA Regional 33")</f>
        <v>GA Regional 33</v>
      </c>
      <c r="I271" s="10">
        <f>IFERROR(__xludf.DUMMYFUNCTION("""COMPUTED_VALUE"""),43252.0)</f>
        <v>43252</v>
      </c>
      <c r="J271" s="10">
        <f>IFERROR(__xludf.DUMMYFUNCTION("""COMPUTED_VALUE"""),44348.0)</f>
        <v>44348</v>
      </c>
      <c r="K271" s="1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9" t="str">
        <f>IFERROR(__xludf.DUMMYFUNCTION("""COMPUTED_VALUE"""),"Garcia")</f>
        <v>Garcia</v>
      </c>
      <c r="B272" s="8" t="str">
        <f>IFERROR(__xludf.DUMMYFUNCTION("""COMPUTED_VALUE"""),"Chris")</f>
        <v>Chris</v>
      </c>
      <c r="C272" s="8" t="str">
        <f>IFERROR(__xludf.DUMMYFUNCTION("""COMPUTED_VALUE"""),"Kingsville")</f>
        <v>Kingsville</v>
      </c>
      <c r="D272" s="8" t="str">
        <f>IFERROR(__xludf.DUMMYFUNCTION("""COMPUTED_VALUE"""),"TX")</f>
        <v>TX</v>
      </c>
      <c r="E272" s="8" t="str">
        <f>IFERROR(__xludf.DUMMYFUNCTION("""COMPUTED_VALUE"""),"USA")</f>
        <v>USA</v>
      </c>
      <c r="F272" s="8" t="str">
        <f>IFERROR(__xludf.DUMMYFUNCTION("""COMPUTED_VALUE"""),"Mixed Triples")</f>
        <v>Mixed Triples</v>
      </c>
      <c r="G272" s="8" t="str">
        <f>IFERROR(__xludf.DUMMYFUNCTION("""COMPUTED_VALUE"""),"1st")</f>
        <v>1st</v>
      </c>
      <c r="H272" s="8" t="str">
        <f>IFERROR(__xludf.DUMMYFUNCTION("""COMPUTED_VALUE"""),"TX Regional 32")</f>
        <v>TX Regional 32</v>
      </c>
      <c r="I272" s="10">
        <f>IFERROR(__xludf.DUMMYFUNCTION("""COMPUTED_VALUE"""),42887.0)</f>
        <v>42887</v>
      </c>
      <c r="J272" s="10">
        <f>IFERROR(__xludf.DUMMYFUNCTION("""COMPUTED_VALUE"""),43983.0)</f>
        <v>43983</v>
      </c>
      <c r="K272" s="1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9" t="str">
        <f>IFERROR(__xludf.DUMMYFUNCTION("""COMPUTED_VALUE"""),"Garn")</f>
        <v>Garn</v>
      </c>
      <c r="B273" s="8" t="str">
        <f>IFERROR(__xludf.DUMMYFUNCTION("""COMPUTED_VALUE"""),"Dennis")</f>
        <v>Dennis</v>
      </c>
      <c r="C273" s="8" t="str">
        <f>IFERROR(__xludf.DUMMYFUNCTION("""COMPUTED_VALUE"""),"Jeromesville")</f>
        <v>Jeromesville</v>
      </c>
      <c r="D273" s="8" t="str">
        <f>IFERROR(__xludf.DUMMYFUNCTION("""COMPUTED_VALUE"""),"OH")</f>
        <v>OH</v>
      </c>
      <c r="E273" s="8" t="str">
        <f>IFERROR(__xludf.DUMMYFUNCTION("""COMPUTED_VALUE"""),"USA")</f>
        <v>USA</v>
      </c>
      <c r="F273" s="8" t="str">
        <f>IFERROR(__xludf.DUMMYFUNCTION("""COMPUTED_VALUE"""),"Pro Doubles 501")</f>
        <v>Pro Doubles 501</v>
      </c>
      <c r="G273" s="8" t="str">
        <f>IFERROR(__xludf.DUMMYFUNCTION("""COMPUTED_VALUE"""),"2nd")</f>
        <v>2nd</v>
      </c>
      <c r="H273" s="8" t="str">
        <f>IFERROR(__xludf.DUMMYFUNCTION("""COMPUTED_VALUE"""),"Pennsylvania BS 34")</f>
        <v>Pennsylvania BS 34</v>
      </c>
      <c r="I273" s="10">
        <f>IFERROR(__xludf.DUMMYFUNCTION("""COMPUTED_VALUE"""),43617.0)</f>
        <v>43617</v>
      </c>
      <c r="J273" s="10">
        <f>IFERROR(__xludf.DUMMYFUNCTION("""COMPUTED_VALUE"""),44713.0)</f>
        <v>44713</v>
      </c>
      <c r="K273" s="11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9" t="str">
        <f>IFERROR(__xludf.DUMMYFUNCTION("""COMPUTED_VALUE"""),"Garrean, Jr.")</f>
        <v>Garrean, Jr.</v>
      </c>
      <c r="B274" s="8" t="str">
        <f>IFERROR(__xludf.DUMMYFUNCTION("""COMPUTED_VALUE"""),"Steven")</f>
        <v>Steven</v>
      </c>
      <c r="C274" s="8" t="str">
        <f>IFERROR(__xludf.DUMMYFUNCTION("""COMPUTED_VALUE"""),"Plattsmouth")</f>
        <v>Plattsmouth</v>
      </c>
      <c r="D274" s="8" t="str">
        <f>IFERROR(__xludf.DUMMYFUNCTION("""COMPUTED_VALUE"""),"NE")</f>
        <v>NE</v>
      </c>
      <c r="E274" s="8" t="str">
        <f>IFERROR(__xludf.DUMMYFUNCTION("""COMPUTED_VALUE"""),"USA")</f>
        <v>USA</v>
      </c>
      <c r="F274" s="8" t="str">
        <f>IFERROR(__xludf.DUMMYFUNCTION("""COMPUTED_VALUE"""),"Mens Doubles")</f>
        <v>Mens Doubles</v>
      </c>
      <c r="G274" s="8" t="str">
        <f>IFERROR(__xludf.DUMMYFUNCTION("""COMPUTED_VALUE"""),"2nd")</f>
        <v>2nd</v>
      </c>
      <c r="H274" s="8" t="str">
        <f>IFERROR(__xludf.DUMMYFUNCTION("""COMPUTED_VALUE"""),"NE Regional 32")</f>
        <v>NE Regional 32</v>
      </c>
      <c r="I274" s="10">
        <f>IFERROR(__xludf.DUMMYFUNCTION("""COMPUTED_VALUE"""),42887.0)</f>
        <v>42887</v>
      </c>
      <c r="J274" s="10">
        <f>IFERROR(__xludf.DUMMYFUNCTION("""COMPUTED_VALUE"""),43983.0)</f>
        <v>43983</v>
      </c>
      <c r="K274" s="11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9" t="str">
        <f>IFERROR(__xludf.DUMMYFUNCTION("""COMPUTED_VALUE"""),"Garza")</f>
        <v>Garza</v>
      </c>
      <c r="B275" s="8" t="str">
        <f>IFERROR(__xludf.DUMMYFUNCTION("""COMPUTED_VALUE"""),"Dan")</f>
        <v>Dan</v>
      </c>
      <c r="C275" s="8" t="str">
        <f>IFERROR(__xludf.DUMMYFUNCTION("""COMPUTED_VALUE"""),"")</f>
        <v/>
      </c>
      <c r="D275" s="8" t="str">
        <f>IFERROR(__xludf.DUMMYFUNCTION("""COMPUTED_VALUE"""),"UNK")</f>
        <v>UNK</v>
      </c>
      <c r="E275" s="8" t="str">
        <f>IFERROR(__xludf.DUMMYFUNCTION("""COMPUTED_VALUE"""),"UNK")</f>
        <v>UNK</v>
      </c>
      <c r="F275" s="8" t="str">
        <f>IFERROR(__xludf.DUMMYFUNCTION("""COMPUTED_VALUE"""),"ADO 2016")</f>
        <v>ADO 2016</v>
      </c>
      <c r="G275" s="8" t="str">
        <f>IFERROR(__xludf.DUMMYFUNCTION("""COMPUTED_VALUE"""),"27th")</f>
        <v>27th</v>
      </c>
      <c r="H275" s="8" t="str">
        <f>IFERROR(__xludf.DUMMYFUNCTION("""COMPUTED_VALUE"""),"ADO 2016")</f>
        <v>ADO 2016</v>
      </c>
      <c r="I275" s="10">
        <f>IFERROR(__xludf.DUMMYFUNCTION("""COMPUTED_VALUE"""),42401.0)</f>
        <v>42401</v>
      </c>
      <c r="J275" s="10">
        <f>IFERROR(__xludf.DUMMYFUNCTION("""COMPUTED_VALUE"""),44713.0)</f>
        <v>44713</v>
      </c>
      <c r="K275" s="11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9" t="str">
        <f>IFERROR(__xludf.DUMMYFUNCTION("""COMPUTED_VALUE"""),"Garza")</f>
        <v>Garza</v>
      </c>
      <c r="B276" s="8" t="str">
        <f>IFERROR(__xludf.DUMMYFUNCTION("""COMPUTED_VALUE"""),"Guadalupe")</f>
        <v>Guadalupe</v>
      </c>
      <c r="C276" s="8" t="str">
        <f>IFERROR(__xludf.DUMMYFUNCTION("""COMPUTED_VALUE"""),"San Antonio")</f>
        <v>San Antonio</v>
      </c>
      <c r="D276" s="8" t="str">
        <f>IFERROR(__xludf.DUMMYFUNCTION("""COMPUTED_VALUE"""),"TX")</f>
        <v>TX</v>
      </c>
      <c r="E276" s="8" t="str">
        <f>IFERROR(__xludf.DUMMYFUNCTION("""COMPUTED_VALUE"""),"USA")</f>
        <v>USA</v>
      </c>
      <c r="F276" s="8" t="str">
        <f>IFERROR(__xludf.DUMMYFUNCTION("""COMPUTED_VALUE"""),"Mens Cricket Doubles")</f>
        <v>Mens Cricket Doubles</v>
      </c>
      <c r="G276" s="8" t="str">
        <f>IFERROR(__xludf.DUMMYFUNCTION("""COMPUTED_VALUE"""),"4th")</f>
        <v>4th</v>
      </c>
      <c r="H276" s="8" t="str">
        <f>IFERROR(__xludf.DUMMYFUNCTION("""COMPUTED_VALUE"""),"BullShooter 32")</f>
        <v>BullShooter 32</v>
      </c>
      <c r="I276" s="10">
        <f>IFERROR(__xludf.DUMMYFUNCTION("""COMPUTED_VALUE"""),42887.0)</f>
        <v>42887</v>
      </c>
      <c r="J276" s="10">
        <f>IFERROR(__xludf.DUMMYFUNCTION("""COMPUTED_VALUE"""),43983.0)</f>
        <v>43983</v>
      </c>
      <c r="K276" s="11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9" t="str">
        <f>IFERROR(__xludf.DUMMYFUNCTION("""COMPUTED_VALUE"""),"Gauthier")</f>
        <v>Gauthier</v>
      </c>
      <c r="B277" s="8" t="str">
        <f>IFERROR(__xludf.DUMMYFUNCTION("""COMPUTED_VALUE"""),"Mathew")</f>
        <v>Mathew</v>
      </c>
      <c r="C277" s="8" t="str">
        <f>IFERROR(__xludf.DUMMYFUNCTION("""COMPUTED_VALUE"""),"Depere")</f>
        <v>Depere</v>
      </c>
      <c r="D277" s="8" t="str">
        <f>IFERROR(__xludf.DUMMYFUNCTION("""COMPUTED_VALUE"""),"WI")</f>
        <v>WI</v>
      </c>
      <c r="E277" s="8" t="str">
        <f>IFERROR(__xludf.DUMMYFUNCTION("""COMPUTED_VALUE"""),"USA")</f>
        <v>USA</v>
      </c>
      <c r="F277" s="8" t="str">
        <f>IFERROR(__xludf.DUMMYFUNCTION("""COMPUTED_VALUE"""),"Top Gun Triples")</f>
        <v>Top Gun Triples</v>
      </c>
      <c r="G277" s="8" t="str">
        <f>IFERROR(__xludf.DUMMYFUNCTION("""COMPUTED_VALUE"""),"3rd")</f>
        <v>3rd</v>
      </c>
      <c r="H277" s="8" t="str">
        <f>IFERROR(__xludf.DUMMYFUNCTION("""COMPUTED_VALUE"""),"BS 33 Finals")</f>
        <v>BS 33 Finals</v>
      </c>
      <c r="I277" s="10">
        <f>IFERROR(__xludf.DUMMYFUNCTION("""COMPUTED_VALUE"""),43252.0)</f>
        <v>43252</v>
      </c>
      <c r="J277" s="10">
        <f>IFERROR(__xludf.DUMMYFUNCTION("""COMPUTED_VALUE"""),44348.0)</f>
        <v>44348</v>
      </c>
      <c r="K277" s="11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9" t="str">
        <f>IFERROR(__xludf.DUMMYFUNCTION("""COMPUTED_VALUE"""),"Genz")</f>
        <v>Genz</v>
      </c>
      <c r="B278" s="8" t="str">
        <f>IFERROR(__xludf.DUMMYFUNCTION("""COMPUTED_VALUE"""),"Darren")</f>
        <v>Darren</v>
      </c>
      <c r="C278" s="8" t="str">
        <f>IFERROR(__xludf.DUMMYFUNCTION("""COMPUTED_VALUE"""),"Ohatchee")</f>
        <v>Ohatchee</v>
      </c>
      <c r="D278" s="8" t="str">
        <f>IFERROR(__xludf.DUMMYFUNCTION("""COMPUTED_VALUE"""),"AL")</f>
        <v>AL</v>
      </c>
      <c r="E278" s="8" t="str">
        <f>IFERROR(__xludf.DUMMYFUNCTION("""COMPUTED_VALUE"""),"USA")</f>
        <v>USA</v>
      </c>
      <c r="F278" s="8" t="str">
        <f>IFERROR(__xludf.DUMMYFUNCTION("""COMPUTED_VALUE"""),"Mens Cricket Doubles")</f>
        <v>Mens Cricket Doubles</v>
      </c>
      <c r="G278" s="8" t="str">
        <f>IFERROR(__xludf.DUMMYFUNCTION("""COMPUTED_VALUE"""),"2nd")</f>
        <v>2nd</v>
      </c>
      <c r="H278" s="8" t="str">
        <f>IFERROR(__xludf.DUMMYFUNCTION("""COMPUTED_VALUE"""),"GA Regional 32")</f>
        <v>GA Regional 32</v>
      </c>
      <c r="I278" s="10">
        <f>IFERROR(__xludf.DUMMYFUNCTION("""COMPUTED_VALUE"""),42887.0)</f>
        <v>42887</v>
      </c>
      <c r="J278" s="10">
        <f>IFERROR(__xludf.DUMMYFUNCTION("""COMPUTED_VALUE"""),43983.0)</f>
        <v>43983</v>
      </c>
      <c r="K278" s="1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9" t="str">
        <f>IFERROR(__xludf.DUMMYFUNCTION("""COMPUTED_VALUE"""),"Georgeson")</f>
        <v>Georgeson</v>
      </c>
      <c r="B279" s="8" t="str">
        <f>IFERROR(__xludf.DUMMYFUNCTION("""COMPUTED_VALUE"""),"Nicholas")</f>
        <v>Nicholas</v>
      </c>
      <c r="C279" s="8" t="str">
        <f>IFERROR(__xludf.DUMMYFUNCTION("""COMPUTED_VALUE"""),"Libertyville")</f>
        <v>Libertyville</v>
      </c>
      <c r="D279" s="8" t="str">
        <f>IFERROR(__xludf.DUMMYFUNCTION("""COMPUTED_VALUE"""),"IL")</f>
        <v>IL</v>
      </c>
      <c r="E279" s="8" t="str">
        <f>IFERROR(__xludf.DUMMYFUNCTION("""COMPUTED_VALUE"""),"USA")</f>
        <v>USA</v>
      </c>
      <c r="F279" s="8" t="str">
        <f>IFERROR(__xludf.DUMMYFUNCTION("""COMPUTED_VALUE"""),"Men Doubles 501")</f>
        <v>Men Doubles 501</v>
      </c>
      <c r="G279" s="8" t="str">
        <f>IFERROR(__xludf.DUMMYFUNCTION("""COMPUTED_VALUE"""),"2nd")</f>
        <v>2nd</v>
      </c>
      <c r="H279" s="8" t="str">
        <f>IFERROR(__xludf.DUMMYFUNCTION("""COMPUTED_VALUE"""),"Nebraska BS 34")</f>
        <v>Nebraska BS 34</v>
      </c>
      <c r="I279" s="10">
        <f>IFERROR(__xludf.DUMMYFUNCTION("""COMPUTED_VALUE"""),43617.0)</f>
        <v>43617</v>
      </c>
      <c r="J279" s="10">
        <f>IFERROR(__xludf.DUMMYFUNCTION("""COMPUTED_VALUE"""),44713.0)</f>
        <v>44713</v>
      </c>
      <c r="K279" s="1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9" t="str">
        <f>IFERROR(__xludf.DUMMYFUNCTION("""COMPUTED_VALUE"""),"Gervais")</f>
        <v>Gervais</v>
      </c>
      <c r="B280" s="8" t="str">
        <f>IFERROR(__xludf.DUMMYFUNCTION("""COMPUTED_VALUE"""),"Matthew")</f>
        <v>Matthew</v>
      </c>
      <c r="C280" s="8" t="str">
        <f>IFERROR(__xludf.DUMMYFUNCTION("""COMPUTED_VALUE"""),"Ashland")</f>
        <v>Ashland</v>
      </c>
      <c r="D280" s="8" t="str">
        <f>IFERROR(__xludf.DUMMYFUNCTION("""COMPUTED_VALUE"""),"WI")</f>
        <v>WI</v>
      </c>
      <c r="E280" s="8" t="str">
        <f>IFERROR(__xludf.DUMMYFUNCTION("""COMPUTED_VALUE"""),"USA")</f>
        <v>USA</v>
      </c>
      <c r="F280" s="8" t="str">
        <f>IFERROR(__xludf.DUMMYFUNCTION("""COMPUTED_VALUE"""),"Pro Cricket Doubles")</f>
        <v>Pro Cricket Doubles</v>
      </c>
      <c r="G280" s="8" t="str">
        <f>IFERROR(__xludf.DUMMYFUNCTION("""COMPUTED_VALUE"""),"2nd")</f>
        <v>2nd</v>
      </c>
      <c r="H280" s="8" t="str">
        <f>IFERROR(__xludf.DUMMYFUNCTION("""COMPUTED_VALUE"""),"BullShooter 31")</f>
        <v>BullShooter 31</v>
      </c>
      <c r="I280" s="10">
        <f>IFERROR(__xludf.DUMMYFUNCTION("""COMPUTED_VALUE"""),42522.0)</f>
        <v>42522</v>
      </c>
      <c r="J280" s="10">
        <f>IFERROR(__xludf.DUMMYFUNCTION("""COMPUTED_VALUE"""),44713.0)</f>
        <v>44713</v>
      </c>
      <c r="K280" s="11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9" t="str">
        <f>IFERROR(__xludf.DUMMYFUNCTION("""COMPUTED_VALUE"""),"Gherardini")</f>
        <v>Gherardini</v>
      </c>
      <c r="B281" s="8" t="str">
        <f>IFERROR(__xludf.DUMMYFUNCTION("""COMPUTED_VALUE"""),"Dean")</f>
        <v>Dean</v>
      </c>
      <c r="C281" s="8" t="str">
        <f>IFERROR(__xludf.DUMMYFUNCTION("""COMPUTED_VALUE"""),"Taylor")</f>
        <v>Taylor</v>
      </c>
      <c r="D281" s="8" t="str">
        <f>IFERROR(__xludf.DUMMYFUNCTION("""COMPUTED_VALUE"""),"MI")</f>
        <v>MI</v>
      </c>
      <c r="E281" s="8" t="str">
        <f>IFERROR(__xludf.DUMMYFUNCTION("""COMPUTED_VALUE"""),"USA")</f>
        <v>USA</v>
      </c>
      <c r="F281" s="8" t="str">
        <f>IFERROR(__xludf.DUMMYFUNCTION("""COMPUTED_VALUE"""),"Men Doubles Cricket")</f>
        <v>Men Doubles Cricket</v>
      </c>
      <c r="G281" s="8" t="str">
        <f>IFERROR(__xludf.DUMMYFUNCTION("""COMPUTED_VALUE"""),"1st")</f>
        <v>1st</v>
      </c>
      <c r="H281" s="8" t="str">
        <f>IFERROR(__xludf.DUMMYFUNCTION("""COMPUTED_VALUE"""),"Indiana BS 34")</f>
        <v>Indiana BS 34</v>
      </c>
      <c r="I281" s="10">
        <f>IFERROR(__xludf.DUMMYFUNCTION("""COMPUTED_VALUE"""),43617.0)</f>
        <v>43617</v>
      </c>
      <c r="J281" s="10">
        <f>IFERROR(__xludf.DUMMYFUNCTION("""COMPUTED_VALUE"""),44713.0)</f>
        <v>44713</v>
      </c>
      <c r="K281" s="11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9" t="str">
        <f>IFERROR(__xludf.DUMMYFUNCTION("""COMPUTED_VALUE"""),"Gilbert")</f>
        <v>Gilbert</v>
      </c>
      <c r="B282" s="8" t="str">
        <f>IFERROR(__xludf.DUMMYFUNCTION("""COMPUTED_VALUE"""),"John")</f>
        <v>John</v>
      </c>
      <c r="C282" s="8" t="str">
        <f>IFERROR(__xludf.DUMMYFUNCTION("""COMPUTED_VALUE"""),"Portage")</f>
        <v>Portage</v>
      </c>
      <c r="D282" s="8" t="str">
        <f>IFERROR(__xludf.DUMMYFUNCTION("""COMPUTED_VALUE"""),"IN")</f>
        <v>IN</v>
      </c>
      <c r="E282" s="8" t="str">
        <f>IFERROR(__xludf.DUMMYFUNCTION("""COMPUTED_VALUE"""),"USA")</f>
        <v>USA</v>
      </c>
      <c r="F282" s="8" t="str">
        <f>IFERROR(__xludf.DUMMYFUNCTION("""COMPUTED_VALUE"""),"Mens Doubles")</f>
        <v>Mens Doubles</v>
      </c>
      <c r="G282" s="8" t="str">
        <f>IFERROR(__xludf.DUMMYFUNCTION("""COMPUTED_VALUE"""),"2nd")</f>
        <v>2nd</v>
      </c>
      <c r="H282" s="8" t="str">
        <f>IFERROR(__xludf.DUMMYFUNCTION("""COMPUTED_VALUE"""),"IN Regional 32")</f>
        <v>IN Regional 32</v>
      </c>
      <c r="I282" s="10">
        <f>IFERROR(__xludf.DUMMYFUNCTION("""COMPUTED_VALUE"""),42887.0)</f>
        <v>42887</v>
      </c>
      <c r="J282" s="10">
        <f>IFERROR(__xludf.DUMMYFUNCTION("""COMPUTED_VALUE"""),43983.0)</f>
        <v>43983</v>
      </c>
      <c r="K282" s="1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9" t="str">
        <f>IFERROR(__xludf.DUMMYFUNCTION("""COMPUTED_VALUE"""),"Giordano")</f>
        <v>Giordano</v>
      </c>
      <c r="B283" s="8" t="str">
        <f>IFERROR(__xludf.DUMMYFUNCTION("""COMPUTED_VALUE"""),"Joe")</f>
        <v>Joe</v>
      </c>
      <c r="C283" s="8" t="str">
        <f>IFERROR(__xludf.DUMMYFUNCTION("""COMPUTED_VALUE"""),"Myrtle Beach")</f>
        <v>Myrtle Beach</v>
      </c>
      <c r="D283" s="8" t="str">
        <f>IFERROR(__xludf.DUMMYFUNCTION("""COMPUTED_VALUE"""),"SC")</f>
        <v>SC</v>
      </c>
      <c r="E283" s="8" t="str">
        <f>IFERROR(__xludf.DUMMYFUNCTION("""COMPUTED_VALUE"""),"USA")</f>
        <v>USA</v>
      </c>
      <c r="F283" s="8" t="str">
        <f>IFERROR(__xludf.DUMMYFUNCTION("""COMPUTED_VALUE"""),"Pro Doubles 501")</f>
        <v>Pro Doubles 501</v>
      </c>
      <c r="G283" s="8" t="str">
        <f>IFERROR(__xludf.DUMMYFUNCTION("""COMPUTED_VALUE"""),"2nd")</f>
        <v>2nd</v>
      </c>
      <c r="H283" s="8" t="str">
        <f>IFERROR(__xludf.DUMMYFUNCTION("""COMPUTED_VALUE"""),"South Carolina BS 34")</f>
        <v>South Carolina BS 34</v>
      </c>
      <c r="I283" s="10">
        <f>IFERROR(__xludf.DUMMYFUNCTION("""COMPUTED_VALUE"""),43617.0)</f>
        <v>43617</v>
      </c>
      <c r="J283" s="10">
        <f>IFERROR(__xludf.DUMMYFUNCTION("""COMPUTED_VALUE"""),44713.0)</f>
        <v>44713</v>
      </c>
      <c r="K283" s="1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9" t="str">
        <f>IFERROR(__xludf.DUMMYFUNCTION("""COMPUTED_VALUE"""),"Gloss")</f>
        <v>Gloss</v>
      </c>
      <c r="B284" s="8" t="str">
        <f>IFERROR(__xludf.DUMMYFUNCTION("""COMPUTED_VALUE"""),"Michael")</f>
        <v>Michael</v>
      </c>
      <c r="C284" s="8" t="str">
        <f>IFERROR(__xludf.DUMMYFUNCTION("""COMPUTED_VALUE"""),"Port Richey")</f>
        <v>Port Richey</v>
      </c>
      <c r="D284" s="8" t="str">
        <f>IFERROR(__xludf.DUMMYFUNCTION("""COMPUTED_VALUE"""),"FL")</f>
        <v>FL</v>
      </c>
      <c r="E284" s="8" t="str">
        <f>IFERROR(__xludf.DUMMYFUNCTION("""COMPUTED_VALUE"""),"USA")</f>
        <v>USA</v>
      </c>
      <c r="F284" s="8" t="str">
        <f>IFERROR(__xludf.DUMMYFUNCTION("""COMPUTED_VALUE"""),"Pro Doubles Cricket")</f>
        <v>Pro Doubles Cricket</v>
      </c>
      <c r="G284" s="8" t="str">
        <f>IFERROR(__xludf.DUMMYFUNCTION("""COMPUTED_VALUE"""),"2nd")</f>
        <v>2nd</v>
      </c>
      <c r="H284" s="8" t="str">
        <f>IFERROR(__xludf.DUMMYFUNCTION("""COMPUTED_VALUE"""),"Off AA List")</f>
        <v>Off AA List</v>
      </c>
      <c r="I284" s="10">
        <f>IFERROR(__xludf.DUMMYFUNCTION("""COMPUTED_VALUE"""),42887.0)</f>
        <v>42887</v>
      </c>
      <c r="J284" s="10">
        <f>IFERROR(__xludf.DUMMYFUNCTION("""COMPUTED_VALUE"""),43983.0)</f>
        <v>43983</v>
      </c>
      <c r="K284" s="1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9" t="str">
        <f>IFERROR(__xludf.DUMMYFUNCTION("""COMPUTED_VALUE"""),"Goblet")</f>
        <v>Goblet</v>
      </c>
      <c r="B285" s="8" t="str">
        <f>IFERROR(__xludf.DUMMYFUNCTION("""COMPUTED_VALUE"""),"Samuel")</f>
        <v>Samuel</v>
      </c>
      <c r="C285" s="8" t="str">
        <f>IFERROR(__xludf.DUMMYFUNCTION("""COMPUTED_VALUE"""),"")</f>
        <v/>
      </c>
      <c r="D285" s="8" t="str">
        <f>IFERROR(__xludf.DUMMYFUNCTION("""COMPUTED_VALUE"""),"UNK")</f>
        <v>UNK</v>
      </c>
      <c r="E285" s="8" t="str">
        <f>IFERROR(__xludf.DUMMYFUNCTION("""COMPUTED_VALUE"""),"Belgium")</f>
        <v>Belgium</v>
      </c>
      <c r="F285" s="8" t="str">
        <f>IFERROR(__xludf.DUMMYFUNCTION("""COMPUTED_VALUE"""),"Known Pro")</f>
        <v>Known Pro</v>
      </c>
      <c r="G285" s="8" t="str">
        <f>IFERROR(__xludf.DUMMYFUNCTION("""COMPUTED_VALUE"""),"")</f>
        <v/>
      </c>
      <c r="H285" s="8" t="str">
        <f>IFERROR(__xludf.DUMMYFUNCTION("""COMPUTED_VALUE"""),"Known Ability")</f>
        <v>Known Ability</v>
      </c>
      <c r="I285" s="10">
        <f>IFERROR(__xludf.DUMMYFUNCTION("""COMPUTED_VALUE"""),36892.0)</f>
        <v>36892</v>
      </c>
      <c r="J285" s="10">
        <f>IFERROR(__xludf.DUMMYFUNCTION("""COMPUTED_VALUE"""),45809.0)</f>
        <v>45809</v>
      </c>
      <c r="K285" s="1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9" t="str">
        <f>IFERROR(__xludf.DUMMYFUNCTION("""COMPUTED_VALUE"""),"Gonzalez")</f>
        <v>Gonzalez</v>
      </c>
      <c r="B286" s="8" t="str">
        <f>IFERROR(__xludf.DUMMYFUNCTION("""COMPUTED_VALUE"""),"Jose")</f>
        <v>Jose</v>
      </c>
      <c r="C286" s="8" t="str">
        <f>IFERROR(__xludf.DUMMYFUNCTION("""COMPUTED_VALUE"""),"San Antonio")</f>
        <v>San Antonio</v>
      </c>
      <c r="D286" s="8" t="str">
        <f>IFERROR(__xludf.DUMMYFUNCTION("""COMPUTED_VALUE"""),"TX")</f>
        <v>TX</v>
      </c>
      <c r="E286" s="8" t="str">
        <f>IFERROR(__xludf.DUMMYFUNCTION("""COMPUTED_VALUE"""),"USA")</f>
        <v>USA</v>
      </c>
      <c r="F286" s="8" t="str">
        <f>IFERROR(__xludf.DUMMYFUNCTION("""COMPUTED_VALUE"""),"Mens Cricket Doubles")</f>
        <v>Mens Cricket Doubles</v>
      </c>
      <c r="G286" s="8" t="str">
        <f>IFERROR(__xludf.DUMMYFUNCTION("""COMPUTED_VALUE"""),"4th")</f>
        <v>4th</v>
      </c>
      <c r="H286" s="8" t="str">
        <f>IFERROR(__xludf.DUMMYFUNCTION("""COMPUTED_VALUE"""),"BullShooter 32")</f>
        <v>BullShooter 32</v>
      </c>
      <c r="I286" s="10">
        <f>IFERROR(__xludf.DUMMYFUNCTION("""COMPUTED_VALUE"""),42887.0)</f>
        <v>42887</v>
      </c>
      <c r="J286" s="10">
        <f>IFERROR(__xludf.DUMMYFUNCTION("""COMPUTED_VALUE"""),43983.0)</f>
        <v>43983</v>
      </c>
      <c r="K286" s="1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9" t="str">
        <f>IFERROR(__xludf.DUMMYFUNCTION("""COMPUTED_VALUE"""),"Gosnell")</f>
        <v>Gosnell</v>
      </c>
      <c r="B287" s="8" t="str">
        <f>IFERROR(__xludf.DUMMYFUNCTION("""COMPUTED_VALUE"""),"Steve")</f>
        <v>Steve</v>
      </c>
      <c r="C287" s="8" t="str">
        <f>IFERROR(__xludf.DUMMYFUNCTION("""COMPUTED_VALUE"""),"Taylor")</f>
        <v>Taylor</v>
      </c>
      <c r="D287" s="8" t="str">
        <f>IFERROR(__xludf.DUMMYFUNCTION("""COMPUTED_VALUE"""),"AL")</f>
        <v>AL</v>
      </c>
      <c r="E287" s="8" t="str">
        <f>IFERROR(__xludf.DUMMYFUNCTION("""COMPUTED_VALUE"""),"USA")</f>
        <v>USA</v>
      </c>
      <c r="F287" s="8" t="str">
        <f>IFERROR(__xludf.DUMMYFUNCTION("""COMPUTED_VALUE"""),"Pro Doubles")</f>
        <v>Pro Doubles</v>
      </c>
      <c r="G287" s="8" t="str">
        <f>IFERROR(__xludf.DUMMYFUNCTION("""COMPUTED_VALUE"""),"3rd")</f>
        <v>3rd</v>
      </c>
      <c r="H287" s="8" t="str">
        <f>IFERROR(__xludf.DUMMYFUNCTION("""COMPUTED_VALUE"""),"GA Regional 32")</f>
        <v>GA Regional 32</v>
      </c>
      <c r="I287" s="10">
        <f>IFERROR(__xludf.DUMMYFUNCTION("""COMPUTED_VALUE"""),42887.0)</f>
        <v>42887</v>
      </c>
      <c r="J287" s="10">
        <f>IFERROR(__xludf.DUMMYFUNCTION("""COMPUTED_VALUE"""),43983.0)</f>
        <v>43983</v>
      </c>
      <c r="K287" s="1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9" t="str">
        <f>IFERROR(__xludf.DUMMYFUNCTION("""COMPUTED_VALUE"""),"Graff")</f>
        <v>Graff</v>
      </c>
      <c r="B288" s="8" t="str">
        <f>IFERROR(__xludf.DUMMYFUNCTION("""COMPUTED_VALUE"""),"Matthew")</f>
        <v>Matthew</v>
      </c>
      <c r="C288" s="8" t="str">
        <f>IFERROR(__xludf.DUMMYFUNCTION("""COMPUTED_VALUE"""),"Manitowoc")</f>
        <v>Manitowoc</v>
      </c>
      <c r="D288" s="8" t="str">
        <f>IFERROR(__xludf.DUMMYFUNCTION("""COMPUTED_VALUE"""),"WI")</f>
        <v>WI</v>
      </c>
      <c r="E288" s="8" t="str">
        <f>IFERROR(__xludf.DUMMYFUNCTION("""COMPUTED_VALUE"""),"USA")</f>
        <v>USA</v>
      </c>
      <c r="F288" s="8" t="str">
        <f>IFERROR(__xludf.DUMMYFUNCTION("""COMPUTED_VALUE"""),"Pro/AA Cricket Luck")</f>
        <v>Pro/AA Cricket Luck</v>
      </c>
      <c r="G288" s="8" t="str">
        <f>IFERROR(__xludf.DUMMYFUNCTION("""COMPUTED_VALUE"""),"1st")</f>
        <v>1st</v>
      </c>
      <c r="H288" s="8" t="str">
        <f>IFERROR(__xludf.DUMMYFUNCTION("""COMPUTED_VALUE"""),"Off AA List")</f>
        <v>Off AA List</v>
      </c>
      <c r="I288" s="10">
        <f>IFERROR(__xludf.DUMMYFUNCTION("""COMPUTED_VALUE"""),42887.0)</f>
        <v>42887</v>
      </c>
      <c r="J288" s="10">
        <f>IFERROR(__xludf.DUMMYFUNCTION("""COMPUTED_VALUE"""),43983.0)</f>
        <v>43983</v>
      </c>
      <c r="K288" s="1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9" t="str">
        <f>IFERROR(__xludf.DUMMYFUNCTION("""COMPUTED_VALUE"""),"Grant")</f>
        <v>Grant</v>
      </c>
      <c r="B289" s="8" t="str">
        <f>IFERROR(__xludf.DUMMYFUNCTION("""COMPUTED_VALUE"""),"Sean")</f>
        <v>Sean</v>
      </c>
      <c r="C289" s="8" t="str">
        <f>IFERROR(__xludf.DUMMYFUNCTION("""COMPUTED_VALUE"""),"Dayton")</f>
        <v>Dayton</v>
      </c>
      <c r="D289" s="8" t="str">
        <f>IFERROR(__xludf.DUMMYFUNCTION("""COMPUTED_VALUE"""),"OH")</f>
        <v>OH</v>
      </c>
      <c r="E289" s="8" t="str">
        <f>IFERROR(__xludf.DUMMYFUNCTION("""COMPUTED_VALUE"""),"USA")</f>
        <v>USA</v>
      </c>
      <c r="F289" s="8" t="str">
        <f>IFERROR(__xludf.DUMMYFUNCTION("""COMPUTED_VALUE"""),"Pro Doubles")</f>
        <v>Pro Doubles</v>
      </c>
      <c r="G289" s="8" t="str">
        <f>IFERROR(__xludf.DUMMYFUNCTION("""COMPUTED_VALUE"""),"3rd")</f>
        <v>3rd</v>
      </c>
      <c r="H289" s="8" t="str">
        <f>IFERROR(__xludf.DUMMYFUNCTION("""COMPUTED_VALUE"""),"OH Regional 32")</f>
        <v>OH Regional 32</v>
      </c>
      <c r="I289" s="10">
        <f>IFERROR(__xludf.DUMMYFUNCTION("""COMPUTED_VALUE"""),42887.0)</f>
        <v>42887</v>
      </c>
      <c r="J289" s="10">
        <f>IFERROR(__xludf.DUMMYFUNCTION("""COMPUTED_VALUE"""),43983.0)</f>
        <v>43983</v>
      </c>
      <c r="K289" s="11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9" t="str">
        <f>IFERROR(__xludf.DUMMYFUNCTION("""COMPUTED_VALUE"""),"Graton")</f>
        <v>Graton</v>
      </c>
      <c r="B290" s="8" t="str">
        <f>IFERROR(__xludf.DUMMYFUNCTION("""COMPUTED_VALUE"""),"James")</f>
        <v>James</v>
      </c>
      <c r="C290" s="8" t="str">
        <f>IFERROR(__xludf.DUMMYFUNCTION("""COMPUTED_VALUE"""),"Niagara Falls")</f>
        <v>Niagara Falls</v>
      </c>
      <c r="D290" s="8" t="str">
        <f>IFERROR(__xludf.DUMMYFUNCTION("""COMPUTED_VALUE"""),"NY")</f>
        <v>NY</v>
      </c>
      <c r="E290" s="8" t="str">
        <f>IFERROR(__xludf.DUMMYFUNCTION("""COMPUTED_VALUE"""),"USA")</f>
        <v>USA</v>
      </c>
      <c r="F290" s="8" t="str">
        <f>IFERROR(__xludf.DUMMYFUNCTION("""COMPUTED_VALUE"""),"Pro/Am Cricket")</f>
        <v>Pro/Am Cricket</v>
      </c>
      <c r="G290" s="8" t="str">
        <f>IFERROR(__xludf.DUMMYFUNCTION("""COMPUTED_VALUE"""),"2nd")</f>
        <v>2nd</v>
      </c>
      <c r="H290" s="8" t="str">
        <f>IFERROR(__xludf.DUMMYFUNCTION("""COMPUTED_VALUE"""),"NY Regional 33")</f>
        <v>NY Regional 33</v>
      </c>
      <c r="I290" s="10">
        <f>IFERROR(__xludf.DUMMYFUNCTION("""COMPUTED_VALUE"""),43252.0)</f>
        <v>43252</v>
      </c>
      <c r="J290" s="10">
        <f>IFERROR(__xludf.DUMMYFUNCTION("""COMPUTED_VALUE"""),44348.0)</f>
        <v>44348</v>
      </c>
      <c r="K290" s="11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9" t="str">
        <f>IFERROR(__xludf.DUMMYFUNCTION("""COMPUTED_VALUE"""),"Graves")</f>
        <v>Graves</v>
      </c>
      <c r="B291" s="8" t="str">
        <f>IFERROR(__xludf.DUMMYFUNCTION("""COMPUTED_VALUE"""),"Timothy")</f>
        <v>Timothy</v>
      </c>
      <c r="C291" s="8" t="str">
        <f>IFERROR(__xludf.DUMMYFUNCTION("""COMPUTED_VALUE"""),"Harrison")</f>
        <v>Harrison</v>
      </c>
      <c r="D291" s="8" t="str">
        <f>IFERROR(__xludf.DUMMYFUNCTION("""COMPUTED_VALUE"""),"TN")</f>
        <v>TN</v>
      </c>
      <c r="E291" s="8" t="str">
        <f>IFERROR(__xludf.DUMMYFUNCTION("""COMPUTED_VALUE"""),"USA")</f>
        <v>USA</v>
      </c>
      <c r="F291" s="8" t="str">
        <f>IFERROR(__xludf.DUMMYFUNCTION("""COMPUTED_VALUE"""),"Men Singles Cricket")</f>
        <v>Men Singles Cricket</v>
      </c>
      <c r="G291" s="8" t="str">
        <f>IFERROR(__xludf.DUMMYFUNCTION("""COMPUTED_VALUE"""),"1st")</f>
        <v>1st</v>
      </c>
      <c r="H291" s="8" t="str">
        <f>IFERROR(__xludf.DUMMYFUNCTION("""COMPUTED_VALUE"""),"Georgia BS 34")</f>
        <v>Georgia BS 34</v>
      </c>
      <c r="I291" s="10">
        <f>IFERROR(__xludf.DUMMYFUNCTION("""COMPUTED_VALUE"""),43617.0)</f>
        <v>43617</v>
      </c>
      <c r="J291" s="10">
        <f>IFERROR(__xludf.DUMMYFUNCTION("""COMPUTED_VALUE"""),44713.0)</f>
        <v>44713</v>
      </c>
      <c r="K291" s="11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9" t="str">
        <f>IFERROR(__xludf.DUMMYFUNCTION("""COMPUTED_VALUE"""),"Gray")</f>
        <v>Gray</v>
      </c>
      <c r="B292" s="8" t="str">
        <f>IFERROR(__xludf.DUMMYFUNCTION("""COMPUTED_VALUE"""),"John")</f>
        <v>John</v>
      </c>
      <c r="C292" s="8" t="str">
        <f>IFERROR(__xludf.DUMMYFUNCTION("""COMPUTED_VALUE"""),"Phoenix")</f>
        <v>Phoenix</v>
      </c>
      <c r="D292" s="8" t="str">
        <f>IFERROR(__xludf.DUMMYFUNCTION("""COMPUTED_VALUE"""),"AZ")</f>
        <v>AZ</v>
      </c>
      <c r="E292" s="8" t="str">
        <f>IFERROR(__xludf.DUMMYFUNCTION("""COMPUTED_VALUE"""),"USA")</f>
        <v>USA</v>
      </c>
      <c r="F292" s="8" t="str">
        <f>IFERROR(__xludf.DUMMYFUNCTION("""COMPUTED_VALUE"""),"Known Pro")</f>
        <v>Known Pro</v>
      </c>
      <c r="G292" s="8" t="str">
        <f>IFERROR(__xludf.DUMMYFUNCTION("""COMPUTED_VALUE"""),"")</f>
        <v/>
      </c>
      <c r="H292" s="8" t="str">
        <f>IFERROR(__xludf.DUMMYFUNCTION("""COMPUTED_VALUE"""),"Known Ability")</f>
        <v>Known Ability</v>
      </c>
      <c r="I292" s="10">
        <f>IFERROR(__xludf.DUMMYFUNCTION("""COMPUTED_VALUE"""),36892.0)</f>
        <v>36892</v>
      </c>
      <c r="J292" s="10">
        <f>IFERROR(__xludf.DUMMYFUNCTION("""COMPUTED_VALUE"""),45809.0)</f>
        <v>45809</v>
      </c>
      <c r="K292" s="1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9" t="str">
        <f>IFERROR(__xludf.DUMMYFUNCTION("""COMPUTED_VALUE"""),"Green")</f>
        <v>Green</v>
      </c>
      <c r="B293" s="8" t="str">
        <f>IFERROR(__xludf.DUMMYFUNCTION("""COMPUTED_VALUE"""),"Daniel")</f>
        <v>Daniel</v>
      </c>
      <c r="C293" s="8" t="str">
        <f>IFERROR(__xludf.DUMMYFUNCTION("""COMPUTED_VALUE"""),"Waukesha")</f>
        <v>Waukesha</v>
      </c>
      <c r="D293" s="8" t="str">
        <f>IFERROR(__xludf.DUMMYFUNCTION("""COMPUTED_VALUE"""),"WI")</f>
        <v>WI</v>
      </c>
      <c r="E293" s="8" t="str">
        <f>IFERROR(__xludf.DUMMYFUNCTION("""COMPUTED_VALUE"""),"USA")</f>
        <v>USA</v>
      </c>
      <c r="F293" s="8" t="str">
        <f>IFERROR(__xludf.DUMMYFUNCTION("""COMPUTED_VALUE"""),"Mens Doubles")</f>
        <v>Mens Doubles</v>
      </c>
      <c r="G293" s="8" t="str">
        <f>IFERROR(__xludf.DUMMYFUNCTION("""COMPUTED_VALUE"""),"3rd")</f>
        <v>3rd</v>
      </c>
      <c r="H293" s="8" t="str">
        <f>IFERROR(__xludf.DUMMYFUNCTION("""COMPUTED_VALUE"""),"WI Regional 32")</f>
        <v>WI Regional 32</v>
      </c>
      <c r="I293" s="10">
        <f>IFERROR(__xludf.DUMMYFUNCTION("""COMPUTED_VALUE"""),42887.0)</f>
        <v>42887</v>
      </c>
      <c r="J293" s="10">
        <f>IFERROR(__xludf.DUMMYFUNCTION("""COMPUTED_VALUE"""),43983.0)</f>
        <v>43983</v>
      </c>
      <c r="K293" s="1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9" t="str">
        <f>IFERROR(__xludf.DUMMYFUNCTION("""COMPUTED_VALUE"""),"Green Jr.")</f>
        <v>Green Jr.</v>
      </c>
      <c r="B294" s="8" t="str">
        <f>IFERROR(__xludf.DUMMYFUNCTION("""COMPUTED_VALUE"""),"Richard")</f>
        <v>Richard</v>
      </c>
      <c r="C294" s="8" t="str">
        <f>IFERROR(__xludf.DUMMYFUNCTION("""COMPUTED_VALUE"""),"Morgan")</f>
        <v>Morgan</v>
      </c>
      <c r="D294" s="8" t="str">
        <f>IFERROR(__xludf.DUMMYFUNCTION("""COMPUTED_VALUE"""),"MN")</f>
        <v>MN</v>
      </c>
      <c r="E294" s="8" t="str">
        <f>IFERROR(__xludf.DUMMYFUNCTION("""COMPUTED_VALUE"""),"USA")</f>
        <v>USA</v>
      </c>
      <c r="F294" s="8" t="str">
        <f>IFERROR(__xludf.DUMMYFUNCTION("""COMPUTED_VALUE"""),"Pro/AA Cricket Luck")</f>
        <v>Pro/AA Cricket Luck</v>
      </c>
      <c r="G294" s="8" t="str">
        <f>IFERROR(__xludf.DUMMYFUNCTION("""COMPUTED_VALUE"""),"3rd")</f>
        <v>3rd</v>
      </c>
      <c r="H294" s="8" t="str">
        <f>IFERROR(__xludf.DUMMYFUNCTION("""COMPUTED_VALUE"""),"Off AA List")</f>
        <v>Off AA List</v>
      </c>
      <c r="I294" s="10">
        <f>IFERROR(__xludf.DUMMYFUNCTION("""COMPUTED_VALUE"""),42887.0)</f>
        <v>42887</v>
      </c>
      <c r="J294" s="10">
        <f>IFERROR(__xludf.DUMMYFUNCTION("""COMPUTED_VALUE"""),43983.0)</f>
        <v>43983</v>
      </c>
      <c r="K294" s="11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9" t="str">
        <f>IFERROR(__xludf.DUMMYFUNCTION("""COMPUTED_VALUE"""),"Greenhau")</f>
        <v>Greenhau</v>
      </c>
      <c r="B295" s="8" t="str">
        <f>IFERROR(__xludf.DUMMYFUNCTION("""COMPUTED_VALUE"""),"Justin")</f>
        <v>Justin</v>
      </c>
      <c r="C295" s="8" t="str">
        <f>IFERROR(__xludf.DUMMYFUNCTION("""COMPUTED_VALUE"""),"Houston")</f>
        <v>Houston</v>
      </c>
      <c r="D295" s="8" t="str">
        <f>IFERROR(__xludf.DUMMYFUNCTION("""COMPUTED_VALUE"""),"TX")</f>
        <v>TX</v>
      </c>
      <c r="E295" s="8" t="str">
        <f>IFERROR(__xludf.DUMMYFUNCTION("""COMPUTED_VALUE"""),"USA")</f>
        <v>USA</v>
      </c>
      <c r="F295" s="8" t="str">
        <f>IFERROR(__xludf.DUMMYFUNCTION("""COMPUTED_VALUE"""),"Mens Doubles")</f>
        <v>Mens Doubles</v>
      </c>
      <c r="G295" s="8" t="str">
        <f>IFERROR(__xludf.DUMMYFUNCTION("""COMPUTED_VALUE"""),"3rd")</f>
        <v>3rd</v>
      </c>
      <c r="H295" s="8" t="str">
        <f>IFERROR(__xludf.DUMMYFUNCTION("""COMPUTED_VALUE"""),"TX Regional 33")</f>
        <v>TX Regional 33</v>
      </c>
      <c r="I295" s="10">
        <f>IFERROR(__xludf.DUMMYFUNCTION("""COMPUTED_VALUE"""),43252.0)</f>
        <v>43252</v>
      </c>
      <c r="J295" s="10">
        <f>IFERROR(__xludf.DUMMYFUNCTION("""COMPUTED_VALUE"""),44348.0)</f>
        <v>44348</v>
      </c>
      <c r="K295" s="11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9" t="str">
        <f>IFERROR(__xludf.DUMMYFUNCTION("""COMPUTED_VALUE"""),"Greenwood")</f>
        <v>Greenwood</v>
      </c>
      <c r="B296" s="8" t="str">
        <f>IFERROR(__xludf.DUMMYFUNCTION("""COMPUTED_VALUE"""),"Ryan")</f>
        <v>Ryan</v>
      </c>
      <c r="C296" s="8" t="str">
        <f>IFERROR(__xludf.DUMMYFUNCTION("""COMPUTED_VALUE"""),"Galesburg")</f>
        <v>Galesburg</v>
      </c>
      <c r="D296" s="8" t="str">
        <f>IFERROR(__xludf.DUMMYFUNCTION("""COMPUTED_VALUE"""),"IL")</f>
        <v>IL</v>
      </c>
      <c r="E296" s="8" t="str">
        <f>IFERROR(__xludf.DUMMYFUNCTION("""COMPUTED_VALUE"""),"USA")</f>
        <v>USA</v>
      </c>
      <c r="F296" s="8" t="str">
        <f>IFERROR(__xludf.DUMMYFUNCTION("""COMPUTED_VALUE"""),"")</f>
        <v/>
      </c>
      <c r="G296" s="8" t="str">
        <f>IFERROR(__xludf.DUMMYFUNCTION("""COMPUTED_VALUE"""),"")</f>
        <v/>
      </c>
      <c r="H296" s="8" t="str">
        <f>IFERROR(__xludf.DUMMYFUNCTION("""COMPUTED_VALUE"""),"BS 30 Finals")</f>
        <v>BS 30 Finals</v>
      </c>
      <c r="I296" s="10">
        <f>IFERROR(__xludf.DUMMYFUNCTION("""COMPUTED_VALUE"""),43252.0)</f>
        <v>43252</v>
      </c>
      <c r="J296" s="10">
        <f>IFERROR(__xludf.DUMMYFUNCTION("""COMPUTED_VALUE"""),44348.0)</f>
        <v>44348</v>
      </c>
      <c r="K296" s="1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9" t="str">
        <f>IFERROR(__xludf.DUMMYFUNCTION("""COMPUTED_VALUE"""),"Grenier")</f>
        <v>Grenier</v>
      </c>
      <c r="B297" s="8" t="str">
        <f>IFERROR(__xludf.DUMMYFUNCTION("""COMPUTED_VALUE"""),"Robert")</f>
        <v>Robert</v>
      </c>
      <c r="C297" s="8" t="str">
        <f>IFERROR(__xludf.DUMMYFUNCTION("""COMPUTED_VALUE"""),"Henderson")</f>
        <v>Henderson</v>
      </c>
      <c r="D297" s="8" t="str">
        <f>IFERROR(__xludf.DUMMYFUNCTION("""COMPUTED_VALUE"""),"NV")</f>
        <v>NV</v>
      </c>
      <c r="E297" s="8" t="str">
        <f>IFERROR(__xludf.DUMMYFUNCTION("""COMPUTED_VALUE"""),"USA")</f>
        <v>USA</v>
      </c>
      <c r="F297" s="8" t="str">
        <f>IFERROR(__xludf.DUMMYFUNCTION("""COMPUTED_VALUE"""),"Mens Doubles")</f>
        <v>Mens Doubles</v>
      </c>
      <c r="G297" s="8" t="str">
        <f>IFERROR(__xludf.DUMMYFUNCTION("""COMPUTED_VALUE"""),"3rd")</f>
        <v>3rd</v>
      </c>
      <c r="H297" s="8" t="str">
        <f>IFERROR(__xludf.DUMMYFUNCTION("""COMPUTED_VALUE"""),"NV Regional 32")</f>
        <v>NV Regional 32</v>
      </c>
      <c r="I297" s="10">
        <f>IFERROR(__xludf.DUMMYFUNCTION("""COMPUTED_VALUE"""),42887.0)</f>
        <v>42887</v>
      </c>
      <c r="J297" s="10">
        <f>IFERROR(__xludf.DUMMYFUNCTION("""COMPUTED_VALUE"""),43983.0)</f>
        <v>43983</v>
      </c>
      <c r="K297" s="1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9" t="str">
        <f>IFERROR(__xludf.DUMMYFUNCTION("""COMPUTED_VALUE"""),"Groceman")</f>
        <v>Groceman</v>
      </c>
      <c r="B298" s="8" t="str">
        <f>IFERROR(__xludf.DUMMYFUNCTION("""COMPUTED_VALUE"""),"Richard")</f>
        <v>Richard</v>
      </c>
      <c r="C298" s="8" t="str">
        <f>IFERROR(__xludf.DUMMYFUNCTION("""COMPUTED_VALUE"""),"St. Peters")</f>
        <v>St. Peters</v>
      </c>
      <c r="D298" s="8" t="str">
        <f>IFERROR(__xludf.DUMMYFUNCTION("""COMPUTED_VALUE"""),"MO")</f>
        <v>MO</v>
      </c>
      <c r="E298" s="8" t="str">
        <f>IFERROR(__xludf.DUMMYFUNCTION("""COMPUTED_VALUE"""),"USA")</f>
        <v>USA</v>
      </c>
      <c r="F298" s="8" t="str">
        <f>IFERROR(__xludf.DUMMYFUNCTION("""COMPUTED_VALUE"""),"Mens Doubles")</f>
        <v>Mens Doubles</v>
      </c>
      <c r="G298" s="8" t="str">
        <f>IFERROR(__xludf.DUMMYFUNCTION("""COMPUTED_VALUE"""),"1st")</f>
        <v>1st</v>
      </c>
      <c r="H298" s="8" t="str">
        <f>IFERROR(__xludf.DUMMYFUNCTION("""COMPUTED_VALUE"""),"GA Regional 33")</f>
        <v>GA Regional 33</v>
      </c>
      <c r="I298" s="10">
        <f>IFERROR(__xludf.DUMMYFUNCTION("""COMPUTED_VALUE"""),43252.0)</f>
        <v>43252</v>
      </c>
      <c r="J298" s="10">
        <f>IFERROR(__xludf.DUMMYFUNCTION("""COMPUTED_VALUE"""),44348.0)</f>
        <v>44348</v>
      </c>
      <c r="K298" s="11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9" t="str">
        <f>IFERROR(__xludf.DUMMYFUNCTION("""COMPUTED_VALUE"""),"Guerette")</f>
        <v>Guerette</v>
      </c>
      <c r="B299" s="8" t="str">
        <f>IFERROR(__xludf.DUMMYFUNCTION("""COMPUTED_VALUE"""),"Doug")</f>
        <v>Doug</v>
      </c>
      <c r="C299" s="8" t="str">
        <f>IFERROR(__xludf.DUMMYFUNCTION("""COMPUTED_VALUE"""),"Goldsboro")</f>
        <v>Goldsboro</v>
      </c>
      <c r="D299" s="8" t="str">
        <f>IFERROR(__xludf.DUMMYFUNCTION("""COMPUTED_VALUE"""),"NC")</f>
        <v>NC</v>
      </c>
      <c r="E299" s="8" t="str">
        <f>IFERROR(__xludf.DUMMYFUNCTION("""COMPUTED_VALUE"""),"USA")</f>
        <v>USA</v>
      </c>
      <c r="F299" s="8" t="str">
        <f>IFERROR(__xludf.DUMMYFUNCTION("""COMPUTED_VALUE"""),"Men Singles Cricket")</f>
        <v>Men Singles Cricket</v>
      </c>
      <c r="G299" s="8" t="str">
        <f>IFERROR(__xludf.DUMMYFUNCTION("""COMPUTED_VALUE"""),"3rd")</f>
        <v>3rd</v>
      </c>
      <c r="H299" s="8" t="str">
        <f>IFERROR(__xludf.DUMMYFUNCTION("""COMPUTED_VALUE"""),"Pennsylvania BS 34")</f>
        <v>Pennsylvania BS 34</v>
      </c>
      <c r="I299" s="10">
        <f>IFERROR(__xludf.DUMMYFUNCTION("""COMPUTED_VALUE"""),43617.0)</f>
        <v>43617</v>
      </c>
      <c r="J299" s="10">
        <f>IFERROR(__xludf.DUMMYFUNCTION("""COMPUTED_VALUE"""),44713.0)</f>
        <v>44713</v>
      </c>
      <c r="K299" s="11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9" t="str">
        <f>IFERROR(__xludf.DUMMYFUNCTION("""COMPUTED_VALUE"""),"Guillermont")</f>
        <v>Guillermont</v>
      </c>
      <c r="B300" s="8" t="str">
        <f>IFERROR(__xludf.DUMMYFUNCTION("""COMPUTED_VALUE"""),"Frank")</f>
        <v>Frank</v>
      </c>
      <c r="C300" s="8" t="str">
        <f>IFERROR(__xludf.DUMMYFUNCTION("""COMPUTED_VALUE"""),"")</f>
        <v/>
      </c>
      <c r="D300" s="8" t="str">
        <f>IFERROR(__xludf.DUMMYFUNCTION("""COMPUTED_VALUE"""),"UNK")</f>
        <v>UNK</v>
      </c>
      <c r="E300" s="8" t="str">
        <f>IFERROR(__xludf.DUMMYFUNCTION("""COMPUTED_VALUE"""),"France")</f>
        <v>France</v>
      </c>
      <c r="F300" s="8" t="str">
        <f>IFERROR(__xludf.DUMMYFUNCTION("""COMPUTED_VALUE"""),"DL")</f>
        <v>DL</v>
      </c>
      <c r="G300" s="8" t="str">
        <f>IFERROR(__xludf.DUMMYFUNCTION("""COMPUTED_VALUE"""),"94th")</f>
        <v>94th</v>
      </c>
      <c r="H300" s="8" t="str">
        <f>IFERROR(__xludf.DUMMYFUNCTION("""COMPUTED_VALUE"""),"DL")</f>
        <v>DL</v>
      </c>
      <c r="I300" s="10">
        <f>IFERROR(__xludf.DUMMYFUNCTION("""COMPUTED_VALUE"""),42401.0)</f>
        <v>42401</v>
      </c>
      <c r="J300" s="10">
        <f>IFERROR(__xludf.DUMMYFUNCTION("""COMPUTED_VALUE"""),44713.0)</f>
        <v>44713</v>
      </c>
      <c r="K300" s="1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9" t="str">
        <f>IFERROR(__xludf.DUMMYFUNCTION("""COMPUTED_VALUE"""),"Gunville Jr.")</f>
        <v>Gunville Jr.</v>
      </c>
      <c r="B301" s="8" t="str">
        <f>IFERROR(__xludf.DUMMYFUNCTION("""COMPUTED_VALUE"""),"Don")</f>
        <v>Don</v>
      </c>
      <c r="C301" s="8" t="str">
        <f>IFERROR(__xludf.DUMMYFUNCTION("""COMPUTED_VALUE"""),"Bismark")</f>
        <v>Bismark</v>
      </c>
      <c r="D301" s="8" t="str">
        <f>IFERROR(__xludf.DUMMYFUNCTION("""COMPUTED_VALUE"""),"ND")</f>
        <v>ND</v>
      </c>
      <c r="E301" s="8" t="str">
        <f>IFERROR(__xludf.DUMMYFUNCTION("""COMPUTED_VALUE"""),"USA")</f>
        <v>USA</v>
      </c>
      <c r="F301" s="8" t="str">
        <f>IFERROR(__xludf.DUMMYFUNCTION("""COMPUTED_VALUE"""),"Mixed Triples")</f>
        <v>Mixed Triples</v>
      </c>
      <c r="G301" s="8" t="str">
        <f>IFERROR(__xludf.DUMMYFUNCTION("""COMPUTED_VALUE"""),"3rd")</f>
        <v>3rd</v>
      </c>
      <c r="H301" s="8" t="str">
        <f>IFERROR(__xludf.DUMMYFUNCTION("""COMPUTED_VALUE"""),"BS 33 Finals")</f>
        <v>BS 33 Finals</v>
      </c>
      <c r="I301" s="10">
        <f>IFERROR(__xludf.DUMMYFUNCTION("""COMPUTED_VALUE"""),43252.0)</f>
        <v>43252</v>
      </c>
      <c r="J301" s="10">
        <f>IFERROR(__xludf.DUMMYFUNCTION("""COMPUTED_VALUE"""),44348.0)</f>
        <v>44348</v>
      </c>
      <c r="K301" s="1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9" t="str">
        <f>IFERROR(__xludf.DUMMYFUNCTION("""COMPUTED_VALUE"""),"Gunville Sr.")</f>
        <v>Gunville Sr.</v>
      </c>
      <c r="B302" s="8" t="str">
        <f>IFERROR(__xludf.DUMMYFUNCTION("""COMPUTED_VALUE"""),"Don")</f>
        <v>Don</v>
      </c>
      <c r="C302" s="8" t="str">
        <f>IFERROR(__xludf.DUMMYFUNCTION("""COMPUTED_VALUE"""),"Dunseith")</f>
        <v>Dunseith</v>
      </c>
      <c r="D302" s="8" t="str">
        <f>IFERROR(__xludf.DUMMYFUNCTION("""COMPUTED_VALUE"""),"ND")</f>
        <v>ND</v>
      </c>
      <c r="E302" s="8" t="str">
        <f>IFERROR(__xludf.DUMMYFUNCTION("""COMPUTED_VALUE"""),"USA")</f>
        <v>USA</v>
      </c>
      <c r="F302" s="8" t="str">
        <f>IFERROR(__xludf.DUMMYFUNCTION("""COMPUTED_VALUE"""),"Mixed Triples")</f>
        <v>Mixed Triples</v>
      </c>
      <c r="G302" s="8" t="str">
        <f>IFERROR(__xludf.DUMMYFUNCTION("""COMPUTED_VALUE"""),"3rd")</f>
        <v>3rd</v>
      </c>
      <c r="H302" s="8" t="str">
        <f>IFERROR(__xludf.DUMMYFUNCTION("""COMPUTED_VALUE"""),"BS 33 Finals")</f>
        <v>BS 33 Finals</v>
      </c>
      <c r="I302" s="10">
        <f>IFERROR(__xludf.DUMMYFUNCTION("""COMPUTED_VALUE"""),43252.0)</f>
        <v>43252</v>
      </c>
      <c r="J302" s="10">
        <f>IFERROR(__xludf.DUMMYFUNCTION("""COMPUTED_VALUE"""),44348.0)</f>
        <v>44348</v>
      </c>
      <c r="K302" s="11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9" t="str">
        <f>IFERROR(__xludf.DUMMYFUNCTION("""COMPUTED_VALUE"""),"Haas")</f>
        <v>Haas</v>
      </c>
      <c r="B303" s="8" t="str">
        <f>IFERROR(__xludf.DUMMYFUNCTION("""COMPUTED_VALUE"""),"Brian")</f>
        <v>Brian</v>
      </c>
      <c r="C303" s="8" t="str">
        <f>IFERROR(__xludf.DUMMYFUNCTION("""COMPUTED_VALUE"""),"Quakertown")</f>
        <v>Quakertown</v>
      </c>
      <c r="D303" s="8" t="str">
        <f>IFERROR(__xludf.DUMMYFUNCTION("""COMPUTED_VALUE"""),"PA")</f>
        <v>PA</v>
      </c>
      <c r="E303" s="8" t="str">
        <f>IFERROR(__xludf.DUMMYFUNCTION("""COMPUTED_VALUE"""),"USA")</f>
        <v>USA</v>
      </c>
      <c r="F303" s="8" t="str">
        <f>IFERROR(__xludf.DUMMYFUNCTION("""COMPUTED_VALUE"""),"Mens Doubles")</f>
        <v>Mens Doubles</v>
      </c>
      <c r="G303" s="8" t="str">
        <f>IFERROR(__xludf.DUMMYFUNCTION("""COMPUTED_VALUE"""),"3rd")</f>
        <v>3rd</v>
      </c>
      <c r="H303" s="8" t="str">
        <f>IFERROR(__xludf.DUMMYFUNCTION("""COMPUTED_VALUE"""),"PA Regional 32")</f>
        <v>PA Regional 32</v>
      </c>
      <c r="I303" s="10">
        <f>IFERROR(__xludf.DUMMYFUNCTION("""COMPUTED_VALUE"""),42887.0)</f>
        <v>42887</v>
      </c>
      <c r="J303" s="10">
        <f>IFERROR(__xludf.DUMMYFUNCTION("""COMPUTED_VALUE"""),43983.0)</f>
        <v>43983</v>
      </c>
      <c r="K303" s="11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9" t="str">
        <f>IFERROR(__xludf.DUMMYFUNCTION("""COMPUTED_VALUE"""),"Hager")</f>
        <v>Hager</v>
      </c>
      <c r="B304" s="8" t="str">
        <f>IFERROR(__xludf.DUMMYFUNCTION("""COMPUTED_VALUE"""),"Verrick")</f>
        <v>Verrick</v>
      </c>
      <c r="C304" s="8" t="str">
        <f>IFERROR(__xludf.DUMMYFUNCTION("""COMPUTED_VALUE"""),"Syracuse")</f>
        <v>Syracuse</v>
      </c>
      <c r="D304" s="8" t="str">
        <f>IFERROR(__xludf.DUMMYFUNCTION("""COMPUTED_VALUE"""),"NY")</f>
        <v>NY</v>
      </c>
      <c r="E304" s="8" t="str">
        <f>IFERROR(__xludf.DUMMYFUNCTION("""COMPUTED_VALUE"""),"USA")</f>
        <v>USA</v>
      </c>
      <c r="F304" s="8" t="str">
        <f>IFERROR(__xludf.DUMMYFUNCTION("""COMPUTED_VALUE"""),"Men Doubles 501")</f>
        <v>Men Doubles 501</v>
      </c>
      <c r="G304" s="8" t="str">
        <f>IFERROR(__xludf.DUMMYFUNCTION("""COMPUTED_VALUE"""),"1st")</f>
        <v>1st</v>
      </c>
      <c r="H304" s="8" t="str">
        <f>IFERROR(__xludf.DUMMYFUNCTION("""COMPUTED_VALUE"""),"New York BS 34")</f>
        <v>New York BS 34</v>
      </c>
      <c r="I304" s="10">
        <f>IFERROR(__xludf.DUMMYFUNCTION("""COMPUTED_VALUE"""),43617.0)</f>
        <v>43617</v>
      </c>
      <c r="J304" s="10">
        <f>IFERROR(__xludf.DUMMYFUNCTION("""COMPUTED_VALUE"""),44713.0)</f>
        <v>44713</v>
      </c>
      <c r="K304" s="1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9" t="str">
        <f>IFERROR(__xludf.DUMMYFUNCTION("""COMPUTED_VALUE"""),"Hall")</f>
        <v>Hall</v>
      </c>
      <c r="B305" s="8" t="str">
        <f>IFERROR(__xludf.DUMMYFUNCTION("""COMPUTED_VALUE"""),"Bryan")</f>
        <v>Bryan</v>
      </c>
      <c r="C305" s="8" t="str">
        <f>IFERROR(__xludf.DUMMYFUNCTION("""COMPUTED_VALUE"""),"Bedford")</f>
        <v>Bedford</v>
      </c>
      <c r="D305" s="8" t="str">
        <f>IFERROR(__xludf.DUMMYFUNCTION("""COMPUTED_VALUE"""),"PA")</f>
        <v>PA</v>
      </c>
      <c r="E305" s="8" t="str">
        <f>IFERROR(__xludf.DUMMYFUNCTION("""COMPUTED_VALUE"""),"USA")</f>
        <v>USA</v>
      </c>
      <c r="F305" s="8" t="str">
        <f>IFERROR(__xludf.DUMMYFUNCTION("""COMPUTED_VALUE"""),"Pro Singles Cricket")</f>
        <v>Pro Singles Cricket</v>
      </c>
      <c r="G305" s="8" t="str">
        <f>IFERROR(__xludf.DUMMYFUNCTION("""COMPUTED_VALUE"""),"2nd")</f>
        <v>2nd</v>
      </c>
      <c r="H305" s="8" t="str">
        <f>IFERROR(__xludf.DUMMYFUNCTION("""COMPUTED_VALUE"""),"South Carolina BS 34")</f>
        <v>South Carolina BS 34</v>
      </c>
      <c r="I305" s="10">
        <f>IFERROR(__xludf.DUMMYFUNCTION("""COMPUTED_VALUE"""),43617.0)</f>
        <v>43617</v>
      </c>
      <c r="J305" s="10">
        <f>IFERROR(__xludf.DUMMYFUNCTION("""COMPUTED_VALUE"""),44713.0)</f>
        <v>44713</v>
      </c>
      <c r="K305" s="1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9" t="str">
        <f>IFERROR(__xludf.DUMMYFUNCTION("""COMPUTED_VALUE"""),"Halley")</f>
        <v>Halley</v>
      </c>
      <c r="B306" s="8" t="str">
        <f>IFERROR(__xludf.DUMMYFUNCTION("""COMPUTED_VALUE"""),"Brad")</f>
        <v>Brad</v>
      </c>
      <c r="C306" s="8" t="str">
        <f>IFERROR(__xludf.DUMMYFUNCTION("""COMPUTED_VALUE"""),"Phoenix")</f>
        <v>Phoenix</v>
      </c>
      <c r="D306" s="8" t="str">
        <f>IFERROR(__xludf.DUMMYFUNCTION("""COMPUTED_VALUE"""),"AZ")</f>
        <v>AZ</v>
      </c>
      <c r="E306" s="8" t="str">
        <f>IFERROR(__xludf.DUMMYFUNCTION("""COMPUTED_VALUE"""),"USA")</f>
        <v>USA</v>
      </c>
      <c r="F306" s="8" t="str">
        <f>IFERROR(__xludf.DUMMYFUNCTION("""COMPUTED_VALUE"""),"Known Pro")</f>
        <v>Known Pro</v>
      </c>
      <c r="G306" s="8" t="str">
        <f>IFERROR(__xludf.DUMMYFUNCTION("""COMPUTED_VALUE"""),"")</f>
        <v/>
      </c>
      <c r="H306" s="8" t="str">
        <f>IFERROR(__xludf.DUMMYFUNCTION("""COMPUTED_VALUE"""),"Known Ability")</f>
        <v>Known Ability</v>
      </c>
      <c r="I306" s="10">
        <f>IFERROR(__xludf.DUMMYFUNCTION("""COMPUTED_VALUE"""),36892.0)</f>
        <v>36892</v>
      </c>
      <c r="J306" s="10">
        <f>IFERROR(__xludf.DUMMYFUNCTION("""COMPUTED_VALUE"""),45809.0)</f>
        <v>45809</v>
      </c>
      <c r="K306" s="11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9" t="str">
        <f>IFERROR(__xludf.DUMMYFUNCTION("""COMPUTED_VALUE"""),"Halphin")</f>
        <v>Halphin</v>
      </c>
      <c r="B307" s="8" t="str">
        <f>IFERROR(__xludf.DUMMYFUNCTION("""COMPUTED_VALUE"""),"Garrett")</f>
        <v>Garrett</v>
      </c>
      <c r="C307" s="8" t="str">
        <f>IFERROR(__xludf.DUMMYFUNCTION("""COMPUTED_VALUE"""),"Kenah")</f>
        <v>Kenah</v>
      </c>
      <c r="D307" s="8" t="str">
        <f>IFERROR(__xludf.DUMMYFUNCTION("""COMPUTED_VALUE"""),"TX")</f>
        <v>TX</v>
      </c>
      <c r="E307" s="8" t="str">
        <f>IFERROR(__xludf.DUMMYFUNCTION("""COMPUTED_VALUE"""),"USA")</f>
        <v>USA</v>
      </c>
      <c r="F307" s="8" t="str">
        <f>IFERROR(__xludf.DUMMYFUNCTION("""COMPUTED_VALUE"""),"Pro Doubles")</f>
        <v>Pro Doubles</v>
      </c>
      <c r="G307" s="8" t="str">
        <f>IFERROR(__xludf.DUMMYFUNCTION("""COMPUTED_VALUE"""),"3rd")</f>
        <v>3rd</v>
      </c>
      <c r="H307" s="8" t="str">
        <f>IFERROR(__xludf.DUMMYFUNCTION("""COMPUTED_VALUE"""),"TX Regional 32")</f>
        <v>TX Regional 32</v>
      </c>
      <c r="I307" s="10">
        <f>IFERROR(__xludf.DUMMYFUNCTION("""COMPUTED_VALUE"""),42887.0)</f>
        <v>42887</v>
      </c>
      <c r="J307" s="10">
        <f>IFERROR(__xludf.DUMMYFUNCTION("""COMPUTED_VALUE"""),43983.0)</f>
        <v>43983</v>
      </c>
      <c r="K307" s="11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9" t="str">
        <f>IFERROR(__xludf.DUMMYFUNCTION("""COMPUTED_VALUE"""),"Hamilton")</f>
        <v>Hamilton</v>
      </c>
      <c r="B308" s="8" t="str">
        <f>IFERROR(__xludf.DUMMYFUNCTION("""COMPUTED_VALUE"""),"Andy")</f>
        <v>Andy</v>
      </c>
      <c r="C308" s="8" t="str">
        <f>IFERROR(__xludf.DUMMYFUNCTION("""COMPUTED_VALUE"""),"")</f>
        <v/>
      </c>
      <c r="D308" s="8" t="str">
        <f>IFERROR(__xludf.DUMMYFUNCTION("""COMPUTED_VALUE"""),"UNK")</f>
        <v>UNK</v>
      </c>
      <c r="E308" s="8" t="str">
        <f>IFERROR(__xludf.DUMMYFUNCTION("""COMPUTED_VALUE"""),"England")</f>
        <v>England</v>
      </c>
      <c r="F308" s="8" t="str">
        <f>IFERROR(__xludf.DUMMYFUNCTION("""COMPUTED_VALUE"""),"PDC Merit Ranking")</f>
        <v>PDC Merit Ranking</v>
      </c>
      <c r="G308" s="8" t="str">
        <f>IFERROR(__xludf.DUMMYFUNCTION("""COMPUTED_VALUE"""),"26th")</f>
        <v>26th</v>
      </c>
      <c r="H308" s="8" t="str">
        <f>IFERROR(__xludf.DUMMYFUNCTION("""COMPUTED_VALUE"""),"PDC Merit Ranking")</f>
        <v>PDC Merit Ranking</v>
      </c>
      <c r="I308" s="10">
        <f>IFERROR(__xludf.DUMMYFUNCTION("""COMPUTED_VALUE"""),42401.0)</f>
        <v>42401</v>
      </c>
      <c r="J308" s="10">
        <f>IFERROR(__xludf.DUMMYFUNCTION("""COMPUTED_VALUE"""),44713.0)</f>
        <v>44713</v>
      </c>
      <c r="K308" s="1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9" t="str">
        <f>IFERROR(__xludf.DUMMYFUNCTION("""COMPUTED_VALUE"""),"Hancock")</f>
        <v>Hancock</v>
      </c>
      <c r="B309" s="8" t="str">
        <f>IFERROR(__xludf.DUMMYFUNCTION("""COMPUTED_VALUE"""),"James")</f>
        <v>James</v>
      </c>
      <c r="C309" s="8" t="str">
        <f>IFERROR(__xludf.DUMMYFUNCTION("""COMPUTED_VALUE"""),"Junction City")</f>
        <v>Junction City</v>
      </c>
      <c r="D309" s="8" t="str">
        <f>IFERROR(__xludf.DUMMYFUNCTION("""COMPUTED_VALUE"""),"KS")</f>
        <v>KS</v>
      </c>
      <c r="E309" s="8" t="str">
        <f>IFERROR(__xludf.DUMMYFUNCTION("""COMPUTED_VALUE"""),"USA")</f>
        <v>USA</v>
      </c>
      <c r="F309" s="8" t="str">
        <f>IFERROR(__xludf.DUMMYFUNCTION("""COMPUTED_VALUE"""),"Mixed Triples")</f>
        <v>Mixed Triples</v>
      </c>
      <c r="G309" s="8" t="str">
        <f>IFERROR(__xludf.DUMMYFUNCTION("""COMPUTED_VALUE"""),"1st")</f>
        <v>1st</v>
      </c>
      <c r="H309" s="8" t="str">
        <f>IFERROR(__xludf.DUMMYFUNCTION("""COMPUTED_VALUE"""),"NE Regional 32")</f>
        <v>NE Regional 32</v>
      </c>
      <c r="I309" s="10">
        <f>IFERROR(__xludf.DUMMYFUNCTION("""COMPUTED_VALUE"""),42887.0)</f>
        <v>42887</v>
      </c>
      <c r="J309" s="10">
        <f>IFERROR(__xludf.DUMMYFUNCTION("""COMPUTED_VALUE"""),43983.0)</f>
        <v>43983</v>
      </c>
      <c r="K309" s="1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9" t="str">
        <f>IFERROR(__xludf.DUMMYFUNCTION("""COMPUTED_VALUE"""),"Hanisch")</f>
        <v>Hanisch</v>
      </c>
      <c r="B310" s="8" t="str">
        <f>IFERROR(__xludf.DUMMYFUNCTION("""COMPUTED_VALUE"""),"Gregory")</f>
        <v>Gregory</v>
      </c>
      <c r="C310" s="8" t="str">
        <f>IFERROR(__xludf.DUMMYFUNCTION("""COMPUTED_VALUE"""),"Harrisburg")</f>
        <v>Harrisburg</v>
      </c>
      <c r="D310" s="8" t="str">
        <f>IFERROR(__xludf.DUMMYFUNCTION("""COMPUTED_VALUE"""),"SD")</f>
        <v>SD</v>
      </c>
      <c r="E310" s="8" t="str">
        <f>IFERROR(__xludf.DUMMYFUNCTION("""COMPUTED_VALUE"""),"USA")</f>
        <v>USA</v>
      </c>
      <c r="F310" s="8" t="str">
        <f>IFERROR(__xludf.DUMMYFUNCTION("""COMPUTED_VALUE"""),"Men Doubles 501")</f>
        <v>Men Doubles 501</v>
      </c>
      <c r="G310" s="8" t="str">
        <f>IFERROR(__xludf.DUMMYFUNCTION("""COMPUTED_VALUE"""),"1st")</f>
        <v>1st</v>
      </c>
      <c r="H310" s="8" t="str">
        <f>IFERROR(__xludf.DUMMYFUNCTION("""COMPUTED_VALUE"""),"Nebraska BS 34")</f>
        <v>Nebraska BS 34</v>
      </c>
      <c r="I310" s="10">
        <f>IFERROR(__xludf.DUMMYFUNCTION("""COMPUTED_VALUE"""),43617.0)</f>
        <v>43617</v>
      </c>
      <c r="J310" s="10">
        <f>IFERROR(__xludf.DUMMYFUNCTION("""COMPUTED_VALUE"""),44713.0)</f>
        <v>44713</v>
      </c>
      <c r="K310" s="11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9" t="str">
        <f>IFERROR(__xludf.DUMMYFUNCTION("""COMPUTED_VALUE"""),"Haraway")</f>
        <v>Haraway</v>
      </c>
      <c r="B311" s="8" t="str">
        <f>IFERROR(__xludf.DUMMYFUNCTION("""COMPUTED_VALUE"""),"Michael")</f>
        <v>Michael</v>
      </c>
      <c r="C311" s="8" t="str">
        <f>IFERROR(__xludf.DUMMYFUNCTION("""COMPUTED_VALUE"""),"Terre Haute")</f>
        <v>Terre Haute</v>
      </c>
      <c r="D311" s="8" t="str">
        <f>IFERROR(__xludf.DUMMYFUNCTION("""COMPUTED_VALUE"""),"IN")</f>
        <v>IN</v>
      </c>
      <c r="E311" s="8" t="str">
        <f>IFERROR(__xludf.DUMMYFUNCTION("""COMPUTED_VALUE"""),"USA")</f>
        <v>USA</v>
      </c>
      <c r="F311" s="8" t="str">
        <f>IFERROR(__xludf.DUMMYFUNCTION("""COMPUTED_VALUE"""),"")</f>
        <v/>
      </c>
      <c r="G311" s="8" t="str">
        <f>IFERROR(__xludf.DUMMYFUNCTION("""COMPUTED_VALUE"""),"")</f>
        <v/>
      </c>
      <c r="H311" s="8" t="str">
        <f>IFERROR(__xludf.DUMMYFUNCTION("""COMPUTED_VALUE"""),"BS 30 Finals")</f>
        <v>BS 30 Finals</v>
      </c>
      <c r="I311" s="10">
        <f>IFERROR(__xludf.DUMMYFUNCTION("""COMPUTED_VALUE"""),43252.0)</f>
        <v>43252</v>
      </c>
      <c r="J311" s="10">
        <f>IFERROR(__xludf.DUMMYFUNCTION("""COMPUTED_VALUE"""),44348.0)</f>
        <v>44348</v>
      </c>
      <c r="K311" s="11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9" t="str">
        <f>IFERROR(__xludf.DUMMYFUNCTION("""COMPUTED_VALUE"""),"Harms")</f>
        <v>Harms</v>
      </c>
      <c r="B312" s="8" t="str">
        <f>IFERROR(__xludf.DUMMYFUNCTION("""COMPUTED_VALUE"""),"Wesley")</f>
        <v>Wesley</v>
      </c>
      <c r="C312" s="8" t="str">
        <f>IFERROR(__xludf.DUMMYFUNCTION("""COMPUTED_VALUE"""),"")</f>
        <v/>
      </c>
      <c r="D312" s="8" t="str">
        <f>IFERROR(__xludf.DUMMYFUNCTION("""COMPUTED_VALUE"""),"UNK")</f>
        <v>UNK</v>
      </c>
      <c r="E312" s="8" t="str">
        <f>IFERROR(__xludf.DUMMYFUNCTION("""COMPUTED_VALUE"""),"Netherlands")</f>
        <v>Netherlands</v>
      </c>
      <c r="F312" s="8" t="str">
        <f>IFERROR(__xludf.DUMMYFUNCTION("""COMPUTED_VALUE"""),"PDC Merit Ranking")</f>
        <v>PDC Merit Ranking</v>
      </c>
      <c r="G312" s="8" t="str">
        <f>IFERROR(__xludf.DUMMYFUNCTION("""COMPUTED_VALUE"""),"66th")</f>
        <v>66th</v>
      </c>
      <c r="H312" s="8" t="str">
        <f>IFERROR(__xludf.DUMMYFUNCTION("""COMPUTED_VALUE"""),"PDC Merit Ranking")</f>
        <v>PDC Merit Ranking</v>
      </c>
      <c r="I312" s="10">
        <f>IFERROR(__xludf.DUMMYFUNCTION("""COMPUTED_VALUE"""),42401.0)</f>
        <v>42401</v>
      </c>
      <c r="J312" s="10">
        <f>IFERROR(__xludf.DUMMYFUNCTION("""COMPUTED_VALUE"""),44713.0)</f>
        <v>44713</v>
      </c>
      <c r="K312" s="11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9" t="str">
        <f>IFERROR(__xludf.DUMMYFUNCTION("""COMPUTED_VALUE"""),"Harris")</f>
        <v>Harris</v>
      </c>
      <c r="B313" s="8" t="str">
        <f>IFERROR(__xludf.DUMMYFUNCTION("""COMPUTED_VALUE"""),"Tyler")</f>
        <v>Tyler</v>
      </c>
      <c r="C313" s="8" t="str">
        <f>IFERROR(__xludf.DUMMYFUNCTION("""COMPUTED_VALUE"""),"Newton Falls")</f>
        <v>Newton Falls</v>
      </c>
      <c r="D313" s="8" t="str">
        <f>IFERROR(__xludf.DUMMYFUNCTION("""COMPUTED_VALUE"""),"OH")</f>
        <v>OH</v>
      </c>
      <c r="E313" s="8" t="str">
        <f>IFERROR(__xludf.DUMMYFUNCTION("""COMPUTED_VALUE"""),"USA")</f>
        <v>USA</v>
      </c>
      <c r="F313" s="8" t="str">
        <f>IFERROR(__xludf.DUMMYFUNCTION("""COMPUTED_VALUE"""),"Mixed Triples")</f>
        <v>Mixed Triples</v>
      </c>
      <c r="G313" s="8" t="str">
        <f>IFERROR(__xludf.DUMMYFUNCTION("""COMPUTED_VALUE"""),"1st")</f>
        <v>1st</v>
      </c>
      <c r="H313" s="8" t="str">
        <f>IFERROR(__xludf.DUMMYFUNCTION("""COMPUTED_VALUE"""),"OH Regional 32")</f>
        <v>OH Regional 32</v>
      </c>
      <c r="I313" s="10">
        <f>IFERROR(__xludf.DUMMYFUNCTION("""COMPUTED_VALUE"""),42887.0)</f>
        <v>42887</v>
      </c>
      <c r="J313" s="10">
        <f>IFERROR(__xludf.DUMMYFUNCTION("""COMPUTED_VALUE"""),43983.0)</f>
        <v>43983</v>
      </c>
      <c r="K313" s="1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9" t="str">
        <f>IFERROR(__xludf.DUMMYFUNCTION("""COMPUTED_VALUE"""),"Harvey")</f>
        <v>Harvey</v>
      </c>
      <c r="B314" s="8" t="str">
        <f>IFERROR(__xludf.DUMMYFUNCTION("""COMPUTED_VALUE"""),"Wayne")</f>
        <v>Wayne</v>
      </c>
      <c r="C314" s="8" t="str">
        <f>IFERROR(__xludf.DUMMYFUNCTION("""COMPUTED_VALUE"""),"Horn Lake")</f>
        <v>Horn Lake</v>
      </c>
      <c r="D314" s="8" t="str">
        <f>IFERROR(__xludf.DUMMYFUNCTION("""COMPUTED_VALUE"""),"MS")</f>
        <v>MS</v>
      </c>
      <c r="E314" s="8" t="str">
        <f>IFERROR(__xludf.DUMMYFUNCTION("""COMPUTED_VALUE"""),"USA")</f>
        <v>USA</v>
      </c>
      <c r="F314" s="8" t="str">
        <f>IFERROR(__xludf.DUMMYFUNCTION("""COMPUTED_VALUE"""),"Pro Doubles")</f>
        <v>Pro Doubles</v>
      </c>
      <c r="G314" s="8" t="str">
        <f>IFERROR(__xludf.DUMMYFUNCTION("""COMPUTED_VALUE"""),"3rd")</f>
        <v>3rd</v>
      </c>
      <c r="H314" s="8" t="str">
        <f>IFERROR(__xludf.DUMMYFUNCTION("""COMPUTED_VALUE"""),"TN Regional 33")</f>
        <v>TN Regional 33</v>
      </c>
      <c r="I314" s="10">
        <f>IFERROR(__xludf.DUMMYFUNCTION("""COMPUTED_VALUE"""),42522.0)</f>
        <v>42522</v>
      </c>
      <c r="J314" s="10">
        <f>IFERROR(__xludf.DUMMYFUNCTION("""COMPUTED_VALUE"""),44348.0)</f>
        <v>44348</v>
      </c>
      <c r="K314" s="1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9" t="str">
        <f>IFERROR(__xludf.DUMMYFUNCTION("""COMPUTED_VALUE"""),"Hasty, Jr.")</f>
        <v>Hasty, Jr.</v>
      </c>
      <c r="B315" s="8" t="str">
        <f>IFERROR(__xludf.DUMMYFUNCTION("""COMPUTED_VALUE"""),"Charles")</f>
        <v>Charles</v>
      </c>
      <c r="C315" s="8" t="str">
        <f>IFERROR(__xludf.DUMMYFUNCTION("""COMPUTED_VALUE"""),"Lake Station")</f>
        <v>Lake Station</v>
      </c>
      <c r="D315" s="8" t="str">
        <f>IFERROR(__xludf.DUMMYFUNCTION("""COMPUTED_VALUE"""),"IN")</f>
        <v>IN</v>
      </c>
      <c r="E315" s="8" t="str">
        <f>IFERROR(__xludf.DUMMYFUNCTION("""COMPUTED_VALUE"""),"USA")</f>
        <v>USA</v>
      </c>
      <c r="F315" s="8" t="str">
        <f>IFERROR(__xludf.DUMMYFUNCTION("""COMPUTED_VALUE"""),"Mens Doubles")</f>
        <v>Mens Doubles</v>
      </c>
      <c r="G315" s="8" t="str">
        <f>IFERROR(__xludf.DUMMYFUNCTION("""COMPUTED_VALUE"""),"2nd")</f>
        <v>2nd</v>
      </c>
      <c r="H315" s="8" t="str">
        <f>IFERROR(__xludf.DUMMYFUNCTION("""COMPUTED_VALUE"""),"IN Regional 32")</f>
        <v>IN Regional 32</v>
      </c>
      <c r="I315" s="10">
        <f>IFERROR(__xludf.DUMMYFUNCTION("""COMPUTED_VALUE"""),42887.0)</f>
        <v>42887</v>
      </c>
      <c r="J315" s="10">
        <f>IFERROR(__xludf.DUMMYFUNCTION("""COMPUTED_VALUE"""),43983.0)</f>
        <v>43983</v>
      </c>
      <c r="K315" s="11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9" t="str">
        <f>IFERROR(__xludf.DUMMYFUNCTION("""COMPUTED_VALUE"""),"Hathaway")</f>
        <v>Hathaway</v>
      </c>
      <c r="B316" s="8" t="str">
        <f>IFERROR(__xludf.DUMMYFUNCTION("""COMPUTED_VALUE"""),"John")</f>
        <v>John</v>
      </c>
      <c r="C316" s="8" t="str">
        <f>IFERROR(__xludf.DUMMYFUNCTION("""COMPUTED_VALUE"""),"")</f>
        <v/>
      </c>
      <c r="D316" s="8" t="str">
        <f>IFERROR(__xludf.DUMMYFUNCTION("""COMPUTED_VALUE"""),"UNK")</f>
        <v>UNK</v>
      </c>
      <c r="E316" s="8" t="str">
        <f>IFERROR(__xludf.DUMMYFUNCTION("""COMPUTED_VALUE"""),"UNK")</f>
        <v>UNK</v>
      </c>
      <c r="F316" s="8" t="str">
        <f>IFERROR(__xludf.DUMMYFUNCTION("""COMPUTED_VALUE"""),"ADO 2016")</f>
        <v>ADO 2016</v>
      </c>
      <c r="G316" s="8" t="str">
        <f>IFERROR(__xludf.DUMMYFUNCTION("""COMPUTED_VALUE"""),"47th")</f>
        <v>47th</v>
      </c>
      <c r="H316" s="8" t="str">
        <f>IFERROR(__xludf.DUMMYFUNCTION("""COMPUTED_VALUE"""),"ADO 2016")</f>
        <v>ADO 2016</v>
      </c>
      <c r="I316" s="10">
        <f>IFERROR(__xludf.DUMMYFUNCTION("""COMPUTED_VALUE"""),42401.0)</f>
        <v>42401</v>
      </c>
      <c r="J316" s="10">
        <f>IFERROR(__xludf.DUMMYFUNCTION("""COMPUTED_VALUE"""),44713.0)</f>
        <v>44713</v>
      </c>
      <c r="K316" s="11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9" t="str">
        <f>IFERROR(__xludf.DUMMYFUNCTION("""COMPUTED_VALUE"""),"Hawkins")</f>
        <v>Hawkins</v>
      </c>
      <c r="B317" s="8" t="str">
        <f>IFERROR(__xludf.DUMMYFUNCTION("""COMPUTED_VALUE"""),"Daniel")</f>
        <v>Daniel</v>
      </c>
      <c r="C317" s="8" t="str">
        <f>IFERROR(__xludf.DUMMYFUNCTION("""COMPUTED_VALUE"""),"Universal City")</f>
        <v>Universal City</v>
      </c>
      <c r="D317" s="8" t="str">
        <f>IFERROR(__xludf.DUMMYFUNCTION("""COMPUTED_VALUE"""),"TX")</f>
        <v>TX</v>
      </c>
      <c r="E317" s="8" t="str">
        <f>IFERROR(__xludf.DUMMYFUNCTION("""COMPUTED_VALUE"""),"USA")</f>
        <v>USA</v>
      </c>
      <c r="F317" s="8" t="str">
        <f>IFERROR(__xludf.DUMMYFUNCTION("""COMPUTED_VALUE"""),"Men Doubles 501")</f>
        <v>Men Doubles 501</v>
      </c>
      <c r="G317" s="8" t="str">
        <f>IFERROR(__xludf.DUMMYFUNCTION("""COMPUTED_VALUE"""),"1st")</f>
        <v>1st</v>
      </c>
      <c r="H317" s="8" t="str">
        <f>IFERROR(__xludf.DUMMYFUNCTION("""COMPUTED_VALUE"""),"Texas BS 34")</f>
        <v>Texas BS 34</v>
      </c>
      <c r="I317" s="10">
        <f>IFERROR(__xludf.DUMMYFUNCTION("""COMPUTED_VALUE"""),43617.0)</f>
        <v>43617</v>
      </c>
      <c r="J317" s="10">
        <f>IFERROR(__xludf.DUMMYFUNCTION("""COMPUTED_VALUE"""),44713.0)</f>
        <v>44713</v>
      </c>
      <c r="K317" s="1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9" t="str">
        <f>IFERROR(__xludf.DUMMYFUNCTION("""COMPUTED_VALUE"""),"Haynes")</f>
        <v>Haynes</v>
      </c>
      <c r="B318" s="8" t="str">
        <f>IFERROR(__xludf.DUMMYFUNCTION("""COMPUTED_VALUE"""),"Matthew")</f>
        <v>Matthew</v>
      </c>
      <c r="C318" s="8" t="str">
        <f>IFERROR(__xludf.DUMMYFUNCTION("""COMPUTED_VALUE"""),"Lafayette")</f>
        <v>Lafayette</v>
      </c>
      <c r="D318" s="8" t="str">
        <f>IFERROR(__xludf.DUMMYFUNCTION("""COMPUTED_VALUE"""),"IN")</f>
        <v>IN</v>
      </c>
      <c r="E318" s="8" t="str">
        <f>IFERROR(__xludf.DUMMYFUNCTION("""COMPUTED_VALUE"""),"USA")</f>
        <v>USA</v>
      </c>
      <c r="F318" s="8" t="str">
        <f>IFERROR(__xludf.DUMMYFUNCTION("""COMPUTED_VALUE"""),"Mixed Triples")</f>
        <v>Mixed Triples</v>
      </c>
      <c r="G318" s="8" t="str">
        <f>IFERROR(__xludf.DUMMYFUNCTION("""COMPUTED_VALUE"""),"1st")</f>
        <v>1st</v>
      </c>
      <c r="H318" s="8" t="str">
        <f>IFERROR(__xludf.DUMMYFUNCTION("""COMPUTED_VALUE"""),"IN Regional 32")</f>
        <v>IN Regional 32</v>
      </c>
      <c r="I318" s="10">
        <f>IFERROR(__xludf.DUMMYFUNCTION("""COMPUTED_VALUE"""),42887.0)</f>
        <v>42887</v>
      </c>
      <c r="J318" s="10">
        <f>IFERROR(__xludf.DUMMYFUNCTION("""COMPUTED_VALUE"""),43983.0)</f>
        <v>43983</v>
      </c>
      <c r="K318" s="1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9" t="str">
        <f>IFERROR(__xludf.DUMMYFUNCTION("""COMPUTED_VALUE"""),"Heburn")</f>
        <v>Heburn</v>
      </c>
      <c r="B319" s="8" t="str">
        <f>IFERROR(__xludf.DUMMYFUNCTION("""COMPUTED_VALUE"""),"Tom")</f>
        <v>Tom</v>
      </c>
      <c r="C319" s="8" t="str">
        <f>IFERROR(__xludf.DUMMYFUNCTION("""COMPUTED_VALUE"""),"Longs")</f>
        <v>Longs</v>
      </c>
      <c r="D319" s="8" t="str">
        <f>IFERROR(__xludf.DUMMYFUNCTION("""COMPUTED_VALUE"""),"SC")</f>
        <v>SC</v>
      </c>
      <c r="E319" s="8" t="str">
        <f>IFERROR(__xludf.DUMMYFUNCTION("""COMPUTED_VALUE"""),"USA")</f>
        <v>USA</v>
      </c>
      <c r="F319" s="8" t="str">
        <f>IFERROR(__xludf.DUMMYFUNCTION("""COMPUTED_VALUE"""),"Mens Cricket Doubles")</f>
        <v>Mens Cricket Doubles</v>
      </c>
      <c r="G319" s="8" t="str">
        <f>IFERROR(__xludf.DUMMYFUNCTION("""COMPUTED_VALUE"""),"1st")</f>
        <v>1st</v>
      </c>
      <c r="H319" s="8" t="str">
        <f>IFERROR(__xludf.DUMMYFUNCTION("""COMPUTED_VALUE"""),"SC Regional 33")</f>
        <v>SC Regional 33</v>
      </c>
      <c r="I319" s="10">
        <f>IFERROR(__xludf.DUMMYFUNCTION("""COMPUTED_VALUE"""),43252.0)</f>
        <v>43252</v>
      </c>
      <c r="J319" s="10">
        <f>IFERROR(__xludf.DUMMYFUNCTION("""COMPUTED_VALUE"""),44348.0)</f>
        <v>44348</v>
      </c>
      <c r="K319" s="11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9" t="str">
        <f>IFERROR(__xludf.DUMMYFUNCTION("""COMPUTED_VALUE"""),"Heckman")</f>
        <v>Heckman</v>
      </c>
      <c r="B320" s="8" t="str">
        <f>IFERROR(__xludf.DUMMYFUNCTION("""COMPUTED_VALUE"""),"Robert")</f>
        <v>Robert</v>
      </c>
      <c r="C320" s="8" t="str">
        <f>IFERROR(__xludf.DUMMYFUNCTION("""COMPUTED_VALUE"""),"Vacaville")</f>
        <v>Vacaville</v>
      </c>
      <c r="D320" s="8" t="str">
        <f>IFERROR(__xludf.DUMMYFUNCTION("""COMPUTED_VALUE"""),"CA")</f>
        <v>CA</v>
      </c>
      <c r="E320" s="8" t="str">
        <f>IFERROR(__xludf.DUMMYFUNCTION("""COMPUTED_VALUE"""),"USA")</f>
        <v>USA</v>
      </c>
      <c r="F320" s="8" t="str">
        <f>IFERROR(__xludf.DUMMYFUNCTION("""COMPUTED_VALUE"""),"Pro AA Doubles Cricket")</f>
        <v>Pro AA Doubles Cricket</v>
      </c>
      <c r="G320" s="8" t="str">
        <f>IFERROR(__xludf.DUMMYFUNCTION("""COMPUTED_VALUE"""),"1st")</f>
        <v>1st</v>
      </c>
      <c r="H320" s="8" t="str">
        <f>IFERROR(__xludf.DUMMYFUNCTION("""COMPUTED_VALUE"""),"Known Ability")</f>
        <v>Known Ability</v>
      </c>
      <c r="I320" s="10">
        <f>IFERROR(__xludf.DUMMYFUNCTION("""COMPUTED_VALUE"""),40695.0)</f>
        <v>40695</v>
      </c>
      <c r="J320" s="10">
        <f>IFERROR(__xludf.DUMMYFUNCTION("""COMPUTED_VALUE"""),45809.0)</f>
        <v>45809</v>
      </c>
      <c r="K320" s="11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9" t="str">
        <f>IFERROR(__xludf.DUMMYFUNCTION("""COMPUTED_VALUE"""),"Hedrick")</f>
        <v>Hedrick</v>
      </c>
      <c r="B321" s="8" t="str">
        <f>IFERROR(__xludf.DUMMYFUNCTION("""COMPUTED_VALUE"""),"Joe")</f>
        <v>Joe</v>
      </c>
      <c r="C321" s="8" t="str">
        <f>IFERROR(__xludf.DUMMYFUNCTION("""COMPUTED_VALUE"""),"Loudonville")</f>
        <v>Loudonville</v>
      </c>
      <c r="D321" s="8" t="str">
        <f>IFERROR(__xludf.DUMMYFUNCTION("""COMPUTED_VALUE"""),"OH")</f>
        <v>OH</v>
      </c>
      <c r="E321" s="8" t="str">
        <f>IFERROR(__xludf.DUMMYFUNCTION("""COMPUTED_VALUE"""),"USA")</f>
        <v>USA</v>
      </c>
      <c r="F321" s="8" t="str">
        <f>IFERROR(__xludf.DUMMYFUNCTION("""COMPUTED_VALUE"""),"Pro Doubles 501")</f>
        <v>Pro Doubles 501</v>
      </c>
      <c r="G321" s="8" t="str">
        <f>IFERROR(__xludf.DUMMYFUNCTION("""COMPUTED_VALUE"""),"1st")</f>
        <v>1st</v>
      </c>
      <c r="H321" s="8" t="str">
        <f>IFERROR(__xludf.DUMMYFUNCTION("""COMPUTED_VALUE"""),"Ohio BS 34")</f>
        <v>Ohio BS 34</v>
      </c>
      <c r="I321" s="10">
        <f>IFERROR(__xludf.DUMMYFUNCTION("""COMPUTED_VALUE"""),43617.0)</f>
        <v>43617</v>
      </c>
      <c r="J321" s="10">
        <f>IFERROR(__xludf.DUMMYFUNCTION("""COMPUTED_VALUE"""),44713.0)</f>
        <v>44713</v>
      </c>
      <c r="K321" s="11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9" t="str">
        <f>IFERROR(__xludf.DUMMYFUNCTION("""COMPUTED_VALUE"""),"Heim")</f>
        <v>Heim</v>
      </c>
      <c r="B322" s="8" t="str">
        <f>IFERROR(__xludf.DUMMYFUNCTION("""COMPUTED_VALUE"""),"Michael")</f>
        <v>Michael</v>
      </c>
      <c r="C322" s="8" t="str">
        <f>IFERROR(__xludf.DUMMYFUNCTION("""COMPUTED_VALUE"""),"Goose Creek")</f>
        <v>Goose Creek</v>
      </c>
      <c r="D322" s="8" t="str">
        <f>IFERROR(__xludf.DUMMYFUNCTION("""COMPUTED_VALUE"""),"SC")</f>
        <v>SC</v>
      </c>
      <c r="E322" s="8" t="str">
        <f>IFERROR(__xludf.DUMMYFUNCTION("""COMPUTED_VALUE"""),"USA")</f>
        <v>USA</v>
      </c>
      <c r="F322" s="8" t="str">
        <f>IFERROR(__xludf.DUMMYFUNCTION("""COMPUTED_VALUE"""),"Men Doubles Cricket")</f>
        <v>Men Doubles Cricket</v>
      </c>
      <c r="G322" s="8" t="str">
        <f>IFERROR(__xludf.DUMMYFUNCTION("""COMPUTED_VALUE"""),"2nd")</f>
        <v>2nd</v>
      </c>
      <c r="H322" s="8" t="str">
        <f>IFERROR(__xludf.DUMMYFUNCTION("""COMPUTED_VALUE"""),"South Carolina BS 34")</f>
        <v>South Carolina BS 34</v>
      </c>
      <c r="I322" s="10">
        <f>IFERROR(__xludf.DUMMYFUNCTION("""COMPUTED_VALUE"""),43617.0)</f>
        <v>43617</v>
      </c>
      <c r="J322" s="10">
        <f>IFERROR(__xludf.DUMMYFUNCTION("""COMPUTED_VALUE"""),44713.0)</f>
        <v>44713</v>
      </c>
      <c r="K322" s="11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9" t="str">
        <f>IFERROR(__xludf.DUMMYFUNCTION("""COMPUTED_VALUE"""),"Helgeson")</f>
        <v>Helgeson</v>
      </c>
      <c r="B323" s="8" t="str">
        <f>IFERROR(__xludf.DUMMYFUNCTION("""COMPUTED_VALUE"""),"Lane")</f>
        <v>Lane</v>
      </c>
      <c r="C323" s="8" t="str">
        <f>IFERROR(__xludf.DUMMYFUNCTION("""COMPUTED_VALUE"""),"Muskego")</f>
        <v>Muskego</v>
      </c>
      <c r="D323" s="8" t="str">
        <f>IFERROR(__xludf.DUMMYFUNCTION("""COMPUTED_VALUE"""),"WI")</f>
        <v>WI</v>
      </c>
      <c r="E323" s="8" t="str">
        <f>IFERROR(__xludf.DUMMYFUNCTION("""COMPUTED_VALUE"""),"USA")</f>
        <v>USA</v>
      </c>
      <c r="F323" s="8" t="str">
        <f>IFERROR(__xludf.DUMMYFUNCTION("""COMPUTED_VALUE"""),"Top Gun Triples Pro/AA")</f>
        <v>Top Gun Triples Pro/AA</v>
      </c>
      <c r="G323" s="8" t="str">
        <f>IFERROR(__xludf.DUMMYFUNCTION("""COMPUTED_VALUE"""),"2nd")</f>
        <v>2nd</v>
      </c>
      <c r="H323" s="8" t="str">
        <f>IFERROR(__xludf.DUMMYFUNCTION("""COMPUTED_VALUE"""),"Known Ability")</f>
        <v>Known Ability</v>
      </c>
      <c r="I323" s="10">
        <f>IFERROR(__xludf.DUMMYFUNCTION("""COMPUTED_VALUE"""),36892.0)</f>
        <v>36892</v>
      </c>
      <c r="J323" s="10">
        <f>IFERROR(__xludf.DUMMYFUNCTION("""COMPUTED_VALUE"""),45809.0)</f>
        <v>45809</v>
      </c>
      <c r="K323" s="1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9" t="str">
        <f>IFERROR(__xludf.DUMMYFUNCTION("""COMPUTED_VALUE"""),"Heman")</f>
        <v>Heman</v>
      </c>
      <c r="B324" s="8" t="str">
        <f>IFERROR(__xludf.DUMMYFUNCTION("""COMPUTED_VALUE"""),"Deta")</f>
        <v>Deta</v>
      </c>
      <c r="C324" s="8" t="str">
        <f>IFERROR(__xludf.DUMMYFUNCTION("""COMPUTED_VALUE"""),"")</f>
        <v/>
      </c>
      <c r="D324" s="8" t="str">
        <f>IFERROR(__xludf.DUMMYFUNCTION("""COMPUTED_VALUE"""),"UNK")</f>
        <v>UNK</v>
      </c>
      <c r="E324" s="8" t="str">
        <f>IFERROR(__xludf.DUMMYFUNCTION("""COMPUTED_VALUE"""),"England")</f>
        <v>England</v>
      </c>
      <c r="F324" s="8" t="str">
        <f>IFERROR(__xludf.DUMMYFUNCTION("""COMPUTED_VALUE"""),"PDC Merit Ranking")</f>
        <v>PDC Merit Ranking</v>
      </c>
      <c r="G324" s="8" t="str">
        <f>IFERROR(__xludf.DUMMYFUNCTION("""COMPUTED_VALUE"""),"80th")</f>
        <v>80th</v>
      </c>
      <c r="H324" s="8" t="str">
        <f>IFERROR(__xludf.DUMMYFUNCTION("""COMPUTED_VALUE"""),"PDC Merit Ranking")</f>
        <v>PDC Merit Ranking</v>
      </c>
      <c r="I324" s="10">
        <f>IFERROR(__xludf.DUMMYFUNCTION("""COMPUTED_VALUE"""),42401.0)</f>
        <v>42401</v>
      </c>
      <c r="J324" s="10">
        <f>IFERROR(__xludf.DUMMYFUNCTION("""COMPUTED_VALUE"""),44713.0)</f>
        <v>44713</v>
      </c>
      <c r="K324" s="1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9" t="str">
        <f>IFERROR(__xludf.DUMMYFUNCTION("""COMPUTED_VALUE"""),"Hensley")</f>
        <v>Hensley</v>
      </c>
      <c r="B325" s="8" t="str">
        <f>IFERROR(__xludf.DUMMYFUNCTION("""COMPUTED_VALUE"""),"Gregory")</f>
        <v>Gregory</v>
      </c>
      <c r="C325" s="8" t="str">
        <f>IFERROR(__xludf.DUMMYFUNCTION("""COMPUTED_VALUE"""),"Tampa")</f>
        <v>Tampa</v>
      </c>
      <c r="D325" s="8" t="str">
        <f>IFERROR(__xludf.DUMMYFUNCTION("""COMPUTED_VALUE"""),"FL")</f>
        <v>FL</v>
      </c>
      <c r="E325" s="8" t="str">
        <f>IFERROR(__xludf.DUMMYFUNCTION("""COMPUTED_VALUE"""),"USA")</f>
        <v>USA</v>
      </c>
      <c r="F325" s="8" t="str">
        <f>IFERROR(__xludf.DUMMYFUNCTION("""COMPUTED_VALUE"""),"Pro/Am Cricket")</f>
        <v>Pro/Am Cricket</v>
      </c>
      <c r="G325" s="8" t="str">
        <f>IFERROR(__xludf.DUMMYFUNCTION("""COMPUTED_VALUE"""),"2nd")</f>
        <v>2nd</v>
      </c>
      <c r="H325" s="8" t="str">
        <f>IFERROR(__xludf.DUMMYFUNCTION("""COMPUTED_VALUE"""),"GA Regional 33")</f>
        <v>GA Regional 33</v>
      </c>
      <c r="I325" s="10">
        <f>IFERROR(__xludf.DUMMYFUNCTION("""COMPUTED_VALUE"""),43252.0)</f>
        <v>43252</v>
      </c>
      <c r="J325" s="10">
        <f>IFERROR(__xludf.DUMMYFUNCTION("""COMPUTED_VALUE"""),44348.0)</f>
        <v>44348</v>
      </c>
      <c r="K325" s="11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9" t="str">
        <f>IFERROR(__xludf.DUMMYFUNCTION("""COMPUTED_VALUE"""),"Hercules")</f>
        <v>Hercules</v>
      </c>
      <c r="B326" s="8" t="str">
        <f>IFERROR(__xludf.DUMMYFUNCTION("""COMPUTED_VALUE"""),"Brandon")</f>
        <v>Brandon</v>
      </c>
      <c r="C326" s="8" t="str">
        <f>IFERROR(__xludf.DUMMYFUNCTION("""COMPUTED_VALUE"""),"McMehen")</f>
        <v>McMehen</v>
      </c>
      <c r="D326" s="8" t="str">
        <f>IFERROR(__xludf.DUMMYFUNCTION("""COMPUTED_VALUE"""),"WV")</f>
        <v>WV</v>
      </c>
      <c r="E326" s="8" t="str">
        <f>IFERROR(__xludf.DUMMYFUNCTION("""COMPUTED_VALUE"""),"USA")</f>
        <v>USA</v>
      </c>
      <c r="F326" s="8" t="str">
        <f>IFERROR(__xludf.DUMMYFUNCTION("""COMPUTED_VALUE"""),"Men Doubles Cricket")</f>
        <v>Men Doubles Cricket</v>
      </c>
      <c r="G326" s="8" t="str">
        <f>IFERROR(__xludf.DUMMYFUNCTION("""COMPUTED_VALUE"""),"2nd")</f>
        <v>2nd</v>
      </c>
      <c r="H326" s="8" t="str">
        <f>IFERROR(__xludf.DUMMYFUNCTION("""COMPUTED_VALUE"""),"Pennsylvania BS 34")</f>
        <v>Pennsylvania BS 34</v>
      </c>
      <c r="I326" s="10">
        <f>IFERROR(__xludf.DUMMYFUNCTION("""COMPUTED_VALUE"""),43617.0)</f>
        <v>43617</v>
      </c>
      <c r="J326" s="10">
        <f>IFERROR(__xludf.DUMMYFUNCTION("""COMPUTED_VALUE"""),44713.0)</f>
        <v>44713</v>
      </c>
      <c r="K326" s="11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9" t="str">
        <f>IFERROR(__xludf.DUMMYFUNCTION("""COMPUTED_VALUE"""),"Hernandez")</f>
        <v>Hernandez</v>
      </c>
      <c r="B327" s="8" t="str">
        <f>IFERROR(__xludf.DUMMYFUNCTION("""COMPUTED_VALUE"""),"Frank")</f>
        <v>Frank</v>
      </c>
      <c r="C327" s="8" t="str">
        <f>IFERROR(__xludf.DUMMYFUNCTION("""COMPUTED_VALUE"""),"")</f>
        <v/>
      </c>
      <c r="D327" s="8" t="str">
        <f>IFERROR(__xludf.DUMMYFUNCTION("""COMPUTED_VALUE"""),"CA")</f>
        <v>CA</v>
      </c>
      <c r="E327" s="8" t="str">
        <f>IFERROR(__xludf.DUMMYFUNCTION("""COMPUTED_VALUE"""),"USA")</f>
        <v>USA</v>
      </c>
      <c r="F327" s="8" t="str">
        <f>IFERROR(__xludf.DUMMYFUNCTION("""COMPUTED_VALUE"""),"Mens Doubles")</f>
        <v>Mens Doubles</v>
      </c>
      <c r="G327" s="8" t="str">
        <f>IFERROR(__xludf.DUMMYFUNCTION("""COMPUTED_VALUE"""),"1st")</f>
        <v>1st</v>
      </c>
      <c r="H327" s="8" t="str">
        <f>IFERROR(__xludf.DUMMYFUNCTION("""COMPUTED_VALUE"""),"CA Regional 33")</f>
        <v>CA Regional 33</v>
      </c>
      <c r="I327" s="10">
        <f>IFERROR(__xludf.DUMMYFUNCTION("""COMPUTED_VALUE"""),43252.0)</f>
        <v>43252</v>
      </c>
      <c r="J327" s="10">
        <f>IFERROR(__xludf.DUMMYFUNCTION("""COMPUTED_VALUE"""),44348.0)</f>
        <v>44348</v>
      </c>
      <c r="K327" s="1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9" t="str">
        <f>IFERROR(__xludf.DUMMYFUNCTION("""COMPUTED_VALUE"""),"Hernandez")</f>
        <v>Hernandez</v>
      </c>
      <c r="B328" s="8" t="str">
        <f>IFERROR(__xludf.DUMMYFUNCTION("""COMPUTED_VALUE"""),"Mar")</f>
        <v>Mar</v>
      </c>
      <c r="C328" s="8" t="str">
        <f>IFERROR(__xludf.DUMMYFUNCTION("""COMPUTED_VALUE"""),"")</f>
        <v/>
      </c>
      <c r="D328" s="8" t="str">
        <f>IFERROR(__xludf.DUMMYFUNCTION("""COMPUTED_VALUE"""),"UNK")</f>
        <v>UNK</v>
      </c>
      <c r="E328" s="8" t="str">
        <f>IFERROR(__xludf.DUMMYFUNCTION("""COMPUTED_VALUE"""),"Philippines")</f>
        <v>Philippines</v>
      </c>
      <c r="F328" s="8" t="str">
        <f>IFERROR(__xludf.DUMMYFUNCTION("""COMPUTED_VALUE"""),"DL")</f>
        <v>DL</v>
      </c>
      <c r="G328" s="8" t="str">
        <f>IFERROR(__xludf.DUMMYFUNCTION("""COMPUTED_VALUE"""),"66th")</f>
        <v>66th</v>
      </c>
      <c r="H328" s="8" t="str">
        <f>IFERROR(__xludf.DUMMYFUNCTION("""COMPUTED_VALUE"""),"DL")</f>
        <v>DL</v>
      </c>
      <c r="I328" s="10">
        <f>IFERROR(__xludf.DUMMYFUNCTION("""COMPUTED_VALUE"""),42401.0)</f>
        <v>42401</v>
      </c>
      <c r="J328" s="10">
        <f>IFERROR(__xludf.DUMMYFUNCTION("""COMPUTED_VALUE"""),44713.0)</f>
        <v>44713</v>
      </c>
      <c r="K328" s="1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9" t="str">
        <f>IFERROR(__xludf.DUMMYFUNCTION("""COMPUTED_VALUE"""),"Herrera")</f>
        <v>Herrera</v>
      </c>
      <c r="B329" s="8" t="str">
        <f>IFERROR(__xludf.DUMMYFUNCTION("""COMPUTED_VALUE"""),"Ruben")</f>
        <v>Ruben</v>
      </c>
      <c r="C329" s="8" t="str">
        <f>IFERROR(__xludf.DUMMYFUNCTION("""COMPUTED_VALUE"""),"San Diego")</f>
        <v>San Diego</v>
      </c>
      <c r="D329" s="8" t="str">
        <f>IFERROR(__xludf.DUMMYFUNCTION("""COMPUTED_VALUE"""),"CA")</f>
        <v>CA</v>
      </c>
      <c r="E329" s="8" t="str">
        <f>IFERROR(__xludf.DUMMYFUNCTION("""COMPUTED_VALUE"""),"USA")</f>
        <v>USA</v>
      </c>
      <c r="F329" s="8" t="str">
        <f>IFERROR(__xludf.DUMMYFUNCTION("""COMPUTED_VALUE"""),"Mens Singles Cricket")</f>
        <v>Mens Singles Cricket</v>
      </c>
      <c r="G329" s="8" t="str">
        <f>IFERROR(__xludf.DUMMYFUNCTION("""COMPUTED_VALUE"""),"2nd")</f>
        <v>2nd</v>
      </c>
      <c r="H329" s="8" t="str">
        <f>IFERROR(__xludf.DUMMYFUNCTION("""COMPUTED_VALUE"""),"NV Regional 32")</f>
        <v>NV Regional 32</v>
      </c>
      <c r="I329" s="10">
        <f>IFERROR(__xludf.DUMMYFUNCTION("""COMPUTED_VALUE"""),42887.0)</f>
        <v>42887</v>
      </c>
      <c r="J329" s="10">
        <f>IFERROR(__xludf.DUMMYFUNCTION("""COMPUTED_VALUE"""),43983.0)</f>
        <v>43983</v>
      </c>
      <c r="K329" s="11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9" t="str">
        <f>IFERROR(__xludf.DUMMYFUNCTION("""COMPUTED_VALUE"""),"Herrig")</f>
        <v>Herrig</v>
      </c>
      <c r="B330" s="8" t="str">
        <f>IFERROR(__xludf.DUMMYFUNCTION("""COMPUTED_VALUE"""),"Richie")</f>
        <v>Richie</v>
      </c>
      <c r="C330" s="8" t="str">
        <f>IFERROR(__xludf.DUMMYFUNCTION("""COMPUTED_VALUE"""),"Rome")</f>
        <v>Rome</v>
      </c>
      <c r="D330" s="8" t="str">
        <f>IFERROR(__xludf.DUMMYFUNCTION("""COMPUTED_VALUE"""),"NY")</f>
        <v>NY</v>
      </c>
      <c r="E330" s="8" t="str">
        <f>IFERROR(__xludf.DUMMYFUNCTION("""COMPUTED_VALUE"""),"USA")</f>
        <v>USA</v>
      </c>
      <c r="F330" s="8" t="str">
        <f>IFERROR(__xludf.DUMMYFUNCTION("""COMPUTED_VALUE"""),"Mens Doubles")</f>
        <v>Mens Doubles</v>
      </c>
      <c r="G330" s="8" t="str">
        <f>IFERROR(__xludf.DUMMYFUNCTION("""COMPUTED_VALUE"""),"1st")</f>
        <v>1st</v>
      </c>
      <c r="H330" s="8" t="str">
        <f>IFERROR(__xludf.DUMMYFUNCTION("""COMPUTED_VALUE"""),"NY Regional 33")</f>
        <v>NY Regional 33</v>
      </c>
      <c r="I330" s="10">
        <f>IFERROR(__xludf.DUMMYFUNCTION("""COMPUTED_VALUE"""),43252.0)</f>
        <v>43252</v>
      </c>
      <c r="J330" s="10">
        <f>IFERROR(__xludf.DUMMYFUNCTION("""COMPUTED_VALUE"""),44348.0)</f>
        <v>44348</v>
      </c>
      <c r="K330" s="11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9" t="str">
        <f>IFERROR(__xludf.DUMMYFUNCTION("""COMPUTED_VALUE"""),"Hettenhouser")</f>
        <v>Hettenhouser</v>
      </c>
      <c r="B331" s="8" t="str">
        <f>IFERROR(__xludf.DUMMYFUNCTION("""COMPUTED_VALUE"""),"Steven")</f>
        <v>Steven</v>
      </c>
      <c r="C331" s="8" t="str">
        <f>IFERROR(__xludf.DUMMYFUNCTION("""COMPUTED_VALUE"""),"Cape Girardeau")</f>
        <v>Cape Girardeau</v>
      </c>
      <c r="D331" s="8" t="str">
        <f>IFERROR(__xludf.DUMMYFUNCTION("""COMPUTED_VALUE"""),"MO")</f>
        <v>MO</v>
      </c>
      <c r="E331" s="8" t="str">
        <f>IFERROR(__xludf.DUMMYFUNCTION("""COMPUTED_VALUE"""),"USA")</f>
        <v>USA</v>
      </c>
      <c r="F331" s="8" t="str">
        <f>IFERROR(__xludf.DUMMYFUNCTION("""COMPUTED_VALUE"""),"Mixed Triples 701")</f>
        <v>Mixed Triples 701</v>
      </c>
      <c r="G331" s="8" t="str">
        <f>IFERROR(__xludf.DUMMYFUNCTION("""COMPUTED_VALUE"""),"1st")</f>
        <v>1st</v>
      </c>
      <c r="H331" s="8" t="str">
        <f>IFERROR(__xludf.DUMMYFUNCTION("""COMPUTED_VALUE"""),"Tennessee BS 34")</f>
        <v>Tennessee BS 34</v>
      </c>
      <c r="I331" s="10">
        <f>IFERROR(__xludf.DUMMYFUNCTION("""COMPUTED_VALUE"""),43617.0)</f>
        <v>43617</v>
      </c>
      <c r="J331" s="10">
        <f>IFERROR(__xludf.DUMMYFUNCTION("""COMPUTED_VALUE"""),44713.0)</f>
        <v>44713</v>
      </c>
      <c r="K331" s="11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9" t="str">
        <f>IFERROR(__xludf.DUMMYFUNCTION("""COMPUTED_VALUE"""),"Hettich")</f>
        <v>Hettich</v>
      </c>
      <c r="B332" s="8" t="str">
        <f>IFERROR(__xludf.DUMMYFUNCTION("""COMPUTED_VALUE"""),"Daniel")</f>
        <v>Daniel</v>
      </c>
      <c r="C332" s="8" t="str">
        <f>IFERROR(__xludf.DUMMYFUNCTION("""COMPUTED_VALUE"""),"Waukesha")</f>
        <v>Waukesha</v>
      </c>
      <c r="D332" s="8" t="str">
        <f>IFERROR(__xludf.DUMMYFUNCTION("""COMPUTED_VALUE"""),"WI")</f>
        <v>WI</v>
      </c>
      <c r="E332" s="8" t="str">
        <f>IFERROR(__xludf.DUMMYFUNCTION("""COMPUTED_VALUE"""),"USA")</f>
        <v>USA</v>
      </c>
      <c r="F332" s="8" t="str">
        <f>IFERROR(__xludf.DUMMYFUNCTION("""COMPUTED_VALUE"""),"Mens Doubles")</f>
        <v>Mens Doubles</v>
      </c>
      <c r="G332" s="8" t="str">
        <f>IFERROR(__xludf.DUMMYFUNCTION("""COMPUTED_VALUE"""),"3rd")</f>
        <v>3rd</v>
      </c>
      <c r="H332" s="8" t="str">
        <f>IFERROR(__xludf.DUMMYFUNCTION("""COMPUTED_VALUE"""),"WI Regional 32")</f>
        <v>WI Regional 32</v>
      </c>
      <c r="I332" s="10">
        <f>IFERROR(__xludf.DUMMYFUNCTION("""COMPUTED_VALUE"""),42887.0)</f>
        <v>42887</v>
      </c>
      <c r="J332" s="10">
        <f>IFERROR(__xludf.DUMMYFUNCTION("""COMPUTED_VALUE"""),43983.0)</f>
        <v>43983</v>
      </c>
      <c r="K332" s="11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9" t="str">
        <f>IFERROR(__xludf.DUMMYFUNCTION("""COMPUTED_VALUE"""),"Hewitt")</f>
        <v>Hewitt</v>
      </c>
      <c r="B333" s="8" t="str">
        <f>IFERROR(__xludf.DUMMYFUNCTION("""COMPUTED_VALUE"""),"Pat")</f>
        <v>Pat</v>
      </c>
      <c r="C333" s="8" t="str">
        <f>IFERROR(__xludf.DUMMYFUNCTION("""COMPUTED_VALUE"""),"Swansea")</f>
        <v>Swansea</v>
      </c>
      <c r="D333" s="8" t="str">
        <f>IFERROR(__xludf.DUMMYFUNCTION("""COMPUTED_VALUE"""),"SC")</f>
        <v>SC</v>
      </c>
      <c r="E333" s="8" t="str">
        <f>IFERROR(__xludf.DUMMYFUNCTION("""COMPUTED_VALUE"""),"USA")</f>
        <v>USA</v>
      </c>
      <c r="F333" s="8" t="str">
        <f>IFERROR(__xludf.DUMMYFUNCTION("""COMPUTED_VALUE"""),"Pro Singles")</f>
        <v>Pro Singles</v>
      </c>
      <c r="G333" s="8" t="str">
        <f>IFERROR(__xludf.DUMMYFUNCTION("""COMPUTED_VALUE"""),"2nd")</f>
        <v>2nd</v>
      </c>
      <c r="H333" s="8" t="str">
        <f>IFERROR(__xludf.DUMMYFUNCTION("""COMPUTED_VALUE"""),"Known Ability")</f>
        <v>Known Ability</v>
      </c>
      <c r="I333" s="10">
        <f>IFERROR(__xludf.DUMMYFUNCTION("""COMPUTED_VALUE"""),42765.0)</f>
        <v>42765</v>
      </c>
      <c r="J333" s="10">
        <f>IFERROR(__xludf.DUMMYFUNCTION("""COMPUTED_VALUE"""),45809.0)</f>
        <v>45809</v>
      </c>
      <c r="K333" s="1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9" t="str">
        <f>IFERROR(__xludf.DUMMYFUNCTION("""COMPUTED_VALUE"""),"Hicken")</f>
        <v>Hicken</v>
      </c>
      <c r="B334" s="8" t="str">
        <f>IFERROR(__xludf.DUMMYFUNCTION("""COMPUTED_VALUE"""),"Lee")</f>
        <v>Lee</v>
      </c>
      <c r="C334" s="8" t="str">
        <f>IFERROR(__xludf.DUMMYFUNCTION("""COMPUTED_VALUE"""),"Buckeye")</f>
        <v>Buckeye</v>
      </c>
      <c r="D334" s="8" t="str">
        <f>IFERROR(__xludf.DUMMYFUNCTION("""COMPUTED_VALUE"""),"AZ")</f>
        <v>AZ</v>
      </c>
      <c r="E334" s="8" t="str">
        <f>IFERROR(__xludf.DUMMYFUNCTION("""COMPUTED_VALUE"""),"USA")</f>
        <v>USA</v>
      </c>
      <c r="F334" s="8" t="str">
        <f>IFERROR(__xludf.DUMMYFUNCTION("""COMPUTED_VALUE"""),"TopGun Non Pro Triples")</f>
        <v>TopGun Non Pro Triples</v>
      </c>
      <c r="G334" s="8" t="str">
        <f>IFERROR(__xludf.DUMMYFUNCTION("""COMPUTED_VALUE"""),"2nd")</f>
        <v>2nd</v>
      </c>
      <c r="H334" s="8" t="str">
        <f>IFERROR(__xludf.DUMMYFUNCTION("""COMPUTED_VALUE"""),"BullShooter 34 Finals")</f>
        <v>BullShooter 34 Finals</v>
      </c>
      <c r="I334" s="10">
        <f>IFERROR(__xludf.DUMMYFUNCTION("""COMPUTED_VALUE"""),43617.0)</f>
        <v>43617</v>
      </c>
      <c r="J334" s="10">
        <f>IFERROR(__xludf.DUMMYFUNCTION("""COMPUTED_VALUE"""),44713.0)</f>
        <v>44713</v>
      </c>
      <c r="K334" s="1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9" t="str">
        <f>IFERROR(__xludf.DUMMYFUNCTION("""COMPUTED_VALUE"""),"Hicks")</f>
        <v>Hicks</v>
      </c>
      <c r="B335" s="8" t="str">
        <f>IFERROR(__xludf.DUMMYFUNCTION("""COMPUTED_VALUE"""),"Thomas")</f>
        <v>Thomas</v>
      </c>
      <c r="C335" s="8" t="str">
        <f>IFERROR(__xludf.DUMMYFUNCTION("""COMPUTED_VALUE"""),"Jacksonville")</f>
        <v>Jacksonville</v>
      </c>
      <c r="D335" s="8" t="str">
        <f>IFERROR(__xludf.DUMMYFUNCTION("""COMPUTED_VALUE"""),"FL")</f>
        <v>FL</v>
      </c>
      <c r="E335" s="8" t="str">
        <f>IFERROR(__xludf.DUMMYFUNCTION("""COMPUTED_VALUE"""),"USA")</f>
        <v>USA</v>
      </c>
      <c r="F335" s="8" t="str">
        <f>IFERROR(__xludf.DUMMYFUNCTION("""COMPUTED_VALUE"""),"Pro Doubles 501")</f>
        <v>Pro Doubles 501</v>
      </c>
      <c r="G335" s="8" t="str">
        <f>IFERROR(__xludf.DUMMYFUNCTION("""COMPUTED_VALUE"""),"2nd")</f>
        <v>2nd</v>
      </c>
      <c r="H335" s="8" t="str">
        <f>IFERROR(__xludf.DUMMYFUNCTION("""COMPUTED_VALUE"""),"Georgia BS 34")</f>
        <v>Georgia BS 34</v>
      </c>
      <c r="I335" s="10">
        <f>IFERROR(__xludf.DUMMYFUNCTION("""COMPUTED_VALUE"""),43617.0)</f>
        <v>43617</v>
      </c>
      <c r="J335" s="10">
        <f>IFERROR(__xludf.DUMMYFUNCTION("""COMPUTED_VALUE"""),44713.0)</f>
        <v>44713</v>
      </c>
      <c r="K335" s="11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9" t="str">
        <f>IFERROR(__xludf.DUMMYFUNCTION("""COMPUTED_VALUE"""),"Hilbourne")</f>
        <v>Hilbourne</v>
      </c>
      <c r="B336" s="8" t="str">
        <f>IFERROR(__xludf.DUMMYFUNCTION("""COMPUTED_VALUE"""),"Jerry")</f>
        <v>Jerry</v>
      </c>
      <c r="C336" s="8" t="str">
        <f>IFERROR(__xludf.DUMMYFUNCTION("""COMPUTED_VALUE"""),"Florence")</f>
        <v>Florence</v>
      </c>
      <c r="D336" s="8" t="str">
        <f>IFERROR(__xludf.DUMMYFUNCTION("""COMPUTED_VALUE"""),"SC")</f>
        <v>SC</v>
      </c>
      <c r="E336" s="8" t="str">
        <f>IFERROR(__xludf.DUMMYFUNCTION("""COMPUTED_VALUE"""),"USA")</f>
        <v>USA</v>
      </c>
      <c r="F336" s="8" t="str">
        <f>IFERROR(__xludf.DUMMYFUNCTION("""COMPUTED_VALUE"""),"Mixed Cricket Doubles")</f>
        <v>Mixed Cricket Doubles</v>
      </c>
      <c r="G336" s="8" t="str">
        <f>IFERROR(__xludf.DUMMYFUNCTION("""COMPUTED_VALUE"""),"1st")</f>
        <v>1st</v>
      </c>
      <c r="H336" s="8" t="str">
        <f>IFERROR(__xludf.DUMMYFUNCTION("""COMPUTED_VALUE"""),"SC Regional 32")</f>
        <v>SC Regional 32</v>
      </c>
      <c r="I336" s="10">
        <f>IFERROR(__xludf.DUMMYFUNCTION("""COMPUTED_VALUE"""),42887.0)</f>
        <v>42887</v>
      </c>
      <c r="J336" s="10">
        <f>IFERROR(__xludf.DUMMYFUNCTION("""COMPUTED_VALUE"""),43983.0)</f>
        <v>43983</v>
      </c>
      <c r="K336" s="11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9" t="str">
        <f>IFERROR(__xludf.DUMMYFUNCTION("""COMPUTED_VALUE"""),"Hildebrand")</f>
        <v>Hildebrand</v>
      </c>
      <c r="B337" s="8" t="str">
        <f>IFERROR(__xludf.DUMMYFUNCTION("""COMPUTED_VALUE"""),"Josef")</f>
        <v>Josef</v>
      </c>
      <c r="C337" s="8" t="str">
        <f>IFERROR(__xludf.DUMMYFUNCTION("""COMPUTED_VALUE"""),"Clive")</f>
        <v>Clive</v>
      </c>
      <c r="D337" s="8" t="str">
        <f>IFERROR(__xludf.DUMMYFUNCTION("""COMPUTED_VALUE"""),"IA")</f>
        <v>IA</v>
      </c>
      <c r="E337" s="8" t="str">
        <f>IFERROR(__xludf.DUMMYFUNCTION("""COMPUTED_VALUE"""),"USA")</f>
        <v>USA</v>
      </c>
      <c r="F337" s="8" t="str">
        <f>IFERROR(__xludf.DUMMYFUNCTION("""COMPUTED_VALUE"""),"Mens Doubles")</f>
        <v>Mens Doubles</v>
      </c>
      <c r="G337" s="8" t="str">
        <f>IFERROR(__xludf.DUMMYFUNCTION("""COMPUTED_VALUE"""),"3rd")</f>
        <v>3rd</v>
      </c>
      <c r="H337" s="8" t="str">
        <f>IFERROR(__xludf.DUMMYFUNCTION("""COMPUTED_VALUE"""),"NE Regional 32")</f>
        <v>NE Regional 32</v>
      </c>
      <c r="I337" s="10">
        <f>IFERROR(__xludf.DUMMYFUNCTION("""COMPUTED_VALUE"""),42887.0)</f>
        <v>42887</v>
      </c>
      <c r="J337" s="10">
        <f>IFERROR(__xludf.DUMMYFUNCTION("""COMPUTED_VALUE"""),43983.0)</f>
        <v>43983</v>
      </c>
      <c r="K337" s="1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9" t="str">
        <f>IFERROR(__xludf.DUMMYFUNCTION("""COMPUTED_VALUE"""),"Hilger")</f>
        <v>Hilger</v>
      </c>
      <c r="B338" s="8" t="str">
        <f>IFERROR(__xludf.DUMMYFUNCTION("""COMPUTED_VALUE"""),"Steve")</f>
        <v>Steve</v>
      </c>
      <c r="C338" s="8" t="str">
        <f>IFERROR(__xludf.DUMMYFUNCTION("""COMPUTED_VALUE"""),"Menomonee Falls")</f>
        <v>Menomonee Falls</v>
      </c>
      <c r="D338" s="8" t="str">
        <f>IFERROR(__xludf.DUMMYFUNCTION("""COMPUTED_VALUE"""),"WI")</f>
        <v>WI</v>
      </c>
      <c r="E338" s="8" t="str">
        <f>IFERROR(__xludf.DUMMYFUNCTION("""COMPUTED_VALUE"""),"USA")</f>
        <v>USA</v>
      </c>
      <c r="F338" s="8" t="str">
        <f>IFERROR(__xludf.DUMMYFUNCTION("""COMPUTED_VALUE"""),"Pro/Am Cricket")</f>
        <v>Pro/Am Cricket</v>
      </c>
      <c r="G338" s="8" t="str">
        <f>IFERROR(__xludf.DUMMYFUNCTION("""COMPUTED_VALUE"""),"2nd")</f>
        <v>2nd</v>
      </c>
      <c r="H338" s="8" t="str">
        <f>IFERROR(__xludf.DUMMYFUNCTION("""COMPUTED_VALUE"""),"Wisconsin BS 34")</f>
        <v>Wisconsin BS 34</v>
      </c>
      <c r="I338" s="10">
        <f>IFERROR(__xludf.DUMMYFUNCTION("""COMPUTED_VALUE"""),43617.0)</f>
        <v>43617</v>
      </c>
      <c r="J338" s="10">
        <f>IFERROR(__xludf.DUMMYFUNCTION("""COMPUTED_VALUE"""),44713.0)</f>
        <v>44713</v>
      </c>
      <c r="K338" s="1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9" t="str">
        <f>IFERROR(__xludf.DUMMYFUNCTION("""COMPUTED_VALUE"""),"Hill")</f>
        <v>Hill</v>
      </c>
      <c r="B339" s="8" t="str">
        <f>IFERROR(__xludf.DUMMYFUNCTION("""COMPUTED_VALUE"""),"James")</f>
        <v>James</v>
      </c>
      <c r="C339" s="8" t="str">
        <f>IFERROR(__xludf.DUMMYFUNCTION("""COMPUTED_VALUE"""),"Freeport")</f>
        <v>Freeport</v>
      </c>
      <c r="D339" s="8" t="str">
        <f>IFERROR(__xludf.DUMMYFUNCTION("""COMPUTED_VALUE"""),"PA")</f>
        <v>PA</v>
      </c>
      <c r="E339" s="8" t="str">
        <f>IFERROR(__xludf.DUMMYFUNCTION("""COMPUTED_VALUE"""),"USA")</f>
        <v>USA</v>
      </c>
      <c r="F339" s="8" t="str">
        <f>IFERROR(__xludf.DUMMYFUNCTION("""COMPUTED_VALUE"""),"Mens Cricket Doubles")</f>
        <v>Mens Cricket Doubles</v>
      </c>
      <c r="G339" s="8" t="str">
        <f>IFERROR(__xludf.DUMMYFUNCTION("""COMPUTED_VALUE"""),"2nd")</f>
        <v>2nd</v>
      </c>
      <c r="H339" s="8" t="str">
        <f>IFERROR(__xludf.DUMMYFUNCTION("""COMPUTED_VALUE"""),"PA Regional 33")</f>
        <v>PA Regional 33</v>
      </c>
      <c r="I339" s="10">
        <f>IFERROR(__xludf.DUMMYFUNCTION("""COMPUTED_VALUE"""),43252.0)</f>
        <v>43252</v>
      </c>
      <c r="J339" s="10">
        <f>IFERROR(__xludf.DUMMYFUNCTION("""COMPUTED_VALUE"""),44348.0)</f>
        <v>44348</v>
      </c>
      <c r="K339" s="11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9" t="str">
        <f>IFERROR(__xludf.DUMMYFUNCTION("""COMPUTED_VALUE"""),"Hill")</f>
        <v>Hill</v>
      </c>
      <c r="B340" s="8" t="str">
        <f>IFERROR(__xludf.DUMMYFUNCTION("""COMPUTED_VALUE"""),"Jason")</f>
        <v>Jason</v>
      </c>
      <c r="C340" s="8" t="str">
        <f>IFERROR(__xludf.DUMMYFUNCTION("""COMPUTED_VALUE"""),"Oshkosh")</f>
        <v>Oshkosh</v>
      </c>
      <c r="D340" s="8" t="str">
        <f>IFERROR(__xludf.DUMMYFUNCTION("""COMPUTED_VALUE"""),"WI")</f>
        <v>WI</v>
      </c>
      <c r="E340" s="8" t="str">
        <f>IFERROR(__xludf.DUMMYFUNCTION("""COMPUTED_VALUE"""),"USA")</f>
        <v>USA</v>
      </c>
      <c r="F340" s="8" t="str">
        <f>IFERROR(__xludf.DUMMYFUNCTION("""COMPUTED_VALUE"""),"")</f>
        <v/>
      </c>
      <c r="G340" s="8" t="str">
        <f>IFERROR(__xludf.DUMMYFUNCTION("""COMPUTED_VALUE"""),"")</f>
        <v/>
      </c>
      <c r="H340" s="8" t="str">
        <f>IFERROR(__xludf.DUMMYFUNCTION("""COMPUTED_VALUE"""),"BS 30 Finals")</f>
        <v>BS 30 Finals</v>
      </c>
      <c r="I340" s="10">
        <f>IFERROR(__xludf.DUMMYFUNCTION("""COMPUTED_VALUE"""),43252.0)</f>
        <v>43252</v>
      </c>
      <c r="J340" s="10">
        <f>IFERROR(__xludf.DUMMYFUNCTION("""COMPUTED_VALUE"""),44348.0)</f>
        <v>44348</v>
      </c>
      <c r="K340" s="11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9" t="str">
        <f>IFERROR(__xludf.DUMMYFUNCTION("""COMPUTED_VALUE"""),"Hill")</f>
        <v>Hill</v>
      </c>
      <c r="B341" s="8" t="str">
        <f>IFERROR(__xludf.DUMMYFUNCTION("""COMPUTED_VALUE"""),"Matthew")</f>
        <v>Matthew</v>
      </c>
      <c r="C341" s="8" t="str">
        <f>IFERROR(__xludf.DUMMYFUNCTION("""COMPUTED_VALUE"""),"Myrtle Beach")</f>
        <v>Myrtle Beach</v>
      </c>
      <c r="D341" s="8" t="str">
        <f>IFERROR(__xludf.DUMMYFUNCTION("""COMPUTED_VALUE"""),"SC")</f>
        <v>SC</v>
      </c>
      <c r="E341" s="8" t="str">
        <f>IFERROR(__xludf.DUMMYFUNCTION("""COMPUTED_VALUE"""),"USA")</f>
        <v>USA</v>
      </c>
      <c r="F341" s="8" t="str">
        <f>IFERROR(__xludf.DUMMYFUNCTION("""COMPUTED_VALUE"""),"Men Doubles Cricket")</f>
        <v>Men Doubles Cricket</v>
      </c>
      <c r="G341" s="8" t="str">
        <f>IFERROR(__xludf.DUMMYFUNCTION("""COMPUTED_VALUE"""),"3rd")</f>
        <v>3rd</v>
      </c>
      <c r="H341" s="8" t="str">
        <f>IFERROR(__xludf.DUMMYFUNCTION("""COMPUTED_VALUE"""),"South Carolina BS 34")</f>
        <v>South Carolina BS 34</v>
      </c>
      <c r="I341" s="10">
        <f>IFERROR(__xludf.DUMMYFUNCTION("""COMPUTED_VALUE"""),43617.0)</f>
        <v>43617</v>
      </c>
      <c r="J341" s="10">
        <f>IFERROR(__xludf.DUMMYFUNCTION("""COMPUTED_VALUE"""),44713.0)</f>
        <v>44713</v>
      </c>
      <c r="K341" s="1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9" t="str">
        <f>IFERROR(__xludf.DUMMYFUNCTION("""COMPUTED_VALUE"""),"Hilliker")</f>
        <v>Hilliker</v>
      </c>
      <c r="B342" s="8" t="str">
        <f>IFERROR(__xludf.DUMMYFUNCTION("""COMPUTED_VALUE"""),"Ryan")</f>
        <v>Ryan</v>
      </c>
      <c r="C342" s="8" t="str">
        <f>IFERROR(__xludf.DUMMYFUNCTION("""COMPUTED_VALUE"""),"Troy")</f>
        <v>Troy</v>
      </c>
      <c r="D342" s="8" t="str">
        <f>IFERROR(__xludf.DUMMYFUNCTION("""COMPUTED_VALUE"""),"MO")</f>
        <v>MO</v>
      </c>
      <c r="E342" s="8" t="str">
        <f>IFERROR(__xludf.DUMMYFUNCTION("""COMPUTED_VALUE"""),"USA")</f>
        <v>USA</v>
      </c>
      <c r="F342" s="8" t="str">
        <f>IFERROR(__xludf.DUMMYFUNCTION("""COMPUTED_VALUE"""),"Mens Doubles")</f>
        <v>Mens Doubles</v>
      </c>
      <c r="G342" s="8" t="str">
        <f>IFERROR(__xludf.DUMMYFUNCTION("""COMPUTED_VALUE"""),"1st")</f>
        <v>1st</v>
      </c>
      <c r="H342" s="8" t="str">
        <f>IFERROR(__xludf.DUMMYFUNCTION("""COMPUTED_VALUE"""),"GA Regional 33")</f>
        <v>GA Regional 33</v>
      </c>
      <c r="I342" s="10">
        <f>IFERROR(__xludf.DUMMYFUNCTION("""COMPUTED_VALUE"""),43252.0)</f>
        <v>43252</v>
      </c>
      <c r="J342" s="10">
        <f>IFERROR(__xludf.DUMMYFUNCTION("""COMPUTED_VALUE"""),44348.0)</f>
        <v>44348</v>
      </c>
      <c r="K342" s="1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9" t="str">
        <f>IFERROR(__xludf.DUMMYFUNCTION("""COMPUTED_VALUE"""),"Hinkle")</f>
        <v>Hinkle</v>
      </c>
      <c r="B343" s="8" t="str">
        <f>IFERROR(__xludf.DUMMYFUNCTION("""COMPUTED_VALUE"""),"Derek")</f>
        <v>Derek</v>
      </c>
      <c r="C343" s="8" t="str">
        <f>IFERROR(__xludf.DUMMYFUNCTION("""COMPUTED_VALUE"""),"St. Joseph")</f>
        <v>St. Joseph</v>
      </c>
      <c r="D343" s="8" t="str">
        <f>IFERROR(__xludf.DUMMYFUNCTION("""COMPUTED_VALUE"""),"MO")</f>
        <v>MO</v>
      </c>
      <c r="E343" s="8" t="str">
        <f>IFERROR(__xludf.DUMMYFUNCTION("""COMPUTED_VALUE"""),"USA")</f>
        <v>USA</v>
      </c>
      <c r="F343" s="8" t="str">
        <f>IFERROR(__xludf.DUMMYFUNCTION("""COMPUTED_VALUE"""),"Pro/Am Cricket")</f>
        <v>Pro/Am Cricket</v>
      </c>
      <c r="G343" s="8" t="str">
        <f>IFERROR(__xludf.DUMMYFUNCTION("""COMPUTED_VALUE"""),"3rd")</f>
        <v>3rd</v>
      </c>
      <c r="H343" s="8" t="str">
        <f>IFERROR(__xludf.DUMMYFUNCTION("""COMPUTED_VALUE"""),"Nebraska BS 34")</f>
        <v>Nebraska BS 34</v>
      </c>
      <c r="I343" s="10">
        <f>IFERROR(__xludf.DUMMYFUNCTION("""COMPUTED_VALUE"""),43617.0)</f>
        <v>43617</v>
      </c>
      <c r="J343" s="10">
        <f>IFERROR(__xludf.DUMMYFUNCTION("""COMPUTED_VALUE"""),44713.0)</f>
        <v>44713</v>
      </c>
      <c r="K343" s="11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9" t="str">
        <f>IFERROR(__xludf.DUMMYFUNCTION("""COMPUTED_VALUE"""),"Hinrichs")</f>
        <v>Hinrichs</v>
      </c>
      <c r="B344" s="8" t="str">
        <f>IFERROR(__xludf.DUMMYFUNCTION("""COMPUTED_VALUE"""),"Joey")</f>
        <v>Joey</v>
      </c>
      <c r="C344" s="8" t="str">
        <f>IFERROR(__xludf.DUMMYFUNCTION("""COMPUTED_VALUE"""),"StageCoach")</f>
        <v>StageCoach</v>
      </c>
      <c r="D344" s="8" t="str">
        <f>IFERROR(__xludf.DUMMYFUNCTION("""COMPUTED_VALUE"""),"TX")</f>
        <v>TX</v>
      </c>
      <c r="E344" s="8" t="str">
        <f>IFERROR(__xludf.DUMMYFUNCTION("""COMPUTED_VALUE"""),"USA")</f>
        <v>USA</v>
      </c>
      <c r="F344" s="8" t="str">
        <f>IFERROR(__xludf.DUMMYFUNCTION("""COMPUTED_VALUE"""),"Men Doubles Cricket")</f>
        <v>Men Doubles Cricket</v>
      </c>
      <c r="G344" s="8" t="str">
        <f>IFERROR(__xludf.DUMMYFUNCTION("""COMPUTED_VALUE"""),"2nd")</f>
        <v>2nd</v>
      </c>
      <c r="H344" s="8" t="str">
        <f>IFERROR(__xludf.DUMMYFUNCTION("""COMPUTED_VALUE"""),"Texas BS 34")</f>
        <v>Texas BS 34</v>
      </c>
      <c r="I344" s="10">
        <f>IFERROR(__xludf.DUMMYFUNCTION("""COMPUTED_VALUE"""),43617.0)</f>
        <v>43617</v>
      </c>
      <c r="J344" s="10">
        <f>IFERROR(__xludf.DUMMYFUNCTION("""COMPUTED_VALUE"""),44713.0)</f>
        <v>44713</v>
      </c>
      <c r="K344" s="11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9" t="str">
        <f>IFERROR(__xludf.DUMMYFUNCTION("""COMPUTED_VALUE"""),"Hinton")</f>
        <v>Hinton</v>
      </c>
      <c r="B345" s="8" t="str">
        <f>IFERROR(__xludf.DUMMYFUNCTION("""COMPUTED_VALUE"""),"Ian")</f>
        <v>Ian</v>
      </c>
      <c r="C345" s="8" t="str">
        <f>IFERROR(__xludf.DUMMYFUNCTION("""COMPUTED_VALUE"""),"Horn Lake")</f>
        <v>Horn Lake</v>
      </c>
      <c r="D345" s="8" t="str">
        <f>IFERROR(__xludf.DUMMYFUNCTION("""COMPUTED_VALUE"""),"MS")</f>
        <v>MS</v>
      </c>
      <c r="E345" s="8" t="str">
        <f>IFERROR(__xludf.DUMMYFUNCTION("""COMPUTED_VALUE"""),"USA")</f>
        <v>USA</v>
      </c>
      <c r="F345" s="8" t="str">
        <f>IFERROR(__xludf.DUMMYFUNCTION("""COMPUTED_VALUE"""),"Pro Doubles")</f>
        <v>Pro Doubles</v>
      </c>
      <c r="G345" s="8" t="str">
        <f>IFERROR(__xludf.DUMMYFUNCTION("""COMPUTED_VALUE"""),"3rd")</f>
        <v>3rd</v>
      </c>
      <c r="H345" s="8" t="str">
        <f>IFERROR(__xludf.DUMMYFUNCTION("""COMPUTED_VALUE"""),"TN Regional 33")</f>
        <v>TN Regional 33</v>
      </c>
      <c r="I345" s="10">
        <f>IFERROR(__xludf.DUMMYFUNCTION("""COMPUTED_VALUE"""),43252.0)</f>
        <v>43252</v>
      </c>
      <c r="J345" s="10">
        <f>IFERROR(__xludf.DUMMYFUNCTION("""COMPUTED_VALUE"""),44348.0)</f>
        <v>44348</v>
      </c>
      <c r="K345" s="1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9" t="str">
        <f>IFERROR(__xludf.DUMMYFUNCTION("""COMPUTED_VALUE"""),"Hirose")</f>
        <v>Hirose</v>
      </c>
      <c r="B346" s="8" t="str">
        <f>IFERROR(__xludf.DUMMYFUNCTION("""COMPUTED_VALUE"""),"Takahisa")</f>
        <v>Takahisa</v>
      </c>
      <c r="C346" s="8" t="str">
        <f>IFERROR(__xludf.DUMMYFUNCTION("""COMPUTED_VALUE"""),"")</f>
        <v/>
      </c>
      <c r="D346" s="8" t="str">
        <f>IFERROR(__xludf.DUMMYFUNCTION("""COMPUTED_VALUE"""),"UNK")</f>
        <v>UNK</v>
      </c>
      <c r="E346" s="8" t="str">
        <f>IFERROR(__xludf.DUMMYFUNCTION("""COMPUTED_VALUE"""),"Japan")</f>
        <v>Japan</v>
      </c>
      <c r="F346" s="8" t="str">
        <f>IFERROR(__xludf.DUMMYFUNCTION("""COMPUTED_VALUE"""),"DL")</f>
        <v>DL</v>
      </c>
      <c r="G346" s="8" t="str">
        <f>IFERROR(__xludf.DUMMYFUNCTION("""COMPUTED_VALUE"""),"62nd")</f>
        <v>62nd</v>
      </c>
      <c r="H346" s="8" t="str">
        <f>IFERROR(__xludf.DUMMYFUNCTION("""COMPUTED_VALUE"""),"DL")</f>
        <v>DL</v>
      </c>
      <c r="I346" s="10">
        <f>IFERROR(__xludf.DUMMYFUNCTION("""COMPUTED_VALUE"""),42401.0)</f>
        <v>42401</v>
      </c>
      <c r="J346" s="10">
        <f>IFERROR(__xludf.DUMMYFUNCTION("""COMPUTED_VALUE"""),44713.0)</f>
        <v>44713</v>
      </c>
      <c r="K346" s="1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9" t="str">
        <f>IFERROR(__xludf.DUMMYFUNCTION("""COMPUTED_VALUE"""),"Hisaw")</f>
        <v>Hisaw</v>
      </c>
      <c r="B347" s="8" t="str">
        <f>IFERROR(__xludf.DUMMYFUNCTION("""COMPUTED_VALUE"""),"Daniel")</f>
        <v>Daniel</v>
      </c>
      <c r="C347" s="8" t="str">
        <f>IFERROR(__xludf.DUMMYFUNCTION("""COMPUTED_VALUE"""),"St. Petersburg")</f>
        <v>St. Petersburg</v>
      </c>
      <c r="D347" s="8" t="str">
        <f>IFERROR(__xludf.DUMMYFUNCTION("""COMPUTED_VALUE"""),"FL")</f>
        <v>FL</v>
      </c>
      <c r="E347" s="8" t="str">
        <f>IFERROR(__xludf.DUMMYFUNCTION("""COMPUTED_VALUE"""),"USA")</f>
        <v>USA</v>
      </c>
      <c r="F347" s="8" t="str">
        <f>IFERROR(__xludf.DUMMYFUNCTION("""COMPUTED_VALUE"""),"Mixed Cricket Doubles")</f>
        <v>Mixed Cricket Doubles</v>
      </c>
      <c r="G347" s="8" t="str">
        <f>IFERROR(__xludf.DUMMYFUNCTION("""COMPUTED_VALUE"""),"4th")</f>
        <v>4th</v>
      </c>
      <c r="H347" s="8" t="str">
        <f>IFERROR(__xludf.DUMMYFUNCTION("""COMPUTED_VALUE"""),"BullShooter 32")</f>
        <v>BullShooter 32</v>
      </c>
      <c r="I347" s="10">
        <f>IFERROR(__xludf.DUMMYFUNCTION("""COMPUTED_VALUE"""),42887.0)</f>
        <v>42887</v>
      </c>
      <c r="J347" s="10">
        <f>IFERROR(__xludf.DUMMYFUNCTION("""COMPUTED_VALUE"""),43983.0)</f>
        <v>43983</v>
      </c>
      <c r="K347" s="11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9" t="str">
        <f>IFERROR(__xludf.DUMMYFUNCTION("""COMPUTED_VALUE"""),"Hoiney")</f>
        <v>Hoiney</v>
      </c>
      <c r="B348" s="8" t="str">
        <f>IFERROR(__xludf.DUMMYFUNCTION("""COMPUTED_VALUE"""),"Matthew")</f>
        <v>Matthew</v>
      </c>
      <c r="C348" s="8" t="str">
        <f>IFERROR(__xludf.DUMMYFUNCTION("""COMPUTED_VALUE"""),"Cincinnati")</f>
        <v>Cincinnati</v>
      </c>
      <c r="D348" s="8" t="str">
        <f>IFERROR(__xludf.DUMMYFUNCTION("""COMPUTED_VALUE"""),"OH")</f>
        <v>OH</v>
      </c>
      <c r="E348" s="8" t="str">
        <f>IFERROR(__xludf.DUMMYFUNCTION("""COMPUTED_VALUE"""),"USA")</f>
        <v>USA</v>
      </c>
      <c r="F348" s="8" t="str">
        <f>IFERROR(__xludf.DUMMYFUNCTION("""COMPUTED_VALUE"""),"Mens Cricket Doubles")</f>
        <v>Mens Cricket Doubles</v>
      </c>
      <c r="G348" s="8" t="str">
        <f>IFERROR(__xludf.DUMMYFUNCTION("""COMPUTED_VALUE"""),"2nd")</f>
        <v>2nd</v>
      </c>
      <c r="H348" s="8" t="str">
        <f>IFERROR(__xludf.DUMMYFUNCTION("""COMPUTED_VALUE"""),"PA Regional 32")</f>
        <v>PA Regional 32</v>
      </c>
      <c r="I348" s="10">
        <f>IFERROR(__xludf.DUMMYFUNCTION("""COMPUTED_VALUE"""),42887.0)</f>
        <v>42887</v>
      </c>
      <c r="J348" s="10">
        <f>IFERROR(__xludf.DUMMYFUNCTION("""COMPUTED_VALUE"""),43983.0)</f>
        <v>43983</v>
      </c>
      <c r="K348" s="11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9" t="str">
        <f>IFERROR(__xludf.DUMMYFUNCTION("""COMPUTED_VALUE"""),"Holden")</f>
        <v>Holden</v>
      </c>
      <c r="B349" s="8" t="str">
        <f>IFERROR(__xludf.DUMMYFUNCTION("""COMPUTED_VALUE"""),"Donald")</f>
        <v>Donald</v>
      </c>
      <c r="C349" s="8" t="str">
        <f>IFERROR(__xludf.DUMMYFUNCTION("""COMPUTED_VALUE"""),"Omaha")</f>
        <v>Omaha</v>
      </c>
      <c r="D349" s="8" t="str">
        <f>IFERROR(__xludf.DUMMYFUNCTION("""COMPUTED_VALUE"""),"NE")</f>
        <v>NE</v>
      </c>
      <c r="E349" s="8" t="str">
        <f>IFERROR(__xludf.DUMMYFUNCTION("""COMPUTED_VALUE"""),"USA")</f>
        <v>USA</v>
      </c>
      <c r="F349" s="8" t="str">
        <f>IFERROR(__xludf.DUMMYFUNCTION("""COMPUTED_VALUE"""),"Pro Doubles 501")</f>
        <v>Pro Doubles 501</v>
      </c>
      <c r="G349" s="8" t="str">
        <f>IFERROR(__xludf.DUMMYFUNCTION("""COMPUTED_VALUE"""),"3rd")</f>
        <v>3rd</v>
      </c>
      <c r="H349" s="8" t="str">
        <f>IFERROR(__xludf.DUMMYFUNCTION("""COMPUTED_VALUE"""),"Nebraska BS 34")</f>
        <v>Nebraska BS 34</v>
      </c>
      <c r="I349" s="10">
        <f>IFERROR(__xludf.DUMMYFUNCTION("""COMPUTED_VALUE"""),43617.0)</f>
        <v>43617</v>
      </c>
      <c r="J349" s="10">
        <f>IFERROR(__xludf.DUMMYFUNCTION("""COMPUTED_VALUE"""),44713.0)</f>
        <v>44713</v>
      </c>
      <c r="K349" s="1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9" t="str">
        <f>IFERROR(__xludf.DUMMYFUNCTION("""COMPUTED_VALUE"""),"Holmes")</f>
        <v>Holmes</v>
      </c>
      <c r="B350" s="8" t="str">
        <f>IFERROR(__xludf.DUMMYFUNCTION("""COMPUTED_VALUE"""),"Bruce")</f>
        <v>Bruce</v>
      </c>
      <c r="C350" s="8" t="str">
        <f>IFERROR(__xludf.DUMMYFUNCTION("""COMPUTED_VALUE"""),"Oshkosh")</f>
        <v>Oshkosh</v>
      </c>
      <c r="D350" s="8" t="str">
        <f>IFERROR(__xludf.DUMMYFUNCTION("""COMPUTED_VALUE"""),"WI")</f>
        <v>WI</v>
      </c>
      <c r="E350" s="8" t="str">
        <f>IFERROR(__xludf.DUMMYFUNCTION("""COMPUTED_VALUE"""),"USA")</f>
        <v>USA</v>
      </c>
      <c r="F350" s="8" t="str">
        <f>IFERROR(__xludf.DUMMYFUNCTION("""COMPUTED_VALUE"""),"Known Pro")</f>
        <v>Known Pro</v>
      </c>
      <c r="G350" s="8" t="str">
        <f>IFERROR(__xludf.DUMMYFUNCTION("""COMPUTED_VALUE"""),"")</f>
        <v/>
      </c>
      <c r="H350" s="8" t="str">
        <f>IFERROR(__xludf.DUMMYFUNCTION("""COMPUTED_VALUE"""),"Known Ability")</f>
        <v>Known Ability</v>
      </c>
      <c r="I350" s="10">
        <f>IFERROR(__xludf.DUMMYFUNCTION("""COMPUTED_VALUE"""),36892.0)</f>
        <v>36892</v>
      </c>
      <c r="J350" s="10">
        <f>IFERROR(__xludf.DUMMYFUNCTION("""COMPUTED_VALUE"""),45809.0)</f>
        <v>45809</v>
      </c>
      <c r="K350" s="1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9" t="str">
        <f>IFERROR(__xludf.DUMMYFUNCTION("""COMPUTED_VALUE"""),"Hopper")</f>
        <v>Hopper</v>
      </c>
      <c r="B351" s="8" t="str">
        <f>IFERROR(__xludf.DUMMYFUNCTION("""COMPUTED_VALUE"""),"Kenneth")</f>
        <v>Kenneth</v>
      </c>
      <c r="C351" s="8" t="str">
        <f>IFERROR(__xludf.DUMMYFUNCTION("""COMPUTED_VALUE"""),"Indianapolis")</f>
        <v>Indianapolis</v>
      </c>
      <c r="D351" s="8" t="str">
        <f>IFERROR(__xludf.DUMMYFUNCTION("""COMPUTED_VALUE"""),"IN")</f>
        <v>IN</v>
      </c>
      <c r="E351" s="8" t="str">
        <f>IFERROR(__xludf.DUMMYFUNCTION("""COMPUTED_VALUE"""),"USA")</f>
        <v>USA</v>
      </c>
      <c r="F351" s="8" t="str">
        <f>IFERROR(__xludf.DUMMYFUNCTION("""COMPUTED_VALUE"""),"Men Doubles 501")</f>
        <v>Men Doubles 501</v>
      </c>
      <c r="G351" s="8" t="str">
        <f>IFERROR(__xludf.DUMMYFUNCTION("""COMPUTED_VALUE"""),"3rd")</f>
        <v>3rd</v>
      </c>
      <c r="H351" s="8" t="str">
        <f>IFERROR(__xludf.DUMMYFUNCTION("""COMPUTED_VALUE"""),"Indiana BS 34")</f>
        <v>Indiana BS 34</v>
      </c>
      <c r="I351" s="10">
        <f>IFERROR(__xludf.DUMMYFUNCTION("""COMPUTED_VALUE"""),43617.0)</f>
        <v>43617</v>
      </c>
      <c r="J351" s="10">
        <f>IFERROR(__xludf.DUMMYFUNCTION("""COMPUTED_VALUE"""),44713.0)</f>
        <v>44713</v>
      </c>
      <c r="K351" s="11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9" t="str">
        <f>IFERROR(__xludf.DUMMYFUNCTION("""COMPUTED_VALUE"""),"Hopper")</f>
        <v>Hopper</v>
      </c>
      <c r="B352" s="8" t="str">
        <f>IFERROR(__xludf.DUMMYFUNCTION("""COMPUTED_VALUE"""),"Kevin")</f>
        <v>Kevin</v>
      </c>
      <c r="C352" s="8" t="str">
        <f>IFERROR(__xludf.DUMMYFUNCTION("""COMPUTED_VALUE"""),"Fairland")</f>
        <v>Fairland</v>
      </c>
      <c r="D352" s="8" t="str">
        <f>IFERROR(__xludf.DUMMYFUNCTION("""COMPUTED_VALUE"""),"IN")</f>
        <v>IN</v>
      </c>
      <c r="E352" s="8" t="str">
        <f>IFERROR(__xludf.DUMMYFUNCTION("""COMPUTED_VALUE"""),"USA")</f>
        <v>USA</v>
      </c>
      <c r="F352" s="8" t="str">
        <f>IFERROR(__xludf.DUMMYFUNCTION("""COMPUTED_VALUE"""),"Pro Doubles")</f>
        <v>Pro Doubles</v>
      </c>
      <c r="G352" s="8" t="str">
        <f>IFERROR(__xludf.DUMMYFUNCTION("""COMPUTED_VALUE"""),"3rd")</f>
        <v>3rd</v>
      </c>
      <c r="H352" s="8" t="str">
        <f>IFERROR(__xludf.DUMMYFUNCTION("""COMPUTED_VALUE"""),"IN Regional 32")</f>
        <v>IN Regional 32</v>
      </c>
      <c r="I352" s="10">
        <f>IFERROR(__xludf.DUMMYFUNCTION("""COMPUTED_VALUE"""),42887.0)</f>
        <v>42887</v>
      </c>
      <c r="J352" s="10">
        <f>IFERROR(__xludf.DUMMYFUNCTION("""COMPUTED_VALUE"""),43983.0)</f>
        <v>43983</v>
      </c>
      <c r="K352" s="11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9" t="str">
        <f>IFERROR(__xludf.DUMMYFUNCTION("""COMPUTED_VALUE"""),"Horn")</f>
        <v>Horn</v>
      </c>
      <c r="B353" s="8" t="str">
        <f>IFERROR(__xludf.DUMMYFUNCTION("""COMPUTED_VALUE"""),"Jeremy")</f>
        <v>Jeremy</v>
      </c>
      <c r="C353" s="8" t="str">
        <f>IFERROR(__xludf.DUMMYFUNCTION("""COMPUTED_VALUE"""),"Colorado Springs")</f>
        <v>Colorado Springs</v>
      </c>
      <c r="D353" s="8" t="str">
        <f>IFERROR(__xludf.DUMMYFUNCTION("""COMPUTED_VALUE"""),"CO")</f>
        <v>CO</v>
      </c>
      <c r="E353" s="8" t="str">
        <f>IFERROR(__xludf.DUMMYFUNCTION("""COMPUTED_VALUE"""),"USA")</f>
        <v>USA</v>
      </c>
      <c r="F353" s="8" t="str">
        <f>IFERROR(__xludf.DUMMYFUNCTION("""COMPUTED_VALUE"""),"Mens Cricket Doubles")</f>
        <v>Mens Cricket Doubles</v>
      </c>
      <c r="G353" s="8" t="str">
        <f>IFERROR(__xludf.DUMMYFUNCTION("""COMPUTED_VALUE"""),"1st")</f>
        <v>1st</v>
      </c>
      <c r="H353" s="8" t="str">
        <f>IFERROR(__xludf.DUMMYFUNCTION("""COMPUTED_VALUE"""),"FL Regional 33")</f>
        <v>FL Regional 33</v>
      </c>
      <c r="I353" s="10">
        <f>IFERROR(__xludf.DUMMYFUNCTION("""COMPUTED_VALUE"""),43252.0)</f>
        <v>43252</v>
      </c>
      <c r="J353" s="10">
        <f>IFERROR(__xludf.DUMMYFUNCTION("""COMPUTED_VALUE"""),44348.0)</f>
        <v>44348</v>
      </c>
      <c r="K353" s="11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9" t="str">
        <f>IFERROR(__xludf.DUMMYFUNCTION("""COMPUTED_VALUE"""),"Horstman")</f>
        <v>Horstman</v>
      </c>
      <c r="B354" s="8" t="str">
        <f>IFERROR(__xludf.DUMMYFUNCTION("""COMPUTED_VALUE"""),"Jason")</f>
        <v>Jason</v>
      </c>
      <c r="C354" s="8" t="str">
        <f>IFERROR(__xludf.DUMMYFUNCTION("""COMPUTED_VALUE"""),"Dubuque")</f>
        <v>Dubuque</v>
      </c>
      <c r="D354" s="8" t="str">
        <f>IFERROR(__xludf.DUMMYFUNCTION("""COMPUTED_VALUE"""),"IA")</f>
        <v>IA</v>
      </c>
      <c r="E354" s="8" t="str">
        <f>IFERROR(__xludf.DUMMYFUNCTION("""COMPUTED_VALUE"""),"USA")</f>
        <v>USA</v>
      </c>
      <c r="F354" s="8" t="str">
        <f>IFERROR(__xludf.DUMMYFUNCTION("""COMPUTED_VALUE"""),"Pro Cricket Doubles")</f>
        <v>Pro Cricket Doubles</v>
      </c>
      <c r="G354" s="8" t="str">
        <f>IFERROR(__xludf.DUMMYFUNCTION("""COMPUTED_VALUE"""),"1st")</f>
        <v>1st</v>
      </c>
      <c r="H354" s="8" t="str">
        <f>IFERROR(__xludf.DUMMYFUNCTION("""COMPUTED_VALUE"""),"BullShooter 31")</f>
        <v>BullShooter 31</v>
      </c>
      <c r="I354" s="10">
        <f>IFERROR(__xludf.DUMMYFUNCTION("""COMPUTED_VALUE"""),42522.0)</f>
        <v>42522</v>
      </c>
      <c r="J354" s="10">
        <f>IFERROR(__xludf.DUMMYFUNCTION("""COMPUTED_VALUE"""),44713.0)</f>
        <v>44713</v>
      </c>
      <c r="K354" s="11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9" t="str">
        <f>IFERROR(__xludf.DUMMYFUNCTION("""COMPUTED_VALUE"""),"Horstman")</f>
        <v>Horstman</v>
      </c>
      <c r="B355" s="8" t="str">
        <f>IFERROR(__xludf.DUMMYFUNCTION("""COMPUTED_VALUE"""),"Shawn")</f>
        <v>Shawn</v>
      </c>
      <c r="C355" s="8" t="str">
        <f>IFERROR(__xludf.DUMMYFUNCTION("""COMPUTED_VALUE"""),"Guttenberg")</f>
        <v>Guttenberg</v>
      </c>
      <c r="D355" s="8" t="str">
        <f>IFERROR(__xludf.DUMMYFUNCTION("""COMPUTED_VALUE"""),"IA")</f>
        <v>IA</v>
      </c>
      <c r="E355" s="8" t="str">
        <f>IFERROR(__xludf.DUMMYFUNCTION("""COMPUTED_VALUE"""),"USA")</f>
        <v>USA</v>
      </c>
      <c r="F355" s="8" t="str">
        <f>IFERROR(__xludf.DUMMYFUNCTION("""COMPUTED_VALUE"""),"Pro Cricket Doubles")</f>
        <v>Pro Cricket Doubles</v>
      </c>
      <c r="G355" s="8" t="str">
        <f>IFERROR(__xludf.DUMMYFUNCTION("""COMPUTED_VALUE"""),"1st")</f>
        <v>1st</v>
      </c>
      <c r="H355" s="8" t="str">
        <f>IFERROR(__xludf.DUMMYFUNCTION("""COMPUTED_VALUE"""),"BullShooter 31")</f>
        <v>BullShooter 31</v>
      </c>
      <c r="I355" s="10">
        <f>IFERROR(__xludf.DUMMYFUNCTION("""COMPUTED_VALUE"""),42522.0)</f>
        <v>42522</v>
      </c>
      <c r="J355" s="10">
        <f>IFERROR(__xludf.DUMMYFUNCTION("""COMPUTED_VALUE"""),44713.0)</f>
        <v>44713</v>
      </c>
      <c r="K355" s="11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9" t="str">
        <f>IFERROR(__xludf.DUMMYFUNCTION("""COMPUTED_VALUE"""),"Houle")</f>
        <v>Houle</v>
      </c>
      <c r="B356" s="8" t="str">
        <f>IFERROR(__xludf.DUMMYFUNCTION("""COMPUTED_VALUE"""),"Brandon")</f>
        <v>Brandon</v>
      </c>
      <c r="C356" s="8" t="str">
        <f>IFERROR(__xludf.DUMMYFUNCTION("""COMPUTED_VALUE"""),"OshKosh")</f>
        <v>OshKosh</v>
      </c>
      <c r="D356" s="8" t="str">
        <f>IFERROR(__xludf.DUMMYFUNCTION("""COMPUTED_VALUE"""),"WI")</f>
        <v>WI</v>
      </c>
      <c r="E356" s="8" t="str">
        <f>IFERROR(__xludf.DUMMYFUNCTION("""COMPUTED_VALUE"""),"USA")</f>
        <v>USA</v>
      </c>
      <c r="F356" s="8" t="str">
        <f>IFERROR(__xludf.DUMMYFUNCTION("""COMPUTED_VALUE"""),"Men Doubles 501")</f>
        <v>Men Doubles 501</v>
      </c>
      <c r="G356" s="8" t="str">
        <f>IFERROR(__xludf.DUMMYFUNCTION("""COMPUTED_VALUE"""),"3rd")</f>
        <v>3rd</v>
      </c>
      <c r="H356" s="8" t="str">
        <f>IFERROR(__xludf.DUMMYFUNCTION("""COMPUTED_VALUE"""),"Wisconsin BS 34")</f>
        <v>Wisconsin BS 34</v>
      </c>
      <c r="I356" s="10">
        <f>IFERROR(__xludf.DUMMYFUNCTION("""COMPUTED_VALUE"""),43617.0)</f>
        <v>43617</v>
      </c>
      <c r="J356" s="10">
        <f>IFERROR(__xludf.DUMMYFUNCTION("""COMPUTED_VALUE"""),44713.0)</f>
        <v>44713</v>
      </c>
      <c r="K356" s="1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9" t="str">
        <f>IFERROR(__xludf.DUMMYFUNCTION("""COMPUTED_VALUE"""),"Howard")</f>
        <v>Howard</v>
      </c>
      <c r="B357" s="8" t="str">
        <f>IFERROR(__xludf.DUMMYFUNCTION("""COMPUTED_VALUE"""),"Patt")</f>
        <v>Patt</v>
      </c>
      <c r="C357" s="8" t="str">
        <f>IFERROR(__xludf.DUMMYFUNCTION("""COMPUTED_VALUE"""),"")</f>
        <v/>
      </c>
      <c r="D357" s="8" t="str">
        <f>IFERROR(__xludf.DUMMYFUNCTION("""COMPUTED_VALUE"""),"CA")</f>
        <v>CA</v>
      </c>
      <c r="E357" s="8" t="str">
        <f>IFERROR(__xludf.DUMMYFUNCTION("""COMPUTED_VALUE"""),"USA")</f>
        <v>USA</v>
      </c>
      <c r="F357" s="8" t="str">
        <f>IFERROR(__xludf.DUMMYFUNCTION("""COMPUTED_VALUE"""),"Mens Doubles")</f>
        <v>Mens Doubles</v>
      </c>
      <c r="G357" s="8" t="str">
        <f>IFERROR(__xludf.DUMMYFUNCTION("""COMPUTED_VALUE"""),"2nd")</f>
        <v>2nd</v>
      </c>
      <c r="H357" s="8" t="str">
        <f>IFERROR(__xludf.DUMMYFUNCTION("""COMPUTED_VALUE"""),"CA Regional 33")</f>
        <v>CA Regional 33</v>
      </c>
      <c r="I357" s="10">
        <f>IFERROR(__xludf.DUMMYFUNCTION("""COMPUTED_VALUE"""),43252.0)</f>
        <v>43252</v>
      </c>
      <c r="J357" s="10">
        <f>IFERROR(__xludf.DUMMYFUNCTION("""COMPUTED_VALUE"""),44348.0)</f>
        <v>44348</v>
      </c>
      <c r="K357" s="1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9" t="str">
        <f>IFERROR(__xludf.DUMMYFUNCTION("""COMPUTED_VALUE"""),"Hsiao")</f>
        <v>Hsiao</v>
      </c>
      <c r="B358" s="8" t="str">
        <f>IFERROR(__xludf.DUMMYFUNCTION("""COMPUTED_VALUE"""),"Liu Wei")</f>
        <v>Liu Wei</v>
      </c>
      <c r="C358" s="8" t="str">
        <f>IFERROR(__xludf.DUMMYFUNCTION("""COMPUTED_VALUE"""),"")</f>
        <v/>
      </c>
      <c r="D358" s="8" t="str">
        <f>IFERROR(__xludf.DUMMYFUNCTION("""COMPUTED_VALUE"""),"UNK")</f>
        <v>UNK</v>
      </c>
      <c r="E358" s="8" t="str">
        <f>IFERROR(__xludf.DUMMYFUNCTION("""COMPUTED_VALUE"""),"Taiwan")</f>
        <v>Taiwan</v>
      </c>
      <c r="F358" s="8" t="str">
        <f>IFERROR(__xludf.DUMMYFUNCTION("""COMPUTED_VALUE"""),"DL")</f>
        <v>DL</v>
      </c>
      <c r="G358" s="8" t="str">
        <f>IFERROR(__xludf.DUMMYFUNCTION("""COMPUTED_VALUE"""),"51st")</f>
        <v>51st</v>
      </c>
      <c r="H358" s="8" t="str">
        <f>IFERROR(__xludf.DUMMYFUNCTION("""COMPUTED_VALUE"""),"DL")</f>
        <v>DL</v>
      </c>
      <c r="I358" s="10">
        <f>IFERROR(__xludf.DUMMYFUNCTION("""COMPUTED_VALUE"""),42401.0)</f>
        <v>42401</v>
      </c>
      <c r="J358" s="10">
        <f>IFERROR(__xludf.DUMMYFUNCTION("""COMPUTED_VALUE"""),44713.0)</f>
        <v>44713</v>
      </c>
      <c r="K358" s="11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9" t="str">
        <f>IFERROR(__xludf.DUMMYFUNCTION("""COMPUTED_VALUE"""),"Hubbard")</f>
        <v>Hubbard</v>
      </c>
      <c r="B359" s="8" t="str">
        <f>IFERROR(__xludf.DUMMYFUNCTION("""COMPUTED_VALUE"""),"James")</f>
        <v>James</v>
      </c>
      <c r="C359" s="8" t="str">
        <f>IFERROR(__xludf.DUMMYFUNCTION("""COMPUTED_VALUE"""),"")</f>
        <v/>
      </c>
      <c r="D359" s="8" t="str">
        <f>IFERROR(__xludf.DUMMYFUNCTION("""COMPUTED_VALUE"""),"UNK")</f>
        <v>UNK</v>
      </c>
      <c r="E359" s="8" t="str">
        <f>IFERROR(__xludf.DUMMYFUNCTION("""COMPUTED_VALUE"""),"England")</f>
        <v>England</v>
      </c>
      <c r="F359" s="8" t="str">
        <f>IFERROR(__xludf.DUMMYFUNCTION("""COMPUTED_VALUE"""),"PDC Merit Ranking")</f>
        <v>PDC Merit Ranking</v>
      </c>
      <c r="G359" s="8" t="str">
        <f>IFERROR(__xludf.DUMMYFUNCTION("""COMPUTED_VALUE"""),"48th")</f>
        <v>48th</v>
      </c>
      <c r="H359" s="8" t="str">
        <f>IFERROR(__xludf.DUMMYFUNCTION("""COMPUTED_VALUE"""),"Off AA List")</f>
        <v>Off AA List</v>
      </c>
      <c r="I359" s="10">
        <f>IFERROR(__xludf.DUMMYFUNCTION("""COMPUTED_VALUE"""),42887.0)</f>
        <v>42887</v>
      </c>
      <c r="J359" s="10">
        <f>IFERROR(__xludf.DUMMYFUNCTION("""COMPUTED_VALUE"""),43983.0)</f>
        <v>43983</v>
      </c>
      <c r="K359" s="11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9" t="str">
        <f>IFERROR(__xludf.DUMMYFUNCTION("""COMPUTED_VALUE"""),"Hubbard")</f>
        <v>Hubbard</v>
      </c>
      <c r="B360" s="8" t="str">
        <f>IFERROR(__xludf.DUMMYFUNCTION("""COMPUTED_VALUE"""),"Jeff")</f>
        <v>Jeff</v>
      </c>
      <c r="C360" s="8" t="str">
        <f>IFERROR(__xludf.DUMMYFUNCTION("""COMPUTED_VALUE"""),"")</f>
        <v/>
      </c>
      <c r="D360" s="8" t="str">
        <f>IFERROR(__xludf.DUMMYFUNCTION("""COMPUTED_VALUE"""),"CA")</f>
        <v>CA</v>
      </c>
      <c r="E360" s="8" t="str">
        <f>IFERROR(__xludf.DUMMYFUNCTION("""COMPUTED_VALUE"""),"USA")</f>
        <v>USA</v>
      </c>
      <c r="F360" s="8" t="str">
        <f>IFERROR(__xludf.DUMMYFUNCTION("""COMPUTED_VALUE"""),"Mens Cricket Dobles")</f>
        <v>Mens Cricket Dobles</v>
      </c>
      <c r="G360" s="8" t="str">
        <f>IFERROR(__xludf.DUMMYFUNCTION("""COMPUTED_VALUE"""),"1st")</f>
        <v>1st</v>
      </c>
      <c r="H360" s="8" t="str">
        <f>IFERROR(__xludf.DUMMYFUNCTION("""COMPUTED_VALUE"""),"CA Regional 33")</f>
        <v>CA Regional 33</v>
      </c>
      <c r="I360" s="10">
        <f>IFERROR(__xludf.DUMMYFUNCTION("""COMPUTED_VALUE"""),43252.0)</f>
        <v>43252</v>
      </c>
      <c r="J360" s="10">
        <f>IFERROR(__xludf.DUMMYFUNCTION("""COMPUTED_VALUE"""),44348.0)</f>
        <v>44348</v>
      </c>
      <c r="K360" s="1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9" t="str">
        <f>IFERROR(__xludf.DUMMYFUNCTION("""COMPUTED_VALUE"""),"Hudgens")</f>
        <v>Hudgens</v>
      </c>
      <c r="B361" s="8" t="str">
        <f>IFERROR(__xludf.DUMMYFUNCTION("""COMPUTED_VALUE"""),"Clayton")</f>
        <v>Clayton</v>
      </c>
      <c r="C361" s="8" t="str">
        <f>IFERROR(__xludf.DUMMYFUNCTION("""COMPUTED_VALUE"""),"Kansas City")</f>
        <v>Kansas City</v>
      </c>
      <c r="D361" s="8" t="str">
        <f>IFERROR(__xludf.DUMMYFUNCTION("""COMPUTED_VALUE"""),"MO")</f>
        <v>MO</v>
      </c>
      <c r="E361" s="8" t="str">
        <f>IFERROR(__xludf.DUMMYFUNCTION("""COMPUTED_VALUE"""),"USA")</f>
        <v>USA</v>
      </c>
      <c r="F361" s="8" t="str">
        <f>IFERROR(__xludf.DUMMYFUNCTION("""COMPUTED_VALUE"""),"Mens Doubles")</f>
        <v>Mens Doubles</v>
      </c>
      <c r="G361" s="8" t="str">
        <f>IFERROR(__xludf.DUMMYFUNCTION("""COMPUTED_VALUE"""),"1st")</f>
        <v>1st</v>
      </c>
      <c r="H361" s="8" t="str">
        <f>IFERROR(__xludf.DUMMYFUNCTION("""COMPUTED_VALUE"""),"NE Regional 32")</f>
        <v>NE Regional 32</v>
      </c>
      <c r="I361" s="10">
        <f>IFERROR(__xludf.DUMMYFUNCTION("""COMPUTED_VALUE"""),42887.0)</f>
        <v>42887</v>
      </c>
      <c r="J361" s="10">
        <f>IFERROR(__xludf.DUMMYFUNCTION("""COMPUTED_VALUE"""),43983.0)</f>
        <v>43983</v>
      </c>
      <c r="K361" s="1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9" t="str">
        <f>IFERROR(__xludf.DUMMYFUNCTION("""COMPUTED_VALUE"""),"Huerta")</f>
        <v>Huerta</v>
      </c>
      <c r="B362" s="8" t="str">
        <f>IFERROR(__xludf.DUMMYFUNCTION("""COMPUTED_VALUE"""),"Gilberto")</f>
        <v>Gilberto</v>
      </c>
      <c r="C362" s="8" t="str">
        <f>IFERROR(__xludf.DUMMYFUNCTION("""COMPUTED_VALUE"""),"Kingston")</f>
        <v>Kingston</v>
      </c>
      <c r="D362" s="8" t="str">
        <f>IFERROR(__xludf.DUMMYFUNCTION("""COMPUTED_VALUE"""),"IL")</f>
        <v>IL</v>
      </c>
      <c r="E362" s="8" t="str">
        <f>IFERROR(__xludf.DUMMYFUNCTION("""COMPUTED_VALUE"""),"USA")</f>
        <v>USA</v>
      </c>
      <c r="F362" s="8" t="str">
        <f>IFERROR(__xludf.DUMMYFUNCTION("""COMPUTED_VALUE"""),"Pro Cricket Doubles")</f>
        <v>Pro Cricket Doubles</v>
      </c>
      <c r="G362" s="8" t="str">
        <f>IFERROR(__xludf.DUMMYFUNCTION("""COMPUTED_VALUE"""),"4th")</f>
        <v>4th</v>
      </c>
      <c r="H362" s="8" t="str">
        <f>IFERROR(__xludf.DUMMYFUNCTION("""COMPUTED_VALUE"""),"BullShooter 31")</f>
        <v>BullShooter 31</v>
      </c>
      <c r="I362" s="10">
        <f>IFERROR(__xludf.DUMMYFUNCTION("""COMPUTED_VALUE"""),42522.0)</f>
        <v>42522</v>
      </c>
      <c r="J362" s="10">
        <f>IFERROR(__xludf.DUMMYFUNCTION("""COMPUTED_VALUE"""),44713.0)</f>
        <v>44713</v>
      </c>
      <c r="K362" s="11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9" t="str">
        <f>IFERROR(__xludf.DUMMYFUNCTION("""COMPUTED_VALUE"""),"Huertas")</f>
        <v>Huertas</v>
      </c>
      <c r="B363" s="8" t="str">
        <f>IFERROR(__xludf.DUMMYFUNCTION("""COMPUTED_VALUE"""),"Juan")</f>
        <v>Juan</v>
      </c>
      <c r="C363" s="8" t="str">
        <f>IFERROR(__xludf.DUMMYFUNCTION("""COMPUTED_VALUE"""),"")</f>
        <v/>
      </c>
      <c r="D363" s="8" t="str">
        <f>IFERROR(__xludf.DUMMYFUNCTION("""COMPUTED_VALUE"""),"UNK")</f>
        <v>UNK</v>
      </c>
      <c r="E363" s="8" t="str">
        <f>IFERROR(__xludf.DUMMYFUNCTION("""COMPUTED_VALUE"""),"Spain")</f>
        <v>Spain</v>
      </c>
      <c r="F363" s="8" t="str">
        <f>IFERROR(__xludf.DUMMYFUNCTION("""COMPUTED_VALUE"""),"Pro Doubles")</f>
        <v>Pro Doubles</v>
      </c>
      <c r="G363" s="8" t="str">
        <f>IFERROR(__xludf.DUMMYFUNCTION("""COMPUTED_VALUE"""),"1st")</f>
        <v>1st</v>
      </c>
      <c r="H363" s="8" t="str">
        <f>IFERROR(__xludf.DUMMYFUNCTION("""COMPUTED_VALUE"""),"Off AA List")</f>
        <v>Off AA List</v>
      </c>
      <c r="I363" s="10">
        <f>IFERROR(__xludf.DUMMYFUNCTION("""COMPUTED_VALUE"""),42887.0)</f>
        <v>42887</v>
      </c>
      <c r="J363" s="10">
        <f>IFERROR(__xludf.DUMMYFUNCTION("""COMPUTED_VALUE"""),43983.0)</f>
        <v>43983</v>
      </c>
      <c r="K363" s="11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9" t="str">
        <f>IFERROR(__xludf.DUMMYFUNCTION("""COMPUTED_VALUE"""),"Hughes")</f>
        <v>Hughes</v>
      </c>
      <c r="B364" s="8" t="str">
        <f>IFERROR(__xludf.DUMMYFUNCTION("""COMPUTED_VALUE"""),"Gregory")</f>
        <v>Gregory</v>
      </c>
      <c r="C364" s="8" t="str">
        <f>IFERROR(__xludf.DUMMYFUNCTION("""COMPUTED_VALUE"""),"Lakeview")</f>
        <v>Lakeview</v>
      </c>
      <c r="D364" s="8" t="str">
        <f>IFERROR(__xludf.DUMMYFUNCTION("""COMPUTED_VALUE"""),"OH")</f>
        <v>OH</v>
      </c>
      <c r="E364" s="8" t="str">
        <f>IFERROR(__xludf.DUMMYFUNCTION("""COMPUTED_VALUE"""),"USA")</f>
        <v>USA</v>
      </c>
      <c r="F364" s="8" t="str">
        <f>IFERROR(__xludf.DUMMYFUNCTION("""COMPUTED_VALUE"""),"Men Doubles Cricket")</f>
        <v>Men Doubles Cricket</v>
      </c>
      <c r="G364" s="8" t="str">
        <f>IFERROR(__xludf.DUMMYFUNCTION("""COMPUTED_VALUE"""),"2nd")</f>
        <v>2nd</v>
      </c>
      <c r="H364" s="8" t="str">
        <f>IFERROR(__xludf.DUMMYFUNCTION("""COMPUTED_VALUE"""),"New York BS 34")</f>
        <v>New York BS 34</v>
      </c>
      <c r="I364" s="10">
        <f>IFERROR(__xludf.DUMMYFUNCTION("""COMPUTED_VALUE"""),43617.0)</f>
        <v>43617</v>
      </c>
      <c r="J364" s="10">
        <f>IFERROR(__xludf.DUMMYFUNCTION("""COMPUTED_VALUE"""),44713.0)</f>
        <v>44713</v>
      </c>
      <c r="K364" s="11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9" t="str">
        <f>IFERROR(__xludf.DUMMYFUNCTION("""COMPUTED_VALUE"""),"Hughes")</f>
        <v>Hughes</v>
      </c>
      <c r="B365" s="8" t="str">
        <f>IFERROR(__xludf.DUMMYFUNCTION("""COMPUTED_VALUE"""),"Jamie")</f>
        <v>Jamie</v>
      </c>
      <c r="C365" s="8" t="str">
        <f>IFERROR(__xludf.DUMMYFUNCTION("""COMPUTED_VALUE"""),"")</f>
        <v/>
      </c>
      <c r="D365" s="8" t="str">
        <f>IFERROR(__xludf.DUMMYFUNCTION("""COMPUTED_VALUE"""),"UNK")</f>
        <v>UNK</v>
      </c>
      <c r="E365" s="8" t="str">
        <f>IFERROR(__xludf.DUMMYFUNCTION("""COMPUTED_VALUE"""),"England")</f>
        <v>England</v>
      </c>
      <c r="F365" s="8" t="str">
        <f>IFERROR(__xludf.DUMMYFUNCTION("""COMPUTED_VALUE"""),"PDC Merit Ranking")</f>
        <v>PDC Merit Ranking</v>
      </c>
      <c r="G365" s="8" t="str">
        <f>IFERROR(__xludf.DUMMYFUNCTION("""COMPUTED_VALUE"""),"57th")</f>
        <v>57th</v>
      </c>
      <c r="H365" s="8" t="str">
        <f>IFERROR(__xludf.DUMMYFUNCTION("""COMPUTED_VALUE"""),"PDC Merit Ranking")</f>
        <v>PDC Merit Ranking</v>
      </c>
      <c r="I365" s="10">
        <f>IFERROR(__xludf.DUMMYFUNCTION("""COMPUTED_VALUE"""),42401.0)</f>
        <v>42401</v>
      </c>
      <c r="J365" s="10">
        <f>IFERROR(__xludf.DUMMYFUNCTION("""COMPUTED_VALUE"""),44713.0)</f>
        <v>44713</v>
      </c>
      <c r="K365" s="11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9" t="str">
        <f>IFERROR(__xludf.DUMMYFUNCTION("""COMPUTED_VALUE"""),"Humphries")</f>
        <v>Humphries</v>
      </c>
      <c r="B366" s="8" t="str">
        <f>IFERROR(__xludf.DUMMYFUNCTION("""COMPUTED_VALUE"""),"Nate")</f>
        <v>Nate</v>
      </c>
      <c r="C366" s="8" t="str">
        <f>IFERROR(__xludf.DUMMYFUNCTION("""COMPUTED_VALUE"""),"")</f>
        <v/>
      </c>
      <c r="D366" s="8" t="str">
        <f>IFERROR(__xludf.DUMMYFUNCTION("""COMPUTED_VALUE"""),"")</f>
        <v/>
      </c>
      <c r="E366" s="8" t="str">
        <f>IFERROR(__xludf.DUMMYFUNCTION("""COMPUTED_VALUE"""),"Canada")</f>
        <v>Canada</v>
      </c>
      <c r="F366" s="8" t="str">
        <f>IFERROR(__xludf.DUMMYFUNCTION("""COMPUTED_VALUE"""),"Mens Cricket Doubles")</f>
        <v>Mens Cricket Doubles</v>
      </c>
      <c r="G366" s="8" t="str">
        <f>IFERROR(__xludf.DUMMYFUNCTION("""COMPUTED_VALUE"""),"3rd")</f>
        <v>3rd</v>
      </c>
      <c r="H366" s="8" t="str">
        <f>IFERROR(__xludf.DUMMYFUNCTION("""COMPUTED_VALUE"""),"NY Regional 33")</f>
        <v>NY Regional 33</v>
      </c>
      <c r="I366" s="10">
        <f>IFERROR(__xludf.DUMMYFUNCTION("""COMPUTED_VALUE"""),43252.0)</f>
        <v>43252</v>
      </c>
      <c r="J366" s="10">
        <f>IFERROR(__xludf.DUMMYFUNCTION("""COMPUTED_VALUE"""),44348.0)</f>
        <v>44348</v>
      </c>
      <c r="K366" s="1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9" t="str">
        <f>IFERROR(__xludf.DUMMYFUNCTION("""COMPUTED_VALUE"""),"Hunckler")</f>
        <v>Hunckler</v>
      </c>
      <c r="B367" s="8" t="str">
        <f>IFERROR(__xludf.DUMMYFUNCTION("""COMPUTED_VALUE"""),"Craig")</f>
        <v>Craig</v>
      </c>
      <c r="C367" s="8" t="str">
        <f>IFERROR(__xludf.DUMMYFUNCTION("""COMPUTED_VALUE"""),"Vincennes")</f>
        <v>Vincennes</v>
      </c>
      <c r="D367" s="8" t="str">
        <f>IFERROR(__xludf.DUMMYFUNCTION("""COMPUTED_VALUE"""),"IN")</f>
        <v>IN</v>
      </c>
      <c r="E367" s="8" t="str">
        <f>IFERROR(__xludf.DUMMYFUNCTION("""COMPUTED_VALUE"""),"USA")</f>
        <v>USA</v>
      </c>
      <c r="F367" s="8" t="str">
        <f>IFERROR(__xludf.DUMMYFUNCTION("""COMPUTED_VALUE"""),"Mens Cricket Doubles")</f>
        <v>Mens Cricket Doubles</v>
      </c>
      <c r="G367" s="8" t="str">
        <f>IFERROR(__xludf.DUMMYFUNCTION("""COMPUTED_VALUE"""),"2nd")</f>
        <v>2nd</v>
      </c>
      <c r="H367" s="8" t="str">
        <f>IFERROR(__xludf.DUMMYFUNCTION("""COMPUTED_VALUE"""),"IN Regional 32")</f>
        <v>IN Regional 32</v>
      </c>
      <c r="I367" s="10">
        <f>IFERROR(__xludf.DUMMYFUNCTION("""COMPUTED_VALUE"""),42887.0)</f>
        <v>42887</v>
      </c>
      <c r="J367" s="10">
        <f>IFERROR(__xludf.DUMMYFUNCTION("""COMPUTED_VALUE"""),43983.0)</f>
        <v>43983</v>
      </c>
      <c r="K367" s="1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9" t="str">
        <f>IFERROR(__xludf.DUMMYFUNCTION("""COMPUTED_VALUE"""),"Hunckler")</f>
        <v>Hunckler</v>
      </c>
      <c r="B368" s="8" t="str">
        <f>IFERROR(__xludf.DUMMYFUNCTION("""COMPUTED_VALUE"""),"Curt")</f>
        <v>Curt</v>
      </c>
      <c r="C368" s="8" t="str">
        <f>IFERROR(__xludf.DUMMYFUNCTION("""COMPUTED_VALUE"""),"Vincennes")</f>
        <v>Vincennes</v>
      </c>
      <c r="D368" s="8" t="str">
        <f>IFERROR(__xludf.DUMMYFUNCTION("""COMPUTED_VALUE"""),"IN")</f>
        <v>IN</v>
      </c>
      <c r="E368" s="8" t="str">
        <f>IFERROR(__xludf.DUMMYFUNCTION("""COMPUTED_VALUE"""),"USA")</f>
        <v>USA</v>
      </c>
      <c r="F368" s="8" t="str">
        <f>IFERROR(__xludf.DUMMYFUNCTION("""COMPUTED_VALUE"""),"Mens Cricket Doubles")</f>
        <v>Mens Cricket Doubles</v>
      </c>
      <c r="G368" s="8" t="str">
        <f>IFERROR(__xludf.DUMMYFUNCTION("""COMPUTED_VALUE"""),"2nd")</f>
        <v>2nd</v>
      </c>
      <c r="H368" s="8" t="str">
        <f>IFERROR(__xludf.DUMMYFUNCTION("""COMPUTED_VALUE"""),"IN Regional 32")</f>
        <v>IN Regional 32</v>
      </c>
      <c r="I368" s="10">
        <f>IFERROR(__xludf.DUMMYFUNCTION("""COMPUTED_VALUE"""),42887.0)</f>
        <v>42887</v>
      </c>
      <c r="J368" s="10">
        <f>IFERROR(__xludf.DUMMYFUNCTION("""COMPUTED_VALUE"""),43983.0)</f>
        <v>43983</v>
      </c>
      <c r="K368" s="1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9" t="str">
        <f>IFERROR(__xludf.DUMMYFUNCTION("""COMPUTED_VALUE"""),"Hunt")</f>
        <v>Hunt</v>
      </c>
      <c r="B369" s="8" t="str">
        <f>IFERROR(__xludf.DUMMYFUNCTION("""COMPUTED_VALUE"""),"Adam")</f>
        <v>Adam</v>
      </c>
      <c r="C369" s="8" t="str">
        <f>IFERROR(__xludf.DUMMYFUNCTION("""COMPUTED_VALUE"""),"")</f>
        <v/>
      </c>
      <c r="D369" s="8" t="str">
        <f>IFERROR(__xludf.DUMMYFUNCTION("""COMPUTED_VALUE"""),"UNK")</f>
        <v>UNK</v>
      </c>
      <c r="E369" s="8" t="str">
        <f>IFERROR(__xludf.DUMMYFUNCTION("""COMPUTED_VALUE"""),"England")</f>
        <v>England</v>
      </c>
      <c r="F369" s="8" t="str">
        <f>IFERROR(__xludf.DUMMYFUNCTION("""COMPUTED_VALUE"""),"PDC Merit Ranking")</f>
        <v>PDC Merit Ranking</v>
      </c>
      <c r="G369" s="8" t="str">
        <f>IFERROR(__xludf.DUMMYFUNCTION("""COMPUTED_VALUE"""),"88th")</f>
        <v>88th</v>
      </c>
      <c r="H369" s="8" t="str">
        <f>IFERROR(__xludf.DUMMYFUNCTION("""COMPUTED_VALUE"""),"PDC Merit Ranking")</f>
        <v>PDC Merit Ranking</v>
      </c>
      <c r="I369" s="10">
        <f>IFERROR(__xludf.DUMMYFUNCTION("""COMPUTED_VALUE"""),42401.0)</f>
        <v>42401</v>
      </c>
      <c r="J369" s="10">
        <f>IFERROR(__xludf.DUMMYFUNCTION("""COMPUTED_VALUE"""),44713.0)</f>
        <v>44713</v>
      </c>
      <c r="K369" s="1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9" t="str">
        <f>IFERROR(__xludf.DUMMYFUNCTION("""COMPUTED_VALUE"""),"Hunt")</f>
        <v>Hunt</v>
      </c>
      <c r="B370" s="8" t="str">
        <f>IFERROR(__xludf.DUMMYFUNCTION("""COMPUTED_VALUE"""),"Rod")</f>
        <v>Rod</v>
      </c>
      <c r="C370" s="8" t="str">
        <f>IFERROR(__xludf.DUMMYFUNCTION("""COMPUTED_VALUE"""),"Las Vegas")</f>
        <v>Las Vegas</v>
      </c>
      <c r="D370" s="8" t="str">
        <f>IFERROR(__xludf.DUMMYFUNCTION("""COMPUTED_VALUE"""),"NV")</f>
        <v>NV</v>
      </c>
      <c r="E370" s="8" t="str">
        <f>IFERROR(__xludf.DUMMYFUNCTION("""COMPUTED_VALUE"""),"USA")</f>
        <v>USA</v>
      </c>
      <c r="F370" s="8" t="str">
        <f>IFERROR(__xludf.DUMMYFUNCTION("""COMPUTED_VALUE"""),"Mens Doubles")</f>
        <v>Mens Doubles</v>
      </c>
      <c r="G370" s="8" t="str">
        <f>IFERROR(__xludf.DUMMYFUNCTION("""COMPUTED_VALUE"""),"1st")</f>
        <v>1st</v>
      </c>
      <c r="H370" s="8" t="str">
        <f>IFERROR(__xludf.DUMMYFUNCTION("""COMPUTED_VALUE"""),"NV Regional 32")</f>
        <v>NV Regional 32</v>
      </c>
      <c r="I370" s="10">
        <f>IFERROR(__xludf.DUMMYFUNCTION("""COMPUTED_VALUE"""),42887.0)</f>
        <v>42887</v>
      </c>
      <c r="J370" s="10">
        <f>IFERROR(__xludf.DUMMYFUNCTION("""COMPUTED_VALUE"""),43983.0)</f>
        <v>43983</v>
      </c>
      <c r="K370" s="1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9" t="str">
        <f>IFERROR(__xludf.DUMMYFUNCTION("""COMPUTED_VALUE"""),"Hunter")</f>
        <v>Hunter</v>
      </c>
      <c r="B371" s="8" t="str">
        <f>IFERROR(__xludf.DUMMYFUNCTION("""COMPUTED_VALUE"""),"Devin")</f>
        <v>Devin</v>
      </c>
      <c r="C371" s="8" t="str">
        <f>IFERROR(__xludf.DUMMYFUNCTION("""COMPUTED_VALUE"""),"Sioux Falls")</f>
        <v>Sioux Falls</v>
      </c>
      <c r="D371" s="8" t="str">
        <f>IFERROR(__xludf.DUMMYFUNCTION("""COMPUTED_VALUE"""),"SD")</f>
        <v>SD</v>
      </c>
      <c r="E371" s="8" t="str">
        <f>IFERROR(__xludf.DUMMYFUNCTION("""COMPUTED_VALUE"""),"USA")</f>
        <v>USA</v>
      </c>
      <c r="F371" s="8" t="str">
        <f>IFERROR(__xludf.DUMMYFUNCTION("""COMPUTED_VALUE"""),"Men 501 Singles")</f>
        <v>Men 501 Singles</v>
      </c>
      <c r="G371" s="8" t="str">
        <f>IFERROR(__xludf.DUMMYFUNCTION("""COMPUTED_VALUE"""),"1st")</f>
        <v>1st</v>
      </c>
      <c r="H371" s="8" t="str">
        <f>IFERROR(__xludf.DUMMYFUNCTION("""COMPUTED_VALUE"""),"BullShooter 34 Finals")</f>
        <v>BullShooter 34 Finals</v>
      </c>
      <c r="I371" s="10">
        <f>IFERROR(__xludf.DUMMYFUNCTION("""COMPUTED_VALUE"""),43617.0)</f>
        <v>43617</v>
      </c>
      <c r="J371" s="10">
        <f>IFERROR(__xludf.DUMMYFUNCTION("""COMPUTED_VALUE"""),44713.0)</f>
        <v>44713</v>
      </c>
      <c r="K371" s="11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9" t="str">
        <f>IFERROR(__xludf.DUMMYFUNCTION("""COMPUTED_VALUE"""),"Hunter")</f>
        <v>Hunter</v>
      </c>
      <c r="B372" s="8" t="str">
        <f>IFERROR(__xludf.DUMMYFUNCTION("""COMPUTED_VALUE"""),"Nicholas")</f>
        <v>Nicholas</v>
      </c>
      <c r="C372" s="8" t="str">
        <f>IFERROR(__xludf.DUMMYFUNCTION("""COMPUTED_VALUE"""),"Auburndale")</f>
        <v>Auburndale</v>
      </c>
      <c r="D372" s="8" t="str">
        <f>IFERROR(__xludf.DUMMYFUNCTION("""COMPUTED_VALUE"""),"FL")</f>
        <v>FL</v>
      </c>
      <c r="E372" s="8" t="str">
        <f>IFERROR(__xludf.DUMMYFUNCTION("""COMPUTED_VALUE"""),"USA")</f>
        <v>USA</v>
      </c>
      <c r="F372" s="8" t="str">
        <f>IFERROR(__xludf.DUMMYFUNCTION("""COMPUTED_VALUE"""),"Men Doubles Cricket")</f>
        <v>Men Doubles Cricket</v>
      </c>
      <c r="G372" s="8" t="str">
        <f>IFERROR(__xludf.DUMMYFUNCTION("""COMPUTED_VALUE"""),"2nd")</f>
        <v>2nd</v>
      </c>
      <c r="H372" s="8" t="str">
        <f>IFERROR(__xludf.DUMMYFUNCTION("""COMPUTED_VALUE"""),"Tennessee BS 34")</f>
        <v>Tennessee BS 34</v>
      </c>
      <c r="I372" s="10">
        <f>IFERROR(__xludf.DUMMYFUNCTION("""COMPUTED_VALUE"""),43617.0)</f>
        <v>43617</v>
      </c>
      <c r="J372" s="10">
        <f>IFERROR(__xludf.DUMMYFUNCTION("""COMPUTED_VALUE"""),44713.0)</f>
        <v>44713</v>
      </c>
      <c r="K372" s="11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9" t="str">
        <f>IFERROR(__xludf.DUMMYFUNCTION("""COMPUTED_VALUE"""),"Hurd")</f>
        <v>Hurd</v>
      </c>
      <c r="B373" s="8" t="str">
        <f>IFERROR(__xludf.DUMMYFUNCTION("""COMPUTED_VALUE"""),"Chris")</f>
        <v>Chris</v>
      </c>
      <c r="C373" s="8" t="str">
        <f>IFERROR(__xludf.DUMMYFUNCTION("""COMPUTED_VALUE"""),"Hamilton")</f>
        <v>Hamilton</v>
      </c>
      <c r="D373" s="8" t="str">
        <f>IFERROR(__xludf.DUMMYFUNCTION("""COMPUTED_VALUE"""),"OH")</f>
        <v>OH</v>
      </c>
      <c r="E373" s="8" t="str">
        <f>IFERROR(__xludf.DUMMYFUNCTION("""COMPUTED_VALUE"""),"USA")</f>
        <v>USA</v>
      </c>
      <c r="F373" s="8" t="str">
        <f>IFERROR(__xludf.DUMMYFUNCTION("""COMPUTED_VALUE"""),"Pro/Am Cricket")</f>
        <v>Pro/Am Cricket</v>
      </c>
      <c r="G373" s="8" t="str">
        <f>IFERROR(__xludf.DUMMYFUNCTION("""COMPUTED_VALUE"""),"1st")</f>
        <v>1st</v>
      </c>
      <c r="H373" s="8" t="str">
        <f>IFERROR(__xludf.DUMMYFUNCTION("""COMPUTED_VALUE"""),"OH Regional 33")</f>
        <v>OH Regional 33</v>
      </c>
      <c r="I373" s="10">
        <f>IFERROR(__xludf.DUMMYFUNCTION("""COMPUTED_VALUE"""),43252.0)</f>
        <v>43252</v>
      </c>
      <c r="J373" s="10">
        <f>IFERROR(__xludf.DUMMYFUNCTION("""COMPUTED_VALUE"""),44348.0)</f>
        <v>44348</v>
      </c>
      <c r="K373" s="11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9" t="str">
        <f>IFERROR(__xludf.DUMMYFUNCTION("""COMPUTED_VALUE"""),"Huskin")</f>
        <v>Huskin</v>
      </c>
      <c r="B374" s="8" t="str">
        <f>IFERROR(__xludf.DUMMYFUNCTION("""COMPUTED_VALUE"""),"James")</f>
        <v>James</v>
      </c>
      <c r="C374" s="8" t="str">
        <f>IFERROR(__xludf.DUMMYFUNCTION("""COMPUTED_VALUE"""),"Battle Creek")</f>
        <v>Battle Creek</v>
      </c>
      <c r="D374" s="8" t="str">
        <f>IFERROR(__xludf.DUMMYFUNCTION("""COMPUTED_VALUE"""),"MI")</f>
        <v>MI</v>
      </c>
      <c r="E374" s="8" t="str">
        <f>IFERROR(__xludf.DUMMYFUNCTION("""COMPUTED_VALUE"""),"USA")</f>
        <v>USA</v>
      </c>
      <c r="F374" s="8" t="str">
        <f>IFERROR(__xludf.DUMMYFUNCTION("""COMPUTED_VALUE"""),"Pro/Am Cricket")</f>
        <v>Pro/Am Cricket</v>
      </c>
      <c r="G374" s="8" t="str">
        <f>IFERROR(__xludf.DUMMYFUNCTION("""COMPUTED_VALUE"""),"3rd")</f>
        <v>3rd</v>
      </c>
      <c r="H374" s="8" t="str">
        <f>IFERROR(__xludf.DUMMYFUNCTION("""COMPUTED_VALUE"""),"WI Regional 33")</f>
        <v>WI Regional 33</v>
      </c>
      <c r="I374" s="10">
        <f>IFERROR(__xludf.DUMMYFUNCTION("""COMPUTED_VALUE"""),43252.0)</f>
        <v>43252</v>
      </c>
      <c r="J374" s="10">
        <f>IFERROR(__xludf.DUMMYFUNCTION("""COMPUTED_VALUE"""),44348.0)</f>
        <v>44348</v>
      </c>
      <c r="K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9" t="str">
        <f>IFERROR(__xludf.DUMMYFUNCTION("""COMPUTED_VALUE"""),"Husman")</f>
        <v>Husman</v>
      </c>
      <c r="B375" s="8" t="str">
        <f>IFERROR(__xludf.DUMMYFUNCTION("""COMPUTED_VALUE"""),"John")</f>
        <v>John</v>
      </c>
      <c r="C375" s="8" t="str">
        <f>IFERROR(__xludf.DUMMYFUNCTION("""COMPUTED_VALUE"""),"Puyallup")</f>
        <v>Puyallup</v>
      </c>
      <c r="D375" s="8" t="str">
        <f>IFERROR(__xludf.DUMMYFUNCTION("""COMPUTED_VALUE"""),"WA")</f>
        <v>WA</v>
      </c>
      <c r="E375" s="8" t="str">
        <f>IFERROR(__xludf.DUMMYFUNCTION("""COMPUTED_VALUE"""),"USA")</f>
        <v>USA</v>
      </c>
      <c r="F375" s="8" t="str">
        <f>IFERROR(__xludf.DUMMYFUNCTION("""COMPUTED_VALUE"""),"Pro/Am Cricket")</f>
        <v>Pro/Am Cricket</v>
      </c>
      <c r="G375" s="8" t="str">
        <f>IFERROR(__xludf.DUMMYFUNCTION("""COMPUTED_VALUE"""),"1st")</f>
        <v>1st</v>
      </c>
      <c r="H375" s="8" t="str">
        <f>IFERROR(__xludf.DUMMYFUNCTION("""COMPUTED_VALUE"""),"Known Ability")</f>
        <v>Known Ability</v>
      </c>
      <c r="I375" s="10">
        <f>IFERROR(__xludf.DUMMYFUNCTION("""COMPUTED_VALUE"""),42887.0)</f>
        <v>42887</v>
      </c>
      <c r="J375" s="10">
        <f>IFERROR(__xludf.DUMMYFUNCTION("""COMPUTED_VALUE"""),45809.0)</f>
        <v>45809</v>
      </c>
      <c r="K375" s="11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9" t="str">
        <f>IFERROR(__xludf.DUMMYFUNCTION("""COMPUTED_VALUE"""),"Iceman")</f>
        <v>Iceman</v>
      </c>
      <c r="B376" s="8" t="str">
        <f>IFERROR(__xludf.DUMMYFUNCTION("""COMPUTED_VALUE"""),"Matt")</f>
        <v>Matt</v>
      </c>
      <c r="C376" s="8" t="str">
        <f>IFERROR(__xludf.DUMMYFUNCTION("""COMPUTED_VALUE"""),"Ashland")</f>
        <v>Ashland</v>
      </c>
      <c r="D376" s="8" t="str">
        <f>IFERROR(__xludf.DUMMYFUNCTION("""COMPUTED_VALUE"""),"OH")</f>
        <v>OH</v>
      </c>
      <c r="E376" s="8" t="str">
        <f>IFERROR(__xludf.DUMMYFUNCTION("""COMPUTED_VALUE"""),"USA")</f>
        <v>USA</v>
      </c>
      <c r="F376" s="8" t="str">
        <f>IFERROR(__xludf.DUMMYFUNCTION("""COMPUTED_VALUE"""),"Pro Doubles")</f>
        <v>Pro Doubles</v>
      </c>
      <c r="G376" s="8" t="str">
        <f>IFERROR(__xludf.DUMMYFUNCTION("""COMPUTED_VALUE"""),"2nd")</f>
        <v>2nd</v>
      </c>
      <c r="H376" s="8" t="str">
        <f>IFERROR(__xludf.DUMMYFUNCTION("""COMPUTED_VALUE"""),"OH Regional 32")</f>
        <v>OH Regional 32</v>
      </c>
      <c r="I376" s="10">
        <f>IFERROR(__xludf.DUMMYFUNCTION("""COMPUTED_VALUE"""),42887.0)</f>
        <v>42887</v>
      </c>
      <c r="J376" s="10">
        <f>IFERROR(__xludf.DUMMYFUNCTION("""COMPUTED_VALUE"""),43983.0)</f>
        <v>43983</v>
      </c>
      <c r="K376" s="11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9" t="str">
        <f>IFERROR(__xludf.DUMMYFUNCTION("""COMPUTED_VALUE"""),"Irwin")</f>
        <v>Irwin</v>
      </c>
      <c r="B377" s="8" t="str">
        <f>IFERROR(__xludf.DUMMYFUNCTION("""COMPUTED_VALUE"""),"James")</f>
        <v>James</v>
      </c>
      <c r="C377" s="8" t="str">
        <f>IFERROR(__xludf.DUMMYFUNCTION("""COMPUTED_VALUE"""),"Lebanon")</f>
        <v>Lebanon</v>
      </c>
      <c r="D377" s="8" t="str">
        <f>IFERROR(__xludf.DUMMYFUNCTION("""COMPUTED_VALUE"""),"PA")</f>
        <v>PA</v>
      </c>
      <c r="E377" s="8" t="str">
        <f>IFERROR(__xludf.DUMMYFUNCTION("""COMPUTED_VALUE"""),"USA")</f>
        <v>USA</v>
      </c>
      <c r="F377" s="8" t="str">
        <f>IFERROR(__xludf.DUMMYFUNCTION("""COMPUTED_VALUE"""),"Mens Doubles")</f>
        <v>Mens Doubles</v>
      </c>
      <c r="G377" s="8" t="str">
        <f>IFERROR(__xludf.DUMMYFUNCTION("""COMPUTED_VALUE"""),"3rd")</f>
        <v>3rd</v>
      </c>
      <c r="H377" s="8" t="str">
        <f>IFERROR(__xludf.DUMMYFUNCTION("""COMPUTED_VALUE"""),"PA Regional 33")</f>
        <v>PA Regional 33</v>
      </c>
      <c r="I377" s="10">
        <f>IFERROR(__xludf.DUMMYFUNCTION("""COMPUTED_VALUE"""),43252.0)</f>
        <v>43252</v>
      </c>
      <c r="J377" s="10">
        <f>IFERROR(__xludf.DUMMYFUNCTION("""COMPUTED_VALUE"""),44348.0)</f>
        <v>44348</v>
      </c>
      <c r="K377" s="11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9" t="str">
        <f>IFERROR(__xludf.DUMMYFUNCTION("""COMPUTED_VALUE"""),"Jackson")</f>
        <v>Jackson</v>
      </c>
      <c r="B378" s="8" t="str">
        <f>IFERROR(__xludf.DUMMYFUNCTION("""COMPUTED_VALUE"""),"Richard")</f>
        <v>Richard</v>
      </c>
      <c r="C378" s="8" t="str">
        <f>IFERROR(__xludf.DUMMYFUNCTION("""COMPUTED_VALUE"""),"Walls")</f>
        <v>Walls</v>
      </c>
      <c r="D378" s="8" t="str">
        <f>IFERROR(__xludf.DUMMYFUNCTION("""COMPUTED_VALUE"""),"MS")</f>
        <v>MS</v>
      </c>
      <c r="E378" s="8" t="str">
        <f>IFERROR(__xludf.DUMMYFUNCTION("""COMPUTED_VALUE"""),"USA")</f>
        <v>USA</v>
      </c>
      <c r="F378" s="8" t="str">
        <f>IFERROR(__xludf.DUMMYFUNCTION("""COMPUTED_VALUE"""),"Mens Singles Cricket")</f>
        <v>Mens Singles Cricket</v>
      </c>
      <c r="G378" s="8" t="str">
        <f>IFERROR(__xludf.DUMMYFUNCTION("""COMPUTED_VALUE"""),"2nd")</f>
        <v>2nd</v>
      </c>
      <c r="H378" s="8" t="str">
        <f>IFERROR(__xludf.DUMMYFUNCTION("""COMPUTED_VALUE"""),"TN Regional 32")</f>
        <v>TN Regional 32</v>
      </c>
      <c r="I378" s="10">
        <f>IFERROR(__xludf.DUMMYFUNCTION("""COMPUTED_VALUE"""),42887.0)</f>
        <v>42887</v>
      </c>
      <c r="J378" s="10">
        <f>IFERROR(__xludf.DUMMYFUNCTION("""COMPUTED_VALUE"""),43983.0)</f>
        <v>43983</v>
      </c>
      <c r="K378" s="11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9" t="str">
        <f>IFERROR(__xludf.DUMMYFUNCTION("""COMPUTED_VALUE"""),"Jacobs")</f>
        <v>Jacobs</v>
      </c>
      <c r="B379" s="8" t="str">
        <f>IFERROR(__xludf.DUMMYFUNCTION("""COMPUTED_VALUE"""),"Ronald")</f>
        <v>Ronald</v>
      </c>
      <c r="C379" s="8" t="str">
        <f>IFERROR(__xludf.DUMMYFUNCTION("""COMPUTED_VALUE"""),"Dayton")</f>
        <v>Dayton</v>
      </c>
      <c r="D379" s="8" t="str">
        <f>IFERROR(__xludf.DUMMYFUNCTION("""COMPUTED_VALUE"""),"OH")</f>
        <v>OH</v>
      </c>
      <c r="E379" s="8" t="str">
        <f>IFERROR(__xludf.DUMMYFUNCTION("""COMPUTED_VALUE"""),"USA")</f>
        <v>USA</v>
      </c>
      <c r="F379" s="8" t="str">
        <f>IFERROR(__xludf.DUMMYFUNCTION("""COMPUTED_VALUE"""),"Mens Singles")</f>
        <v>Mens Singles</v>
      </c>
      <c r="G379" s="8" t="str">
        <f>IFERROR(__xludf.DUMMYFUNCTION("""COMPUTED_VALUE"""),"1st")</f>
        <v>1st</v>
      </c>
      <c r="H379" s="8" t="str">
        <f>IFERROR(__xludf.DUMMYFUNCTION("""COMPUTED_VALUE"""),"IN Regional 33")</f>
        <v>IN Regional 33</v>
      </c>
      <c r="I379" s="10">
        <f>IFERROR(__xludf.DUMMYFUNCTION("""COMPUTED_VALUE"""),43252.0)</f>
        <v>43252</v>
      </c>
      <c r="J379" s="10">
        <f>IFERROR(__xludf.DUMMYFUNCTION("""COMPUTED_VALUE"""),44348.0)</f>
        <v>44348</v>
      </c>
      <c r="K379" s="11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9" t="str">
        <f>IFERROR(__xludf.DUMMYFUNCTION("""COMPUTED_VALUE"""),"James")</f>
        <v>James</v>
      </c>
      <c r="B380" s="8" t="str">
        <f>IFERROR(__xludf.DUMMYFUNCTION("""COMPUTED_VALUE"""),"Austin")</f>
        <v>Austin</v>
      </c>
      <c r="C380" s="8" t="str">
        <f>IFERROR(__xludf.DUMMYFUNCTION("""COMPUTED_VALUE"""),"Dayton")</f>
        <v>Dayton</v>
      </c>
      <c r="D380" s="8" t="str">
        <f>IFERROR(__xludf.DUMMYFUNCTION("""COMPUTED_VALUE"""),"OH")</f>
        <v>OH</v>
      </c>
      <c r="E380" s="8" t="str">
        <f>IFERROR(__xludf.DUMMYFUNCTION("""COMPUTED_VALUE"""),"USA")</f>
        <v>USA</v>
      </c>
      <c r="F380" s="8" t="str">
        <f>IFERROR(__xludf.DUMMYFUNCTION("""COMPUTED_VALUE"""),"Mens Singles Cricket")</f>
        <v>Mens Singles Cricket</v>
      </c>
      <c r="G380" s="8" t="str">
        <f>IFERROR(__xludf.DUMMYFUNCTION("""COMPUTED_VALUE"""),"2nd")</f>
        <v>2nd</v>
      </c>
      <c r="H380" s="8" t="str">
        <f>IFERROR(__xludf.DUMMYFUNCTION("""COMPUTED_VALUE"""),"IN Regional 32")</f>
        <v>IN Regional 32</v>
      </c>
      <c r="I380" s="10">
        <f>IFERROR(__xludf.DUMMYFUNCTION("""COMPUTED_VALUE"""),42887.0)</f>
        <v>42887</v>
      </c>
      <c r="J380" s="10">
        <f>IFERROR(__xludf.DUMMYFUNCTION("""COMPUTED_VALUE"""),43983.0)</f>
        <v>43983</v>
      </c>
      <c r="K380" s="11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9" t="str">
        <f>IFERROR(__xludf.DUMMYFUNCTION("""COMPUTED_VALUE"""),"Jamriska, Jr.")</f>
        <v>Jamriska, Jr.</v>
      </c>
      <c r="B381" s="8" t="str">
        <f>IFERROR(__xludf.DUMMYFUNCTION("""COMPUTED_VALUE"""),"Robert")</f>
        <v>Robert</v>
      </c>
      <c r="C381" s="8" t="str">
        <f>IFERROR(__xludf.DUMMYFUNCTION("""COMPUTED_VALUE"""),"Pittsburgh")</f>
        <v>Pittsburgh</v>
      </c>
      <c r="D381" s="8" t="str">
        <f>IFERROR(__xludf.DUMMYFUNCTION("""COMPUTED_VALUE"""),"PA")</f>
        <v>PA</v>
      </c>
      <c r="E381" s="8" t="str">
        <f>IFERROR(__xludf.DUMMYFUNCTION("""COMPUTED_VALUE"""),"USA")</f>
        <v>USA</v>
      </c>
      <c r="F381" s="8" t="str">
        <f>IFERROR(__xludf.DUMMYFUNCTION("""COMPUTED_VALUE"""),"Mixed Cricket Doubles")</f>
        <v>Mixed Cricket Doubles</v>
      </c>
      <c r="G381" s="8" t="str">
        <f>IFERROR(__xludf.DUMMYFUNCTION("""COMPUTED_VALUE"""),"1st")</f>
        <v>1st</v>
      </c>
      <c r="H381" s="8" t="str">
        <f>IFERROR(__xludf.DUMMYFUNCTION("""COMPUTED_VALUE"""),"PA Regional 32")</f>
        <v>PA Regional 32</v>
      </c>
      <c r="I381" s="10">
        <f>IFERROR(__xludf.DUMMYFUNCTION("""COMPUTED_VALUE"""),42887.0)</f>
        <v>42887</v>
      </c>
      <c r="J381" s="10">
        <f>IFERROR(__xludf.DUMMYFUNCTION("""COMPUTED_VALUE"""),43983.0)</f>
        <v>43983</v>
      </c>
      <c r="K381" s="11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9" t="str">
        <f>IFERROR(__xludf.DUMMYFUNCTION("""COMPUTED_VALUE"""),"Jaques")</f>
        <v>Jaques</v>
      </c>
      <c r="B382" s="8" t="str">
        <f>IFERROR(__xludf.DUMMYFUNCTION("""COMPUTED_VALUE"""),"William ""TJ""")</f>
        <v>William "TJ"</v>
      </c>
      <c r="C382" s="8" t="str">
        <f>IFERROR(__xludf.DUMMYFUNCTION("""COMPUTED_VALUE"""),"Riverside")</f>
        <v>Riverside</v>
      </c>
      <c r="D382" s="8" t="str">
        <f>IFERROR(__xludf.DUMMYFUNCTION("""COMPUTED_VALUE"""),"OH")</f>
        <v>OH</v>
      </c>
      <c r="E382" s="8" t="str">
        <f>IFERROR(__xludf.DUMMYFUNCTION("""COMPUTED_VALUE"""),"USA")</f>
        <v>USA</v>
      </c>
      <c r="F382" s="8" t="str">
        <f>IFERROR(__xludf.DUMMYFUNCTION("""COMPUTED_VALUE"""),"Pro Doubles")</f>
        <v>Pro Doubles</v>
      </c>
      <c r="G382" s="8" t="str">
        <f>IFERROR(__xludf.DUMMYFUNCTION("""COMPUTED_VALUE"""),"3rd")</f>
        <v>3rd</v>
      </c>
      <c r="H382" s="8" t="str">
        <f>IFERROR(__xludf.DUMMYFUNCTION("""COMPUTED_VALUE"""),"OH Regional 33")</f>
        <v>OH Regional 33</v>
      </c>
      <c r="I382" s="10">
        <f>IFERROR(__xludf.DUMMYFUNCTION("""COMPUTED_VALUE"""),43252.0)</f>
        <v>43252</v>
      </c>
      <c r="J382" s="10">
        <f>IFERROR(__xludf.DUMMYFUNCTION("""COMPUTED_VALUE"""),44348.0)</f>
        <v>44348</v>
      </c>
      <c r="K382" s="11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9" t="str">
        <f>IFERROR(__xludf.DUMMYFUNCTION("""COMPUTED_VALUE"""),"Jaramillo")</f>
        <v>Jaramillo</v>
      </c>
      <c r="B383" s="8" t="str">
        <f>IFERROR(__xludf.DUMMYFUNCTION("""COMPUTED_VALUE"""),"Chris")</f>
        <v>Chris</v>
      </c>
      <c r="C383" s="8" t="str">
        <f>IFERROR(__xludf.DUMMYFUNCTION("""COMPUTED_VALUE"""),"")</f>
        <v/>
      </c>
      <c r="D383" s="8" t="str">
        <f>IFERROR(__xludf.DUMMYFUNCTION("""COMPUTED_VALUE"""),"UNK")</f>
        <v>UNK</v>
      </c>
      <c r="E383" s="8" t="str">
        <f>IFERROR(__xludf.DUMMYFUNCTION("""COMPUTED_VALUE"""),"UNK")</f>
        <v>UNK</v>
      </c>
      <c r="F383" s="8" t="str">
        <f>IFERROR(__xludf.DUMMYFUNCTION("""COMPUTED_VALUE"""),"ADO 2016")</f>
        <v>ADO 2016</v>
      </c>
      <c r="G383" s="8" t="str">
        <f>IFERROR(__xludf.DUMMYFUNCTION("""COMPUTED_VALUE"""),"41st")</f>
        <v>41st</v>
      </c>
      <c r="H383" s="8" t="str">
        <f>IFERROR(__xludf.DUMMYFUNCTION("""COMPUTED_VALUE"""),"ADO 2016")</f>
        <v>ADO 2016</v>
      </c>
      <c r="I383" s="10">
        <f>IFERROR(__xludf.DUMMYFUNCTION("""COMPUTED_VALUE"""),42401.0)</f>
        <v>42401</v>
      </c>
      <c r="J383" s="10">
        <f>IFERROR(__xludf.DUMMYFUNCTION("""COMPUTED_VALUE"""),44713.0)</f>
        <v>44713</v>
      </c>
      <c r="K383" s="11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9" t="str">
        <f>IFERROR(__xludf.DUMMYFUNCTION("""COMPUTED_VALUE"""),"Jarvis")</f>
        <v>Jarvis</v>
      </c>
      <c r="B384" s="8" t="str">
        <f>IFERROR(__xludf.DUMMYFUNCTION("""COMPUTED_VALUE"""),"Jason")</f>
        <v>Jason</v>
      </c>
      <c r="C384" s="8" t="str">
        <f>IFERROR(__xludf.DUMMYFUNCTION("""COMPUTED_VALUE"""),"Beavercreek")</f>
        <v>Beavercreek</v>
      </c>
      <c r="D384" s="8" t="str">
        <f>IFERROR(__xludf.DUMMYFUNCTION("""COMPUTED_VALUE"""),"OH")</f>
        <v>OH</v>
      </c>
      <c r="E384" s="8" t="str">
        <f>IFERROR(__xludf.DUMMYFUNCTION("""COMPUTED_VALUE"""),"USA")</f>
        <v>USA</v>
      </c>
      <c r="F384" s="8" t="str">
        <f>IFERROR(__xludf.DUMMYFUNCTION("""COMPUTED_VALUE"""),"Pro Doubles X01")</f>
        <v>Pro Doubles X01</v>
      </c>
      <c r="G384" s="8" t="str">
        <f>IFERROR(__xludf.DUMMYFUNCTION("""COMPUTED_VALUE"""),"3rd")</f>
        <v>3rd</v>
      </c>
      <c r="H384" s="8" t="str">
        <f>IFERROR(__xludf.DUMMYFUNCTION("""COMPUTED_VALUE"""),"Off AA List")</f>
        <v>Off AA List</v>
      </c>
      <c r="I384" s="10">
        <f>IFERROR(__xludf.DUMMYFUNCTION("""COMPUTED_VALUE"""),42887.0)</f>
        <v>42887</v>
      </c>
      <c r="J384" s="10">
        <f>IFERROR(__xludf.DUMMYFUNCTION("""COMPUTED_VALUE"""),43983.0)</f>
        <v>43983</v>
      </c>
      <c r="K384" s="11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9" t="str">
        <f>IFERROR(__xludf.DUMMYFUNCTION("""COMPUTED_VALUE"""),"Jen")</f>
        <v>Jen</v>
      </c>
      <c r="B385" s="8" t="str">
        <f>IFERROR(__xludf.DUMMYFUNCTION("""COMPUTED_VALUE"""),"Marshall")</f>
        <v>Marshall</v>
      </c>
      <c r="C385" s="8" t="str">
        <f>IFERROR(__xludf.DUMMYFUNCTION("""COMPUTED_VALUE"""),"")</f>
        <v/>
      </c>
      <c r="D385" s="8" t="str">
        <f>IFERROR(__xludf.DUMMYFUNCTION("""COMPUTED_VALUE"""),"UNK")</f>
        <v>UNK</v>
      </c>
      <c r="E385" s="8" t="str">
        <f>IFERROR(__xludf.DUMMYFUNCTION("""COMPUTED_VALUE"""),"Hong Kong")</f>
        <v>Hong Kong</v>
      </c>
      <c r="F385" s="8" t="str">
        <f>IFERROR(__xludf.DUMMYFUNCTION("""COMPUTED_VALUE"""),"DL")</f>
        <v>DL</v>
      </c>
      <c r="G385" s="8" t="str">
        <f>IFERROR(__xludf.DUMMYFUNCTION("""COMPUTED_VALUE"""),"83rd")</f>
        <v>83rd</v>
      </c>
      <c r="H385" s="8" t="str">
        <f>IFERROR(__xludf.DUMMYFUNCTION("""COMPUTED_VALUE"""),"DL")</f>
        <v>DL</v>
      </c>
      <c r="I385" s="10">
        <f>IFERROR(__xludf.DUMMYFUNCTION("""COMPUTED_VALUE"""),42401.0)</f>
        <v>42401</v>
      </c>
      <c r="J385" s="10">
        <f>IFERROR(__xludf.DUMMYFUNCTION("""COMPUTED_VALUE"""),44713.0)</f>
        <v>44713</v>
      </c>
      <c r="K385" s="11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9" t="str">
        <f>IFERROR(__xludf.DUMMYFUNCTION("""COMPUTED_VALUE"""),"Jenkins")</f>
        <v>Jenkins</v>
      </c>
      <c r="B386" s="8" t="str">
        <f>IFERROR(__xludf.DUMMYFUNCTION("""COMPUTED_VALUE"""),"Justin")</f>
        <v>Justin</v>
      </c>
      <c r="C386" s="8" t="str">
        <f>IFERROR(__xludf.DUMMYFUNCTION("""COMPUTED_VALUE"""),"Kansas City")</f>
        <v>Kansas City</v>
      </c>
      <c r="D386" s="8" t="str">
        <f>IFERROR(__xludf.DUMMYFUNCTION("""COMPUTED_VALUE"""),"MO")</f>
        <v>MO</v>
      </c>
      <c r="E386" s="8" t="str">
        <f>IFERROR(__xludf.DUMMYFUNCTION("""COMPUTED_VALUE"""),"USA")</f>
        <v>USA</v>
      </c>
      <c r="F386" s="8" t="str">
        <f>IFERROR(__xludf.DUMMYFUNCTION("""COMPUTED_VALUE"""),"Pro Singles")</f>
        <v>Pro Singles</v>
      </c>
      <c r="G386" s="8" t="str">
        <f>IFERROR(__xludf.DUMMYFUNCTION("""COMPUTED_VALUE"""),"2nd")</f>
        <v>2nd</v>
      </c>
      <c r="H386" s="8" t="str">
        <f>IFERROR(__xludf.DUMMYFUNCTION("""COMPUTED_VALUE"""),"NE Regional 33")</f>
        <v>NE Regional 33</v>
      </c>
      <c r="I386" s="10">
        <f>IFERROR(__xludf.DUMMYFUNCTION("""COMPUTED_VALUE"""),43252.0)</f>
        <v>43252</v>
      </c>
      <c r="J386" s="10">
        <f>IFERROR(__xludf.DUMMYFUNCTION("""COMPUTED_VALUE"""),44348.0)</f>
        <v>44348</v>
      </c>
      <c r="K386" s="11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9" t="str">
        <f>IFERROR(__xludf.DUMMYFUNCTION("""COMPUTED_VALUE"""),"Jenkins")</f>
        <v>Jenkins</v>
      </c>
      <c r="B387" s="8" t="str">
        <f>IFERROR(__xludf.DUMMYFUNCTION("""COMPUTED_VALUE"""),"Zac")</f>
        <v>Zac</v>
      </c>
      <c r="C387" s="8" t="str">
        <f>IFERROR(__xludf.DUMMYFUNCTION("""COMPUTED_VALUE"""),"Pittsburgh")</f>
        <v>Pittsburgh</v>
      </c>
      <c r="D387" s="8" t="str">
        <f>IFERROR(__xludf.DUMMYFUNCTION("""COMPUTED_VALUE"""),"PA")</f>
        <v>PA</v>
      </c>
      <c r="E387" s="8" t="str">
        <f>IFERROR(__xludf.DUMMYFUNCTION("""COMPUTED_VALUE"""),"USA")</f>
        <v>USA</v>
      </c>
      <c r="F387" s="8" t="str">
        <f>IFERROR(__xludf.DUMMYFUNCTION("""COMPUTED_VALUE"""),"Pro/Am Cricket")</f>
        <v>Pro/Am Cricket</v>
      </c>
      <c r="G387" s="8" t="str">
        <f>IFERROR(__xludf.DUMMYFUNCTION("""COMPUTED_VALUE"""),"2nd")</f>
        <v>2nd</v>
      </c>
      <c r="H387" s="8" t="str">
        <f>IFERROR(__xludf.DUMMYFUNCTION("""COMPUTED_VALUE"""),"PA Regional 33")</f>
        <v>PA Regional 33</v>
      </c>
      <c r="I387" s="10">
        <f>IFERROR(__xludf.DUMMYFUNCTION("""COMPUTED_VALUE"""),43252.0)</f>
        <v>43252</v>
      </c>
      <c r="J387" s="10">
        <f>IFERROR(__xludf.DUMMYFUNCTION("""COMPUTED_VALUE"""),44348.0)</f>
        <v>44348</v>
      </c>
      <c r="K387" s="11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9" t="str">
        <f>IFERROR(__xludf.DUMMYFUNCTION("""COMPUTED_VALUE"""),"Jensen")</f>
        <v>Jensen</v>
      </c>
      <c r="B388" s="8" t="str">
        <f>IFERROR(__xludf.DUMMYFUNCTION("""COMPUTED_VALUE"""),"James")</f>
        <v>James</v>
      </c>
      <c r="C388" s="8" t="str">
        <f>IFERROR(__xludf.DUMMYFUNCTION("""COMPUTED_VALUE"""),"Longwood")</f>
        <v>Longwood</v>
      </c>
      <c r="D388" s="8" t="str">
        <f>IFERROR(__xludf.DUMMYFUNCTION("""COMPUTED_VALUE"""),"FL")</f>
        <v>FL</v>
      </c>
      <c r="E388" s="8" t="str">
        <f>IFERROR(__xludf.DUMMYFUNCTION("""COMPUTED_VALUE"""),"USA")</f>
        <v>USA</v>
      </c>
      <c r="F388" s="8" t="str">
        <f>IFERROR(__xludf.DUMMYFUNCTION("""COMPUTED_VALUE"""),"Pro/Am Cricket")</f>
        <v>Pro/Am Cricket</v>
      </c>
      <c r="G388" s="8" t="str">
        <f>IFERROR(__xludf.DUMMYFUNCTION("""COMPUTED_VALUE"""),"3rd")</f>
        <v>3rd</v>
      </c>
      <c r="H388" s="8" t="str">
        <f>IFERROR(__xludf.DUMMYFUNCTION("""COMPUTED_VALUE"""),"Florida BS 34")</f>
        <v>Florida BS 34</v>
      </c>
      <c r="I388" s="10">
        <f>IFERROR(__xludf.DUMMYFUNCTION("""COMPUTED_VALUE"""),43617.0)</f>
        <v>43617</v>
      </c>
      <c r="J388" s="10">
        <f>IFERROR(__xludf.DUMMYFUNCTION("""COMPUTED_VALUE"""),44713.0)</f>
        <v>44713</v>
      </c>
      <c r="K388" s="11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9" t="str">
        <f>IFERROR(__xludf.DUMMYFUNCTION("""COMPUTED_VALUE"""),"Jett")</f>
        <v>Jett</v>
      </c>
      <c r="B389" s="8" t="str">
        <f>IFERROR(__xludf.DUMMYFUNCTION("""COMPUTED_VALUE"""),"Kris")</f>
        <v>Kris</v>
      </c>
      <c r="C389" s="8" t="str">
        <f>IFERROR(__xludf.DUMMYFUNCTION("""COMPUTED_VALUE"""),"Indianapolis")</f>
        <v>Indianapolis</v>
      </c>
      <c r="D389" s="8" t="str">
        <f>IFERROR(__xludf.DUMMYFUNCTION("""COMPUTED_VALUE"""),"IN")</f>
        <v>IN</v>
      </c>
      <c r="E389" s="8" t="str">
        <f>IFERROR(__xludf.DUMMYFUNCTION("""COMPUTED_VALUE"""),"USA")</f>
        <v>USA</v>
      </c>
      <c r="F389" s="8" t="str">
        <f>IFERROR(__xludf.DUMMYFUNCTION("""COMPUTED_VALUE"""),"Mens Doubles")</f>
        <v>Mens Doubles</v>
      </c>
      <c r="G389" s="8" t="str">
        <f>IFERROR(__xludf.DUMMYFUNCTION("""COMPUTED_VALUE"""),"2nd")</f>
        <v>2nd</v>
      </c>
      <c r="H389" s="8" t="str">
        <f>IFERROR(__xludf.DUMMYFUNCTION("""COMPUTED_VALUE"""),"BS 33 Finals")</f>
        <v>BS 33 Finals</v>
      </c>
      <c r="I389" s="10">
        <f>IFERROR(__xludf.DUMMYFUNCTION("""COMPUTED_VALUE"""),43252.0)</f>
        <v>43252</v>
      </c>
      <c r="J389" s="10">
        <f>IFERROR(__xludf.DUMMYFUNCTION("""COMPUTED_VALUE"""),44348.0)</f>
        <v>44348</v>
      </c>
      <c r="K389" s="11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9" t="str">
        <f>IFERROR(__xludf.DUMMYFUNCTION("""COMPUTED_VALUE"""),"Jian Xun")</f>
        <v>Jian Xun</v>
      </c>
      <c r="B390" s="8" t="str">
        <f>IFERROR(__xludf.DUMMYFUNCTION("""COMPUTED_VALUE"""),"Liao")</f>
        <v>Liao</v>
      </c>
      <c r="C390" s="8" t="str">
        <f>IFERROR(__xludf.DUMMYFUNCTION("""COMPUTED_VALUE"""),"")</f>
        <v/>
      </c>
      <c r="D390" s="8" t="str">
        <f>IFERROR(__xludf.DUMMYFUNCTION("""COMPUTED_VALUE"""),"UNK")</f>
        <v>UNK</v>
      </c>
      <c r="E390" s="8" t="str">
        <f>IFERROR(__xludf.DUMMYFUNCTION("""COMPUTED_VALUE"""),"Taiwan")</f>
        <v>Taiwan</v>
      </c>
      <c r="F390" s="8" t="str">
        <f>IFERROR(__xludf.DUMMYFUNCTION("""COMPUTED_VALUE"""),"DL")</f>
        <v>DL</v>
      </c>
      <c r="G390" s="8" t="str">
        <f>IFERROR(__xludf.DUMMYFUNCTION("""COMPUTED_VALUE"""),"91st")</f>
        <v>91st</v>
      </c>
      <c r="H390" s="8" t="str">
        <f>IFERROR(__xludf.DUMMYFUNCTION("""COMPUTED_VALUE"""),"DL")</f>
        <v>DL</v>
      </c>
      <c r="I390" s="10">
        <f>IFERROR(__xludf.DUMMYFUNCTION("""COMPUTED_VALUE"""),42401.0)</f>
        <v>42401</v>
      </c>
      <c r="J390" s="10">
        <f>IFERROR(__xludf.DUMMYFUNCTION("""COMPUTED_VALUE"""),44713.0)</f>
        <v>44713</v>
      </c>
      <c r="K390" s="11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9" t="str">
        <f>IFERROR(__xludf.DUMMYFUNCTION("""COMPUTED_VALUE"""),"Jimenez")</f>
        <v>Jimenez</v>
      </c>
      <c r="B391" s="8" t="str">
        <f>IFERROR(__xludf.DUMMYFUNCTION("""COMPUTED_VALUE"""),"Angel")</f>
        <v>Angel</v>
      </c>
      <c r="C391" s="8" t="str">
        <f>IFERROR(__xludf.DUMMYFUNCTION("""COMPUTED_VALUE"""),"Lorain")</f>
        <v>Lorain</v>
      </c>
      <c r="D391" s="8" t="str">
        <f>IFERROR(__xludf.DUMMYFUNCTION("""COMPUTED_VALUE"""),"OH")</f>
        <v>OH</v>
      </c>
      <c r="E391" s="8" t="str">
        <f>IFERROR(__xludf.DUMMYFUNCTION("""COMPUTED_VALUE"""),"USA")</f>
        <v>USA</v>
      </c>
      <c r="F391" s="8" t="str">
        <f>IFERROR(__xludf.DUMMYFUNCTION("""COMPUTED_VALUE"""),"Men Doubles Cricket")</f>
        <v>Men Doubles Cricket</v>
      </c>
      <c r="G391" s="8" t="str">
        <f>IFERROR(__xludf.DUMMYFUNCTION("""COMPUTED_VALUE"""),"2nd")</f>
        <v>2nd</v>
      </c>
      <c r="H391" s="8" t="str">
        <f>IFERROR(__xludf.DUMMYFUNCTION("""COMPUTED_VALUE"""),"Ohio BS 34")</f>
        <v>Ohio BS 34</v>
      </c>
      <c r="I391" s="10">
        <f>IFERROR(__xludf.DUMMYFUNCTION("""COMPUTED_VALUE"""),43617.0)</f>
        <v>43617</v>
      </c>
      <c r="J391" s="10">
        <f>IFERROR(__xludf.DUMMYFUNCTION("""COMPUTED_VALUE"""),44713.0)</f>
        <v>44713</v>
      </c>
      <c r="K391" s="11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9" t="str">
        <f>IFERROR(__xludf.DUMMYFUNCTION("""COMPUTED_VALUE"""),"Johannsen")</f>
        <v>Johannsen</v>
      </c>
      <c r="B392" s="8" t="str">
        <f>IFERROR(__xludf.DUMMYFUNCTION("""COMPUTED_VALUE"""),"Duane")</f>
        <v>Duane</v>
      </c>
      <c r="C392" s="8" t="str">
        <f>IFERROR(__xludf.DUMMYFUNCTION("""COMPUTED_VALUE"""),"Milwaukee")</f>
        <v>Milwaukee</v>
      </c>
      <c r="D392" s="8" t="str">
        <f>IFERROR(__xludf.DUMMYFUNCTION("""COMPUTED_VALUE"""),"WI")</f>
        <v>WI</v>
      </c>
      <c r="E392" s="8" t="str">
        <f>IFERROR(__xludf.DUMMYFUNCTION("""COMPUTED_VALUE"""),"USA")</f>
        <v>USA</v>
      </c>
      <c r="F392" s="8" t="str">
        <f>IFERROR(__xludf.DUMMYFUNCTION("""COMPUTED_VALUE"""),"Top Gun Mixed Triples")</f>
        <v>Top Gun Mixed Triples</v>
      </c>
      <c r="G392" s="8" t="str">
        <f>IFERROR(__xludf.DUMMYFUNCTION("""COMPUTED_VALUE"""),"2nd")</f>
        <v>2nd</v>
      </c>
      <c r="H392" s="8" t="str">
        <f>IFERROR(__xludf.DUMMYFUNCTION("""COMPUTED_VALUE"""),"BullShooter 32")</f>
        <v>BullShooter 32</v>
      </c>
      <c r="I392" s="10">
        <f>IFERROR(__xludf.DUMMYFUNCTION("""COMPUTED_VALUE"""),42887.0)</f>
        <v>42887</v>
      </c>
      <c r="J392" s="10">
        <f>IFERROR(__xludf.DUMMYFUNCTION("""COMPUTED_VALUE"""),43983.0)</f>
        <v>43983</v>
      </c>
      <c r="K392" s="11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9" t="str">
        <f>IFERROR(__xludf.DUMMYFUNCTION("""COMPUTED_VALUE"""),"Johnroe")</f>
        <v>Johnroe</v>
      </c>
      <c r="B393" s="8" t="str">
        <f>IFERROR(__xludf.DUMMYFUNCTION("""COMPUTED_VALUE"""),"Joseph")</f>
        <v>Joseph</v>
      </c>
      <c r="C393" s="8" t="str">
        <f>IFERROR(__xludf.DUMMYFUNCTION("""COMPUTED_VALUE"""),"Oxford")</f>
        <v>Oxford</v>
      </c>
      <c r="D393" s="8" t="str">
        <f>IFERROR(__xludf.DUMMYFUNCTION("""COMPUTED_VALUE"""),"FL")</f>
        <v>FL</v>
      </c>
      <c r="E393" s="8" t="str">
        <f>IFERROR(__xludf.DUMMYFUNCTION("""COMPUTED_VALUE"""),"USA")</f>
        <v>USA</v>
      </c>
      <c r="F393" s="8" t="str">
        <f>IFERROR(__xludf.DUMMYFUNCTION("""COMPUTED_VALUE"""),"Mixed Triples")</f>
        <v>Mixed Triples</v>
      </c>
      <c r="G393" s="8" t="str">
        <f>IFERROR(__xludf.DUMMYFUNCTION("""COMPUTED_VALUE"""),"1st")</f>
        <v>1st</v>
      </c>
      <c r="H393" s="8" t="str">
        <f>IFERROR(__xludf.DUMMYFUNCTION("""COMPUTED_VALUE"""),"GA Regional 32")</f>
        <v>GA Regional 32</v>
      </c>
      <c r="I393" s="10">
        <f>IFERROR(__xludf.DUMMYFUNCTION("""COMPUTED_VALUE"""),42887.0)</f>
        <v>42887</v>
      </c>
      <c r="J393" s="10">
        <f>IFERROR(__xludf.DUMMYFUNCTION("""COMPUTED_VALUE"""),43983.0)</f>
        <v>43983</v>
      </c>
      <c r="K393" s="11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9" t="str">
        <f>IFERROR(__xludf.DUMMYFUNCTION("""COMPUTED_VALUE"""),"Johnsen")</f>
        <v>Johnsen</v>
      </c>
      <c r="B394" s="8" t="str">
        <f>IFERROR(__xludf.DUMMYFUNCTION("""COMPUTED_VALUE"""),"Jesse")</f>
        <v>Jesse</v>
      </c>
      <c r="C394" s="8" t="str">
        <f>IFERROR(__xludf.DUMMYFUNCTION("""COMPUTED_VALUE"""),"Waupun")</f>
        <v>Waupun</v>
      </c>
      <c r="D394" s="8" t="str">
        <f>IFERROR(__xludf.DUMMYFUNCTION("""COMPUTED_VALUE"""),"WI")</f>
        <v>WI</v>
      </c>
      <c r="E394" s="8" t="str">
        <f>IFERROR(__xludf.DUMMYFUNCTION("""COMPUTED_VALUE"""),"USA")</f>
        <v>USA</v>
      </c>
      <c r="F394" s="8" t="str">
        <f>IFERROR(__xludf.DUMMYFUNCTION("""COMPUTED_VALUE"""),"Top Gun Singles")</f>
        <v>Top Gun Singles</v>
      </c>
      <c r="G394" s="8" t="str">
        <f>IFERROR(__xludf.DUMMYFUNCTION("""COMPUTED_VALUE"""),"1st")</f>
        <v>1st</v>
      </c>
      <c r="H394" s="8" t="str">
        <f>IFERROR(__xludf.DUMMYFUNCTION("""COMPUTED_VALUE"""),"BS 33 Finals")</f>
        <v>BS 33 Finals</v>
      </c>
      <c r="I394" s="10">
        <f>IFERROR(__xludf.DUMMYFUNCTION("""COMPUTED_VALUE"""),43252.0)</f>
        <v>43252</v>
      </c>
      <c r="J394" s="10">
        <f>IFERROR(__xludf.DUMMYFUNCTION("""COMPUTED_VALUE"""),44348.0)</f>
        <v>44348</v>
      </c>
      <c r="K394" s="11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9" t="str">
        <f>IFERROR(__xludf.DUMMYFUNCTION("""COMPUTED_VALUE"""),"Johnson")</f>
        <v>Johnson</v>
      </c>
      <c r="B395" s="8" t="str">
        <f>IFERROR(__xludf.DUMMYFUNCTION("""COMPUTED_VALUE"""),"Jeff")</f>
        <v>Jeff</v>
      </c>
      <c r="C395" s="8" t="str">
        <f>IFERROR(__xludf.DUMMYFUNCTION("""COMPUTED_VALUE"""),"Milwaukee")</f>
        <v>Milwaukee</v>
      </c>
      <c r="D395" s="8" t="str">
        <f>IFERROR(__xludf.DUMMYFUNCTION("""COMPUTED_VALUE"""),"WI")</f>
        <v>WI</v>
      </c>
      <c r="E395" s="8" t="str">
        <f>IFERROR(__xludf.DUMMYFUNCTION("""COMPUTED_VALUE"""),"USA")</f>
        <v>USA</v>
      </c>
      <c r="F395" s="8" t="str">
        <f>IFERROR(__xludf.DUMMYFUNCTION("""COMPUTED_VALUE"""),"Men 501 Singles")</f>
        <v>Men 501 Singles</v>
      </c>
      <c r="G395" s="8" t="str">
        <f>IFERROR(__xludf.DUMMYFUNCTION("""COMPUTED_VALUE"""),"2nd")</f>
        <v>2nd</v>
      </c>
      <c r="H395" s="8" t="str">
        <f>IFERROR(__xludf.DUMMYFUNCTION("""COMPUTED_VALUE"""),"BullShooter 34 Finals")</f>
        <v>BullShooter 34 Finals</v>
      </c>
      <c r="I395" s="10">
        <f>IFERROR(__xludf.DUMMYFUNCTION("""COMPUTED_VALUE"""),43617.0)</f>
        <v>43617</v>
      </c>
      <c r="J395" s="10">
        <f>IFERROR(__xludf.DUMMYFUNCTION("""COMPUTED_VALUE"""),44713.0)</f>
        <v>44713</v>
      </c>
      <c r="K395" s="11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9" t="str">
        <f>IFERROR(__xludf.DUMMYFUNCTION("""COMPUTED_VALUE"""),"Johnson")</f>
        <v>Johnson</v>
      </c>
      <c r="B396" s="8" t="str">
        <f>IFERROR(__xludf.DUMMYFUNCTION("""COMPUTED_VALUE"""),"Tobin")</f>
        <v>Tobin</v>
      </c>
      <c r="C396" s="8" t="str">
        <f>IFERROR(__xludf.DUMMYFUNCTION("""COMPUTED_VALUE"""),"Brookings")</f>
        <v>Brookings</v>
      </c>
      <c r="D396" s="8" t="str">
        <f>IFERROR(__xludf.DUMMYFUNCTION("""COMPUTED_VALUE"""),"SD")</f>
        <v>SD</v>
      </c>
      <c r="E396" s="8" t="str">
        <f>IFERROR(__xludf.DUMMYFUNCTION("""COMPUTED_VALUE"""),"USA")</f>
        <v>USA</v>
      </c>
      <c r="F396" s="8" t="str">
        <f>IFERROR(__xludf.DUMMYFUNCTION("""COMPUTED_VALUE"""),"Mens Doubles")</f>
        <v>Mens Doubles</v>
      </c>
      <c r="G396" s="8" t="str">
        <f>IFERROR(__xludf.DUMMYFUNCTION("""COMPUTED_VALUE"""),"3rd")</f>
        <v>3rd</v>
      </c>
      <c r="H396" s="8" t="str">
        <f>IFERROR(__xludf.DUMMYFUNCTION("""COMPUTED_VALUE"""),"NE Regional 33")</f>
        <v>NE Regional 33</v>
      </c>
      <c r="I396" s="10">
        <f>IFERROR(__xludf.DUMMYFUNCTION("""COMPUTED_VALUE"""),43252.0)</f>
        <v>43252</v>
      </c>
      <c r="J396" s="10">
        <f>IFERROR(__xludf.DUMMYFUNCTION("""COMPUTED_VALUE"""),44348.0)</f>
        <v>44348</v>
      </c>
      <c r="K396" s="11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9" t="str">
        <f>IFERROR(__xludf.DUMMYFUNCTION("""COMPUTED_VALUE"""),"Johnston")</f>
        <v>Johnston</v>
      </c>
      <c r="B397" s="8" t="str">
        <f>IFERROR(__xludf.DUMMYFUNCTION("""COMPUTED_VALUE"""),"Brock")</f>
        <v>Brock</v>
      </c>
      <c r="C397" s="8" t="str">
        <f>IFERROR(__xludf.DUMMYFUNCTION("""COMPUTED_VALUE"""),"Erie")</f>
        <v>Erie</v>
      </c>
      <c r="D397" s="8" t="str">
        <f>IFERROR(__xludf.DUMMYFUNCTION("""COMPUTED_VALUE"""),"PA")</f>
        <v>PA</v>
      </c>
      <c r="E397" s="8" t="str">
        <f>IFERROR(__xludf.DUMMYFUNCTION("""COMPUTED_VALUE"""),"USA")</f>
        <v>USA</v>
      </c>
      <c r="F397" s="8" t="str">
        <f>IFERROR(__xludf.DUMMYFUNCTION("""COMPUTED_VALUE"""),"Men Doubles 501")</f>
        <v>Men Doubles 501</v>
      </c>
      <c r="G397" s="8" t="str">
        <f>IFERROR(__xludf.DUMMYFUNCTION("""COMPUTED_VALUE"""),"2nd")</f>
        <v>2nd</v>
      </c>
      <c r="H397" s="8" t="str">
        <f>IFERROR(__xludf.DUMMYFUNCTION("""COMPUTED_VALUE"""),"New York BS 34")</f>
        <v>New York BS 34</v>
      </c>
      <c r="I397" s="10">
        <f>IFERROR(__xludf.DUMMYFUNCTION("""COMPUTED_VALUE"""),43617.0)</f>
        <v>43617</v>
      </c>
      <c r="J397" s="10">
        <f>IFERROR(__xludf.DUMMYFUNCTION("""COMPUTED_VALUE"""),44713.0)</f>
        <v>44713</v>
      </c>
      <c r="K397" s="11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9" t="str">
        <f>IFERROR(__xludf.DUMMYFUNCTION("""COMPUTED_VALUE"""),"Jones")</f>
        <v>Jones</v>
      </c>
      <c r="B398" s="8" t="str">
        <f>IFERROR(__xludf.DUMMYFUNCTION("""COMPUTED_VALUE"""),"Christopher")</f>
        <v>Christopher</v>
      </c>
      <c r="C398" s="8" t="str">
        <f>IFERROR(__xludf.DUMMYFUNCTION("""COMPUTED_VALUE"""),"Cape Girardeau")</f>
        <v>Cape Girardeau</v>
      </c>
      <c r="D398" s="8" t="str">
        <f>IFERROR(__xludf.DUMMYFUNCTION("""COMPUTED_VALUE"""),"MO")</f>
        <v>MO</v>
      </c>
      <c r="E398" s="8" t="str">
        <f>IFERROR(__xludf.DUMMYFUNCTION("""COMPUTED_VALUE"""),"USA")</f>
        <v>USA</v>
      </c>
      <c r="F398" s="8" t="str">
        <f>IFERROR(__xludf.DUMMYFUNCTION("""COMPUTED_VALUE"""),"Men Doubles Cricket")</f>
        <v>Men Doubles Cricket</v>
      </c>
      <c r="G398" s="8" t="str">
        <f>IFERROR(__xludf.DUMMYFUNCTION("""COMPUTED_VALUE"""),"3rd")</f>
        <v>3rd</v>
      </c>
      <c r="H398" s="8" t="str">
        <f>IFERROR(__xludf.DUMMYFUNCTION("""COMPUTED_VALUE"""),"Tennessee BS 34")</f>
        <v>Tennessee BS 34</v>
      </c>
      <c r="I398" s="10">
        <f>IFERROR(__xludf.DUMMYFUNCTION("""COMPUTED_VALUE"""),43617.0)</f>
        <v>43617</v>
      </c>
      <c r="J398" s="10">
        <f>IFERROR(__xludf.DUMMYFUNCTION("""COMPUTED_VALUE"""),44713.0)</f>
        <v>44713</v>
      </c>
      <c r="K398" s="11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9" t="str">
        <f>IFERROR(__xludf.DUMMYFUNCTION("""COMPUTED_VALUE"""),"Jones")</f>
        <v>Jones</v>
      </c>
      <c r="B399" s="8" t="str">
        <f>IFERROR(__xludf.DUMMYFUNCTION("""COMPUTED_VALUE"""),"Joseph")</f>
        <v>Joseph</v>
      </c>
      <c r="C399" s="8" t="str">
        <f>IFERROR(__xludf.DUMMYFUNCTION("""COMPUTED_VALUE"""),"Glenshaw")</f>
        <v>Glenshaw</v>
      </c>
      <c r="D399" s="8" t="str">
        <f>IFERROR(__xludf.DUMMYFUNCTION("""COMPUTED_VALUE"""),"PA")</f>
        <v>PA</v>
      </c>
      <c r="E399" s="8" t="str">
        <f>IFERROR(__xludf.DUMMYFUNCTION("""COMPUTED_VALUE"""),"USA")</f>
        <v>USA</v>
      </c>
      <c r="F399" s="8" t="str">
        <f>IFERROR(__xludf.DUMMYFUNCTION("""COMPUTED_VALUE"""),"Mens Doubles")</f>
        <v>Mens Doubles</v>
      </c>
      <c r="G399" s="8" t="str">
        <f>IFERROR(__xludf.DUMMYFUNCTION("""COMPUTED_VALUE"""),"2nd")</f>
        <v>2nd</v>
      </c>
      <c r="H399" s="8" t="str">
        <f>IFERROR(__xludf.DUMMYFUNCTION("""COMPUTED_VALUE"""),"PA Regional 33")</f>
        <v>PA Regional 33</v>
      </c>
      <c r="I399" s="10">
        <f>IFERROR(__xludf.DUMMYFUNCTION("""COMPUTED_VALUE"""),43252.0)</f>
        <v>43252</v>
      </c>
      <c r="J399" s="10">
        <f>IFERROR(__xludf.DUMMYFUNCTION("""COMPUTED_VALUE"""),44348.0)</f>
        <v>44348</v>
      </c>
      <c r="K399" s="11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9" t="str">
        <f>IFERROR(__xludf.DUMMYFUNCTION("""COMPUTED_VALUE"""),"Jones")</f>
        <v>Jones</v>
      </c>
      <c r="B400" s="8" t="str">
        <f>IFERROR(__xludf.DUMMYFUNCTION("""COMPUTED_VALUE"""),"K.C.")</f>
        <v>K.C.</v>
      </c>
      <c r="C400" s="8" t="str">
        <f>IFERROR(__xludf.DUMMYFUNCTION("""COMPUTED_VALUE"""),"Alexis")</f>
        <v>Alexis</v>
      </c>
      <c r="D400" s="8" t="str">
        <f>IFERROR(__xludf.DUMMYFUNCTION("""COMPUTED_VALUE"""),"IL")</f>
        <v>IL</v>
      </c>
      <c r="E400" s="8" t="str">
        <f>IFERROR(__xludf.DUMMYFUNCTION("""COMPUTED_VALUE"""),"USA")</f>
        <v>USA</v>
      </c>
      <c r="F400" s="8" t="str">
        <f>IFERROR(__xludf.DUMMYFUNCTION("""COMPUTED_VALUE"""),"")</f>
        <v/>
      </c>
      <c r="G400" s="8" t="str">
        <f>IFERROR(__xludf.DUMMYFUNCTION("""COMPUTED_VALUE"""),"")</f>
        <v/>
      </c>
      <c r="H400" s="8" t="str">
        <f>IFERROR(__xludf.DUMMYFUNCTION("""COMPUTED_VALUE"""),"BS 30 Finals")</f>
        <v>BS 30 Finals</v>
      </c>
      <c r="I400" s="10">
        <f>IFERROR(__xludf.DUMMYFUNCTION("""COMPUTED_VALUE"""),43252.0)</f>
        <v>43252</v>
      </c>
      <c r="J400" s="10">
        <f>IFERROR(__xludf.DUMMYFUNCTION("""COMPUTED_VALUE"""),44348.0)</f>
        <v>44348</v>
      </c>
      <c r="K400" s="11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9" t="str">
        <f>IFERROR(__xludf.DUMMYFUNCTION("""COMPUTED_VALUE"""),"Jones")</f>
        <v>Jones</v>
      </c>
      <c r="B401" s="8" t="str">
        <f>IFERROR(__xludf.DUMMYFUNCTION("""COMPUTED_VALUE"""),"Lee")</f>
        <v>Lee</v>
      </c>
      <c r="C401" s="8" t="str">
        <f>IFERROR(__xludf.DUMMYFUNCTION("""COMPUTED_VALUE"""),"Indianapolis")</f>
        <v>Indianapolis</v>
      </c>
      <c r="D401" s="8" t="str">
        <f>IFERROR(__xludf.DUMMYFUNCTION("""COMPUTED_VALUE"""),"IN")</f>
        <v>IN</v>
      </c>
      <c r="E401" s="8" t="str">
        <f>IFERROR(__xludf.DUMMYFUNCTION("""COMPUTED_VALUE"""),"USA")</f>
        <v>USA</v>
      </c>
      <c r="F401" s="8" t="str">
        <f>IFERROR(__xludf.DUMMYFUNCTION("""COMPUTED_VALUE"""),"Pro Doubles 501")</f>
        <v>Pro Doubles 501</v>
      </c>
      <c r="G401" s="8" t="str">
        <f>IFERROR(__xludf.DUMMYFUNCTION("""COMPUTED_VALUE"""),"2nd")</f>
        <v>2nd</v>
      </c>
      <c r="H401" s="8" t="str">
        <f>IFERROR(__xludf.DUMMYFUNCTION("""COMPUTED_VALUE"""),"Indiana BS 34")</f>
        <v>Indiana BS 34</v>
      </c>
      <c r="I401" s="10">
        <f>IFERROR(__xludf.DUMMYFUNCTION("""COMPUTED_VALUE"""),43617.0)</f>
        <v>43617</v>
      </c>
      <c r="J401" s="10">
        <f>IFERROR(__xludf.DUMMYFUNCTION("""COMPUTED_VALUE"""),44713.0)</f>
        <v>44713</v>
      </c>
      <c r="K401" s="11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9" t="str">
        <f>IFERROR(__xludf.DUMMYFUNCTION("""COMPUTED_VALUE"""),"Jones")</f>
        <v>Jones</v>
      </c>
      <c r="B402" s="8" t="str">
        <f>IFERROR(__xludf.DUMMYFUNCTION("""COMPUTED_VALUE"""),"Travis")</f>
        <v>Travis</v>
      </c>
      <c r="C402" s="8" t="str">
        <f>IFERROR(__xludf.DUMMYFUNCTION("""COMPUTED_VALUE"""),"Indianapolis")</f>
        <v>Indianapolis</v>
      </c>
      <c r="D402" s="8" t="str">
        <f>IFERROR(__xludf.DUMMYFUNCTION("""COMPUTED_VALUE"""),"IN")</f>
        <v>IN</v>
      </c>
      <c r="E402" s="8" t="str">
        <f>IFERROR(__xludf.DUMMYFUNCTION("""COMPUTED_VALUE"""),"USA")</f>
        <v>USA</v>
      </c>
      <c r="F402" s="8" t="str">
        <f>IFERROR(__xludf.DUMMYFUNCTION("""COMPUTED_VALUE"""),"Men Doubles 501")</f>
        <v>Men Doubles 501</v>
      </c>
      <c r="G402" s="8" t="str">
        <f>IFERROR(__xludf.DUMMYFUNCTION("""COMPUTED_VALUE"""),"2nd")</f>
        <v>2nd</v>
      </c>
      <c r="H402" s="8" t="str">
        <f>IFERROR(__xludf.DUMMYFUNCTION("""COMPUTED_VALUE"""),"Indiana BS 34")</f>
        <v>Indiana BS 34</v>
      </c>
      <c r="I402" s="10">
        <f>IFERROR(__xludf.DUMMYFUNCTION("""COMPUTED_VALUE"""),43617.0)</f>
        <v>43617</v>
      </c>
      <c r="J402" s="10">
        <f>IFERROR(__xludf.DUMMYFUNCTION("""COMPUTED_VALUE"""),44713.0)</f>
        <v>44713</v>
      </c>
      <c r="K402" s="11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9" t="str">
        <f>IFERROR(__xludf.DUMMYFUNCTION("""COMPUTED_VALUE"""),"Jones")</f>
        <v>Jones</v>
      </c>
      <c r="B403" s="8" t="str">
        <f>IFERROR(__xludf.DUMMYFUNCTION("""COMPUTED_VALUE"""),"Wayne")</f>
        <v>Wayne</v>
      </c>
      <c r="C403" s="8" t="str">
        <f>IFERROR(__xludf.DUMMYFUNCTION("""COMPUTED_VALUE"""),"")</f>
        <v/>
      </c>
      <c r="D403" s="8" t="str">
        <f>IFERROR(__xludf.DUMMYFUNCTION("""COMPUTED_VALUE"""),"UNK")</f>
        <v>UNK</v>
      </c>
      <c r="E403" s="8" t="str">
        <f>IFERROR(__xludf.DUMMYFUNCTION("""COMPUTED_VALUE"""),"England")</f>
        <v>England</v>
      </c>
      <c r="F403" s="8" t="str">
        <f>IFERROR(__xludf.DUMMYFUNCTION("""COMPUTED_VALUE"""),"PDC Merit Ranking")</f>
        <v>PDC Merit Ranking</v>
      </c>
      <c r="G403" s="8" t="str">
        <f>IFERROR(__xludf.DUMMYFUNCTION("""COMPUTED_VALUE"""),"65th")</f>
        <v>65th</v>
      </c>
      <c r="H403" s="8" t="str">
        <f>IFERROR(__xludf.DUMMYFUNCTION("""COMPUTED_VALUE"""),"PDC Merit Ranking")</f>
        <v>PDC Merit Ranking</v>
      </c>
      <c r="I403" s="10">
        <f>IFERROR(__xludf.DUMMYFUNCTION("""COMPUTED_VALUE"""),42401.0)</f>
        <v>42401</v>
      </c>
      <c r="J403" s="10">
        <f>IFERROR(__xludf.DUMMYFUNCTION("""COMPUTED_VALUE"""),44713.0)</f>
        <v>44713</v>
      </c>
      <c r="K403" s="11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9" t="str">
        <f>IFERROR(__xludf.DUMMYFUNCTION("""COMPUTED_VALUE"""),"Jorge")</f>
        <v>Jorge</v>
      </c>
      <c r="B404" s="8" t="str">
        <f>IFERROR(__xludf.DUMMYFUNCTION("""COMPUTED_VALUE"""),"Ricardo")</f>
        <v>Ricardo</v>
      </c>
      <c r="C404" s="8" t="str">
        <f>IFERROR(__xludf.DUMMYFUNCTION("""COMPUTED_VALUE"""),"")</f>
        <v/>
      </c>
      <c r="D404" s="8" t="str">
        <f>IFERROR(__xludf.DUMMYFUNCTION("""COMPUTED_VALUE"""),"UNK")</f>
        <v>UNK</v>
      </c>
      <c r="E404" s="8" t="str">
        <f>IFERROR(__xludf.DUMMYFUNCTION("""COMPUTED_VALUE"""),"Portugal")</f>
        <v>Portugal</v>
      </c>
      <c r="F404" s="8" t="str">
        <f>IFERROR(__xludf.DUMMYFUNCTION("""COMPUTED_VALUE"""),"Pro AA Singles X01")</f>
        <v>Pro AA Singles X01</v>
      </c>
      <c r="G404" s="8" t="str">
        <f>IFERROR(__xludf.DUMMYFUNCTION("""COMPUTED_VALUE"""),"4th")</f>
        <v>4th</v>
      </c>
      <c r="H404" s="8" t="str">
        <f>IFERROR(__xludf.DUMMYFUNCTION("""COMPUTED_VALUE"""),"Off AA List")</f>
        <v>Off AA List</v>
      </c>
      <c r="I404" s="10">
        <f>IFERROR(__xludf.DUMMYFUNCTION("""COMPUTED_VALUE"""),42887.0)</f>
        <v>42887</v>
      </c>
      <c r="J404" s="10">
        <f>IFERROR(__xludf.DUMMYFUNCTION("""COMPUTED_VALUE"""),43983.0)</f>
        <v>43983</v>
      </c>
      <c r="K404" s="11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9" t="str">
        <f>IFERROR(__xludf.DUMMYFUNCTION("""COMPUTED_VALUE"""),"Josef")</f>
        <v>Josef</v>
      </c>
      <c r="B405" s="8" t="str">
        <f>IFERROR(__xludf.DUMMYFUNCTION("""COMPUTED_VALUE"""),"John")</f>
        <v>John</v>
      </c>
      <c r="C405" s="8" t="str">
        <f>IFERROR(__xludf.DUMMYFUNCTION("""COMPUTED_VALUE"""),"Akron")</f>
        <v>Akron</v>
      </c>
      <c r="D405" s="8" t="str">
        <f>IFERROR(__xludf.DUMMYFUNCTION("""COMPUTED_VALUE"""),"OH")</f>
        <v>OH</v>
      </c>
      <c r="E405" s="8" t="str">
        <f>IFERROR(__xludf.DUMMYFUNCTION("""COMPUTED_VALUE"""),"USA")</f>
        <v>USA</v>
      </c>
      <c r="F405" s="8" t="str">
        <f>IFERROR(__xludf.DUMMYFUNCTION("""COMPUTED_VALUE"""),"Mens Cricket Doubles")</f>
        <v>Mens Cricket Doubles</v>
      </c>
      <c r="G405" s="8" t="str">
        <f>IFERROR(__xludf.DUMMYFUNCTION("""COMPUTED_VALUE"""),"3rd")</f>
        <v>3rd</v>
      </c>
      <c r="H405" s="8" t="str">
        <f>IFERROR(__xludf.DUMMYFUNCTION("""COMPUTED_VALUE"""),"OH Regional 32")</f>
        <v>OH Regional 32</v>
      </c>
      <c r="I405" s="10">
        <f>IFERROR(__xludf.DUMMYFUNCTION("""COMPUTED_VALUE"""),42887.0)</f>
        <v>42887</v>
      </c>
      <c r="J405" s="10">
        <f>IFERROR(__xludf.DUMMYFUNCTION("""COMPUTED_VALUE"""),43983.0)</f>
        <v>43983</v>
      </c>
      <c r="K405" s="11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9" t="str">
        <f>IFERROR(__xludf.DUMMYFUNCTION("""COMPUTED_VALUE"""),"Joseph")</f>
        <v>Joseph</v>
      </c>
      <c r="B406" s="8" t="str">
        <f>IFERROR(__xludf.DUMMYFUNCTION("""COMPUTED_VALUE"""),"Jerry")</f>
        <v>Jerry</v>
      </c>
      <c r="C406" s="8" t="str">
        <f>IFERROR(__xludf.DUMMYFUNCTION("""COMPUTED_VALUE"""),"West Liberty")</f>
        <v>West Liberty</v>
      </c>
      <c r="D406" s="8" t="str">
        <f>IFERROR(__xludf.DUMMYFUNCTION("""COMPUTED_VALUE"""),"KY")</f>
        <v>KY</v>
      </c>
      <c r="E406" s="8" t="str">
        <f>IFERROR(__xludf.DUMMYFUNCTION("""COMPUTED_VALUE"""),"USA")</f>
        <v>USA</v>
      </c>
      <c r="F406" s="8" t="str">
        <f>IFERROR(__xludf.DUMMYFUNCTION("""COMPUTED_VALUE"""),"Mens Singles")</f>
        <v>Mens Singles</v>
      </c>
      <c r="G406" s="8" t="str">
        <f>IFERROR(__xludf.DUMMYFUNCTION("""COMPUTED_VALUE"""),"3rd")</f>
        <v>3rd</v>
      </c>
      <c r="H406" s="8" t="str">
        <f>IFERROR(__xludf.DUMMYFUNCTION("""COMPUTED_VALUE"""),"IN Regional 33")</f>
        <v>IN Regional 33</v>
      </c>
      <c r="I406" s="10">
        <f>IFERROR(__xludf.DUMMYFUNCTION("""COMPUTED_VALUE"""),43252.0)</f>
        <v>43252</v>
      </c>
      <c r="J406" s="10">
        <f>IFERROR(__xludf.DUMMYFUNCTION("""COMPUTED_VALUE"""),44348.0)</f>
        <v>44348</v>
      </c>
      <c r="K406" s="11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9" t="str">
        <f>IFERROR(__xludf.DUMMYFUNCTION("""COMPUTED_VALUE"""),"Kaempf")</f>
        <v>Kaempf</v>
      </c>
      <c r="B407" s="8" t="str">
        <f>IFERROR(__xludf.DUMMYFUNCTION("""COMPUTED_VALUE"""),"Adam")</f>
        <v>Adam</v>
      </c>
      <c r="C407" s="8" t="str">
        <f>IFERROR(__xludf.DUMMYFUNCTION("""COMPUTED_VALUE"""),"Miamisburg")</f>
        <v>Miamisburg</v>
      </c>
      <c r="D407" s="8" t="str">
        <f>IFERROR(__xludf.DUMMYFUNCTION("""COMPUTED_VALUE"""),"OH")</f>
        <v>OH</v>
      </c>
      <c r="E407" s="8" t="str">
        <f>IFERROR(__xludf.DUMMYFUNCTION("""COMPUTED_VALUE"""),"USA")</f>
        <v>USA</v>
      </c>
      <c r="F407" s="8" t="str">
        <f>IFERROR(__xludf.DUMMYFUNCTION("""COMPUTED_VALUE"""),"Men Doubles 501")</f>
        <v>Men Doubles 501</v>
      </c>
      <c r="G407" s="8" t="str">
        <f>IFERROR(__xludf.DUMMYFUNCTION("""COMPUTED_VALUE"""),"2nd")</f>
        <v>2nd</v>
      </c>
      <c r="H407" s="8" t="str">
        <f>IFERROR(__xludf.DUMMYFUNCTION("""COMPUTED_VALUE"""),"Tennessee BS 34")</f>
        <v>Tennessee BS 34</v>
      </c>
      <c r="I407" s="10">
        <f>IFERROR(__xludf.DUMMYFUNCTION("""COMPUTED_VALUE"""),43617.0)</f>
        <v>43617</v>
      </c>
      <c r="J407" s="10">
        <f>IFERROR(__xludf.DUMMYFUNCTION("""COMPUTED_VALUE"""),44713.0)</f>
        <v>44713</v>
      </c>
      <c r="K407" s="11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9" t="str">
        <f>IFERROR(__xludf.DUMMYFUNCTION("""COMPUTED_VALUE"""),"Kai")</f>
        <v>Kai</v>
      </c>
      <c r="B408" s="8" t="str">
        <f>IFERROR(__xludf.DUMMYFUNCTION("""COMPUTED_VALUE"""),"Yuichi")</f>
        <v>Yuichi</v>
      </c>
      <c r="C408" s="8" t="str">
        <f>IFERROR(__xludf.DUMMYFUNCTION("""COMPUTED_VALUE"""),"")</f>
        <v/>
      </c>
      <c r="D408" s="8" t="str">
        <f>IFERROR(__xludf.DUMMYFUNCTION("""COMPUTED_VALUE"""),"UNK")</f>
        <v>UNK</v>
      </c>
      <c r="E408" s="8" t="str">
        <f>IFERROR(__xludf.DUMMYFUNCTION("""COMPUTED_VALUE"""),"Japan")</f>
        <v>Japan</v>
      </c>
      <c r="F408" s="8" t="str">
        <f>IFERROR(__xludf.DUMMYFUNCTION("""COMPUTED_VALUE"""),"DL")</f>
        <v>DL</v>
      </c>
      <c r="G408" s="8" t="str">
        <f>IFERROR(__xludf.DUMMYFUNCTION("""COMPUTED_VALUE"""),"68th")</f>
        <v>68th</v>
      </c>
      <c r="H408" s="8" t="str">
        <f>IFERROR(__xludf.DUMMYFUNCTION("""COMPUTED_VALUE"""),"Japan")</f>
        <v>Japan</v>
      </c>
      <c r="I408" s="10">
        <f>IFERROR(__xludf.DUMMYFUNCTION("""COMPUTED_VALUE"""),42401.0)</f>
        <v>42401</v>
      </c>
      <c r="J408" s="10">
        <f>IFERROR(__xludf.DUMMYFUNCTION("""COMPUTED_VALUE"""),44713.0)</f>
        <v>44713</v>
      </c>
      <c r="K408" s="11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9" t="str">
        <f>IFERROR(__xludf.DUMMYFUNCTION("""COMPUTED_VALUE"""),"Kariya")</f>
        <v>Kariya</v>
      </c>
      <c r="B409" s="8" t="str">
        <f>IFERROR(__xludf.DUMMYFUNCTION("""COMPUTED_VALUE"""),"Yohel")</f>
        <v>Yohel</v>
      </c>
      <c r="C409" s="8" t="str">
        <f>IFERROR(__xludf.DUMMYFUNCTION("""COMPUTED_VALUE"""),"")</f>
        <v/>
      </c>
      <c r="D409" s="8" t="str">
        <f>IFERROR(__xludf.DUMMYFUNCTION("""COMPUTED_VALUE"""),"UNK")</f>
        <v>UNK</v>
      </c>
      <c r="E409" s="8" t="str">
        <f>IFERROR(__xludf.DUMMYFUNCTION("""COMPUTED_VALUE"""),"Japan")</f>
        <v>Japan</v>
      </c>
      <c r="F409" s="8" t="str">
        <f>IFERROR(__xludf.DUMMYFUNCTION("""COMPUTED_VALUE"""),"DL")</f>
        <v>DL</v>
      </c>
      <c r="G409" s="8" t="str">
        <f>IFERROR(__xludf.DUMMYFUNCTION("""COMPUTED_VALUE"""),"35th")</f>
        <v>35th</v>
      </c>
      <c r="H409" s="8" t="str">
        <f>IFERROR(__xludf.DUMMYFUNCTION("""COMPUTED_VALUE"""),"DL")</f>
        <v>DL</v>
      </c>
      <c r="I409" s="10">
        <f>IFERROR(__xludf.DUMMYFUNCTION("""COMPUTED_VALUE"""),42401.0)</f>
        <v>42401</v>
      </c>
      <c r="J409" s="10">
        <f>IFERROR(__xludf.DUMMYFUNCTION("""COMPUTED_VALUE"""),44713.0)</f>
        <v>44713</v>
      </c>
      <c r="K409" s="11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9" t="str">
        <f>IFERROR(__xludf.DUMMYFUNCTION("""COMPUTED_VALUE"""),"Karr")</f>
        <v>Karr</v>
      </c>
      <c r="B410" s="8" t="str">
        <f>IFERROR(__xludf.DUMMYFUNCTION("""COMPUTED_VALUE"""),"Troy")</f>
        <v>Troy</v>
      </c>
      <c r="C410" s="8" t="str">
        <f>IFERROR(__xludf.DUMMYFUNCTION("""COMPUTED_VALUE"""),"Navarre")</f>
        <v>Navarre</v>
      </c>
      <c r="D410" s="8" t="str">
        <f>IFERROR(__xludf.DUMMYFUNCTION("""COMPUTED_VALUE"""),"FL")</f>
        <v>FL</v>
      </c>
      <c r="E410" s="8" t="str">
        <f>IFERROR(__xludf.DUMMYFUNCTION("""COMPUTED_VALUE"""),"USA")</f>
        <v>USA</v>
      </c>
      <c r="F410" s="8" t="str">
        <f>IFERROR(__xludf.DUMMYFUNCTION("""COMPUTED_VALUE"""),"Mens Cricket Doubles")</f>
        <v>Mens Cricket Doubles</v>
      </c>
      <c r="G410" s="8" t="str">
        <f>IFERROR(__xludf.DUMMYFUNCTION("""COMPUTED_VALUE"""),"1st")</f>
        <v>1st</v>
      </c>
      <c r="H410" s="8" t="str">
        <f>IFERROR(__xludf.DUMMYFUNCTION("""COMPUTED_VALUE"""),"FL Regional 33")</f>
        <v>FL Regional 33</v>
      </c>
      <c r="I410" s="10">
        <f>IFERROR(__xludf.DUMMYFUNCTION("""COMPUTED_VALUE"""),43252.0)</f>
        <v>43252</v>
      </c>
      <c r="J410" s="10">
        <f>IFERROR(__xludf.DUMMYFUNCTION("""COMPUTED_VALUE"""),44348.0)</f>
        <v>44348</v>
      </c>
      <c r="K410" s="11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9" t="str">
        <f>IFERROR(__xludf.DUMMYFUNCTION("""COMPUTED_VALUE"""),"Kash")</f>
        <v>Kash</v>
      </c>
      <c r="B411" s="8" t="str">
        <f>IFERROR(__xludf.DUMMYFUNCTION("""COMPUTED_VALUE"""),"Robert")</f>
        <v>Robert</v>
      </c>
      <c r="C411" s="8" t="str">
        <f>IFERROR(__xludf.DUMMYFUNCTION("""COMPUTED_VALUE"""),"Dayton")</f>
        <v>Dayton</v>
      </c>
      <c r="D411" s="8" t="str">
        <f>IFERROR(__xludf.DUMMYFUNCTION("""COMPUTED_VALUE"""),"OH")</f>
        <v>OH</v>
      </c>
      <c r="E411" s="8" t="str">
        <f>IFERROR(__xludf.DUMMYFUNCTION("""COMPUTED_VALUE"""),"USA")</f>
        <v>USA</v>
      </c>
      <c r="F411" s="8" t="str">
        <f>IFERROR(__xludf.DUMMYFUNCTION("""COMPUTED_VALUE"""),"Top Gun Mixed Triples")</f>
        <v>Top Gun Mixed Triples</v>
      </c>
      <c r="G411" s="8" t="str">
        <f>IFERROR(__xludf.DUMMYFUNCTION("""COMPUTED_VALUE"""),"3rd/4th")</f>
        <v>3rd/4th</v>
      </c>
      <c r="H411" s="8" t="str">
        <f>IFERROR(__xludf.DUMMYFUNCTION("""COMPUTED_VALUE"""),"BullShooter 32")</f>
        <v>BullShooter 32</v>
      </c>
      <c r="I411" s="10">
        <f>IFERROR(__xludf.DUMMYFUNCTION("""COMPUTED_VALUE"""),42887.0)</f>
        <v>42887</v>
      </c>
      <c r="J411" s="10">
        <f>IFERROR(__xludf.DUMMYFUNCTION("""COMPUTED_VALUE"""),43983.0)</f>
        <v>43983</v>
      </c>
      <c r="K411" s="11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9" t="str">
        <f>IFERROR(__xludf.DUMMYFUNCTION("""COMPUTED_VALUE"""),"Kaster")</f>
        <v>Kaster</v>
      </c>
      <c r="B412" s="8" t="str">
        <f>IFERROR(__xludf.DUMMYFUNCTION("""COMPUTED_VALUE"""),"Travis")</f>
        <v>Travis</v>
      </c>
      <c r="C412" s="8" t="str">
        <f>IFERROR(__xludf.DUMMYFUNCTION("""COMPUTED_VALUE"""),"Madison")</f>
        <v>Madison</v>
      </c>
      <c r="D412" s="8" t="str">
        <f>IFERROR(__xludf.DUMMYFUNCTION("""COMPUTED_VALUE"""),"WI")</f>
        <v>WI</v>
      </c>
      <c r="E412" s="8" t="str">
        <f>IFERROR(__xludf.DUMMYFUNCTION("""COMPUTED_VALUE"""),"USA")</f>
        <v>USA</v>
      </c>
      <c r="F412" s="8" t="str">
        <f>IFERROR(__xludf.DUMMYFUNCTION("""COMPUTED_VALUE"""),"Pro Singles X01")</f>
        <v>Pro Singles X01</v>
      </c>
      <c r="G412" s="8" t="str">
        <f>IFERROR(__xludf.DUMMYFUNCTION("""COMPUTED_VALUE"""),"4th")</f>
        <v>4th</v>
      </c>
      <c r="H412" s="8" t="str">
        <f>IFERROR(__xludf.DUMMYFUNCTION("""COMPUTED_VALUE"""),"Off AA List")</f>
        <v>Off AA List</v>
      </c>
      <c r="I412" s="10">
        <f>IFERROR(__xludf.DUMMYFUNCTION("""COMPUTED_VALUE"""),42887.0)</f>
        <v>42887</v>
      </c>
      <c r="J412" s="10">
        <f>IFERROR(__xludf.DUMMYFUNCTION("""COMPUTED_VALUE"""),43983.0)</f>
        <v>43983</v>
      </c>
      <c r="K412" s="11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9" t="str">
        <f>IFERROR(__xludf.DUMMYFUNCTION("""COMPUTED_VALUE"""),"Kawafuchi")</f>
        <v>Kawafuchi</v>
      </c>
      <c r="B413" s="8" t="str">
        <f>IFERROR(__xludf.DUMMYFUNCTION("""COMPUTED_VALUE"""),"Kyle")</f>
        <v>Kyle</v>
      </c>
      <c r="C413" s="8" t="str">
        <f>IFERROR(__xludf.DUMMYFUNCTION("""COMPUTED_VALUE"""),"GILROY")</f>
        <v>GILROY</v>
      </c>
      <c r="D413" s="8" t="str">
        <f>IFERROR(__xludf.DUMMYFUNCTION("""COMPUTED_VALUE"""),"CA")</f>
        <v>CA</v>
      </c>
      <c r="E413" s="8" t="str">
        <f>IFERROR(__xludf.DUMMYFUNCTION("""COMPUTED_VALUE"""),"USA")</f>
        <v>USA</v>
      </c>
      <c r="F413" s="8" t="str">
        <f>IFERROR(__xludf.DUMMYFUNCTION("""COMPUTED_VALUE"""),"Mens Cricket Doubles")</f>
        <v>Mens Cricket Doubles</v>
      </c>
      <c r="G413" s="8" t="str">
        <f>IFERROR(__xludf.DUMMYFUNCTION("""COMPUTED_VALUE"""),"3rd")</f>
        <v>3rd</v>
      </c>
      <c r="H413" s="8" t="str">
        <f>IFERROR(__xludf.DUMMYFUNCTION("""COMPUTED_VALUE"""),"CA Regional 33")</f>
        <v>CA Regional 33</v>
      </c>
      <c r="I413" s="10">
        <f>IFERROR(__xludf.DUMMYFUNCTION("""COMPUTED_VALUE"""),43252.0)</f>
        <v>43252</v>
      </c>
      <c r="J413" s="10">
        <f>IFERROR(__xludf.DUMMYFUNCTION("""COMPUTED_VALUE"""),44348.0)</f>
        <v>44348</v>
      </c>
      <c r="K413" s="11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9" t="str">
        <f>IFERROR(__xludf.DUMMYFUNCTION("""COMPUTED_VALUE"""),"Kearney")</f>
        <v>Kearney</v>
      </c>
      <c r="B414" s="8" t="str">
        <f>IFERROR(__xludf.DUMMYFUNCTION("""COMPUTED_VALUE"""),"Nicholas")</f>
        <v>Nicholas</v>
      </c>
      <c r="C414" s="8" t="str">
        <f>IFERROR(__xludf.DUMMYFUNCTION("""COMPUTED_VALUE"""),"Austell")</f>
        <v>Austell</v>
      </c>
      <c r="D414" s="8" t="str">
        <f>IFERROR(__xludf.DUMMYFUNCTION("""COMPUTED_VALUE"""),"GA")</f>
        <v>GA</v>
      </c>
      <c r="E414" s="8" t="str">
        <f>IFERROR(__xludf.DUMMYFUNCTION("""COMPUTED_VALUE"""),"USA")</f>
        <v>USA</v>
      </c>
      <c r="F414" s="8" t="str">
        <f>IFERROR(__xludf.DUMMYFUNCTION("""COMPUTED_VALUE"""),"Men Doubles 501")</f>
        <v>Men Doubles 501</v>
      </c>
      <c r="G414" s="8" t="str">
        <f>IFERROR(__xludf.DUMMYFUNCTION("""COMPUTED_VALUE"""),"3rd")</f>
        <v>3rd</v>
      </c>
      <c r="H414" s="8" t="str">
        <f>IFERROR(__xludf.DUMMYFUNCTION("""COMPUTED_VALUE"""),"Georgia BS 34")</f>
        <v>Georgia BS 34</v>
      </c>
      <c r="I414" s="10">
        <f>IFERROR(__xludf.DUMMYFUNCTION("""COMPUTED_VALUE"""),43617.0)</f>
        <v>43617</v>
      </c>
      <c r="J414" s="10">
        <f>IFERROR(__xludf.DUMMYFUNCTION("""COMPUTED_VALUE"""),44713.0)</f>
        <v>44713</v>
      </c>
      <c r="K414" s="11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9" t="str">
        <f>IFERROR(__xludf.DUMMYFUNCTION("""COMPUTED_VALUE"""),"Keehn")</f>
        <v>Keehn</v>
      </c>
      <c r="B415" s="8" t="str">
        <f>IFERROR(__xludf.DUMMYFUNCTION("""COMPUTED_VALUE"""),"Travis")</f>
        <v>Travis</v>
      </c>
      <c r="C415" s="8" t="str">
        <f>IFERROR(__xludf.DUMMYFUNCTION("""COMPUTED_VALUE"""),"La Porte")</f>
        <v>La Porte</v>
      </c>
      <c r="D415" s="8" t="str">
        <f>IFERROR(__xludf.DUMMYFUNCTION("""COMPUTED_VALUE"""),"IN")</f>
        <v>IN</v>
      </c>
      <c r="E415" s="8" t="str">
        <f>IFERROR(__xludf.DUMMYFUNCTION("""COMPUTED_VALUE"""),"USA")</f>
        <v>USA</v>
      </c>
      <c r="F415" s="8" t="str">
        <f>IFERROR(__xludf.DUMMYFUNCTION("""COMPUTED_VALUE"""),"Pro Singles")</f>
        <v>Pro Singles</v>
      </c>
      <c r="G415" s="8" t="str">
        <f>IFERROR(__xludf.DUMMYFUNCTION("""COMPUTED_VALUE"""),"5th")</f>
        <v>5th</v>
      </c>
      <c r="H415" s="8" t="str">
        <f>IFERROR(__xludf.DUMMYFUNCTION("""COMPUTED_VALUE"""),"BS 33 Finals")</f>
        <v>BS 33 Finals</v>
      </c>
      <c r="I415" s="10">
        <f>IFERROR(__xludf.DUMMYFUNCTION("""COMPUTED_VALUE"""),43252.0)</f>
        <v>43252</v>
      </c>
      <c r="J415" s="10">
        <f>IFERROR(__xludf.DUMMYFUNCTION("""COMPUTED_VALUE"""),44348.0)</f>
        <v>44348</v>
      </c>
      <c r="K415" s="11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9" t="str">
        <f>IFERROR(__xludf.DUMMYFUNCTION("""COMPUTED_VALUE"""),"Keith")</f>
        <v>Keith</v>
      </c>
      <c r="B416" s="8" t="str">
        <f>IFERROR(__xludf.DUMMYFUNCTION("""COMPUTED_VALUE"""),"Lawrence")</f>
        <v>Lawrence</v>
      </c>
      <c r="C416" s="8" t="str">
        <f>IFERROR(__xludf.DUMMYFUNCTION("""COMPUTED_VALUE"""),"Streator")</f>
        <v>Streator</v>
      </c>
      <c r="D416" s="8" t="str">
        <f>IFERROR(__xludf.DUMMYFUNCTION("""COMPUTED_VALUE"""),"IL")</f>
        <v>IL</v>
      </c>
      <c r="E416" s="8" t="str">
        <f>IFERROR(__xludf.DUMMYFUNCTION("""COMPUTED_VALUE"""),"USA")</f>
        <v>USA</v>
      </c>
      <c r="F416" s="8" t="str">
        <f>IFERROR(__xludf.DUMMYFUNCTION("""COMPUTED_VALUE"""),"Mixed Triples 701")</f>
        <v>Mixed Triples 701</v>
      </c>
      <c r="G416" s="8" t="str">
        <f>IFERROR(__xludf.DUMMYFUNCTION("""COMPUTED_VALUE"""),"1st")</f>
        <v>1st</v>
      </c>
      <c r="H416" s="8" t="str">
        <f>IFERROR(__xludf.DUMMYFUNCTION("""COMPUTED_VALUE"""),"BullShooter 32")</f>
        <v>BullShooter 32</v>
      </c>
      <c r="I416" s="10">
        <f>IFERROR(__xludf.DUMMYFUNCTION("""COMPUTED_VALUE"""),42887.0)</f>
        <v>42887</v>
      </c>
      <c r="J416" s="10">
        <f>IFERROR(__xludf.DUMMYFUNCTION("""COMPUTED_VALUE"""),43983.0)</f>
        <v>43983</v>
      </c>
      <c r="K416" s="11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9" t="str">
        <f>IFERROR(__xludf.DUMMYFUNCTION("""COMPUTED_VALUE"""),"Kellett")</f>
        <v>Kellett</v>
      </c>
      <c r="B417" s="8" t="str">
        <f>IFERROR(__xludf.DUMMYFUNCTION("""COMPUTED_VALUE"""),"Stuart")</f>
        <v>Stuart</v>
      </c>
      <c r="C417" s="8" t="str">
        <f>IFERROR(__xludf.DUMMYFUNCTION("""COMPUTED_VALUE"""),"")</f>
        <v/>
      </c>
      <c r="D417" s="8" t="str">
        <f>IFERROR(__xludf.DUMMYFUNCTION("""COMPUTED_VALUE"""),"UNK")</f>
        <v>UNK</v>
      </c>
      <c r="E417" s="8" t="str">
        <f>IFERROR(__xludf.DUMMYFUNCTION("""COMPUTED_VALUE"""),"England")</f>
        <v>England</v>
      </c>
      <c r="F417" s="8" t="str">
        <f>IFERROR(__xludf.DUMMYFUNCTION("""COMPUTED_VALUE"""),"PDC Merit Ranking")</f>
        <v>PDC Merit Ranking</v>
      </c>
      <c r="G417" s="8" t="str">
        <f>IFERROR(__xludf.DUMMYFUNCTION("""COMPUTED_VALUE"""),"74th")</f>
        <v>74th</v>
      </c>
      <c r="H417" s="8" t="str">
        <f>IFERROR(__xludf.DUMMYFUNCTION("""COMPUTED_VALUE"""),"PDC Merit Ranking")</f>
        <v>PDC Merit Ranking</v>
      </c>
      <c r="I417" s="10">
        <f>IFERROR(__xludf.DUMMYFUNCTION("""COMPUTED_VALUE"""),42401.0)</f>
        <v>42401</v>
      </c>
      <c r="J417" s="10">
        <f>IFERROR(__xludf.DUMMYFUNCTION("""COMPUTED_VALUE"""),44713.0)</f>
        <v>44713</v>
      </c>
      <c r="K417" s="11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9" t="str">
        <f>IFERROR(__xludf.DUMMYFUNCTION("""COMPUTED_VALUE"""),"Kelley")</f>
        <v>Kelley</v>
      </c>
      <c r="B418" s="8" t="str">
        <f>IFERROR(__xludf.DUMMYFUNCTION("""COMPUTED_VALUE"""),"Aurlin")</f>
        <v>Aurlin</v>
      </c>
      <c r="C418" s="8" t="str">
        <f>IFERROR(__xludf.DUMMYFUNCTION("""COMPUTED_VALUE"""),"Rogersville")</f>
        <v>Rogersville</v>
      </c>
      <c r="D418" s="8" t="str">
        <f>IFERROR(__xludf.DUMMYFUNCTION("""COMPUTED_VALUE"""),"TN")</f>
        <v>TN</v>
      </c>
      <c r="E418" s="8" t="str">
        <f>IFERROR(__xludf.DUMMYFUNCTION("""COMPUTED_VALUE"""),"USA")</f>
        <v>USA</v>
      </c>
      <c r="F418" s="8" t="str">
        <f>IFERROR(__xludf.DUMMYFUNCTION("""COMPUTED_VALUE"""),"Pro Singles Cricket")</f>
        <v>Pro Singles Cricket</v>
      </c>
      <c r="G418" s="8" t="str">
        <f>IFERROR(__xludf.DUMMYFUNCTION("""COMPUTED_VALUE"""),"1st")</f>
        <v>1st</v>
      </c>
      <c r="H418" s="8" t="str">
        <f>IFERROR(__xludf.DUMMYFUNCTION("""COMPUTED_VALUE"""),"Tennessee BS 34")</f>
        <v>Tennessee BS 34</v>
      </c>
      <c r="I418" s="10">
        <f>IFERROR(__xludf.DUMMYFUNCTION("""COMPUTED_VALUE"""),43617.0)</f>
        <v>43617</v>
      </c>
      <c r="J418" s="10">
        <f>IFERROR(__xludf.DUMMYFUNCTION("""COMPUTED_VALUE"""),44713.0)</f>
        <v>44713</v>
      </c>
      <c r="K418" s="11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9" t="str">
        <f>IFERROR(__xludf.DUMMYFUNCTION("""COMPUTED_VALUE"""),"Kelley")</f>
        <v>Kelley</v>
      </c>
      <c r="B419" s="8" t="str">
        <f>IFERROR(__xludf.DUMMYFUNCTION("""COMPUTED_VALUE"""),"Stephen")</f>
        <v>Stephen</v>
      </c>
      <c r="C419" s="8" t="str">
        <f>IFERROR(__xludf.DUMMYFUNCTION("""COMPUTED_VALUE"""),"Wheelersburgh")</f>
        <v>Wheelersburgh</v>
      </c>
      <c r="D419" s="8" t="str">
        <f>IFERROR(__xludf.DUMMYFUNCTION("""COMPUTED_VALUE"""),"OH")</f>
        <v>OH</v>
      </c>
      <c r="E419" s="8" t="str">
        <f>IFERROR(__xludf.DUMMYFUNCTION("""COMPUTED_VALUE"""),"USA")</f>
        <v>USA</v>
      </c>
      <c r="F419" s="8" t="str">
        <f>IFERROR(__xludf.DUMMYFUNCTION("""COMPUTED_VALUE"""),"Pro Doubles 501")</f>
        <v>Pro Doubles 501</v>
      </c>
      <c r="G419" s="8" t="str">
        <f>IFERROR(__xludf.DUMMYFUNCTION("""COMPUTED_VALUE"""),"2nd")</f>
        <v>2nd</v>
      </c>
      <c r="H419" s="8" t="str">
        <f>IFERROR(__xludf.DUMMYFUNCTION("""COMPUTED_VALUE"""),"Ohio BS 34")</f>
        <v>Ohio BS 34</v>
      </c>
      <c r="I419" s="10">
        <f>IFERROR(__xludf.DUMMYFUNCTION("""COMPUTED_VALUE"""),43617.0)</f>
        <v>43617</v>
      </c>
      <c r="J419" s="10">
        <f>IFERROR(__xludf.DUMMYFUNCTION("""COMPUTED_VALUE"""),44713.0)</f>
        <v>44713</v>
      </c>
      <c r="K419" s="11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9" t="str">
        <f>IFERROR(__xludf.DUMMYFUNCTION("""COMPUTED_VALUE"""),"Kennedy")</f>
        <v>Kennedy</v>
      </c>
      <c r="B420" s="8" t="str">
        <f>IFERROR(__xludf.DUMMYFUNCTION("""COMPUTED_VALUE"""),"Corey")</f>
        <v>Corey</v>
      </c>
      <c r="C420" s="8" t="str">
        <f>IFERROR(__xludf.DUMMYFUNCTION("""COMPUTED_VALUE"""),"Sioux Falls")</f>
        <v>Sioux Falls</v>
      </c>
      <c r="D420" s="8" t="str">
        <f>IFERROR(__xludf.DUMMYFUNCTION("""COMPUTED_VALUE"""),"SD")</f>
        <v>SD</v>
      </c>
      <c r="E420" s="8" t="str">
        <f>IFERROR(__xludf.DUMMYFUNCTION("""COMPUTED_VALUE"""),"USA")</f>
        <v>USA</v>
      </c>
      <c r="F420" s="8" t="str">
        <f>IFERROR(__xludf.DUMMYFUNCTION("""COMPUTED_VALUE"""),"Men Doubles Cricket")</f>
        <v>Men Doubles Cricket</v>
      </c>
      <c r="G420" s="8" t="str">
        <f>IFERROR(__xludf.DUMMYFUNCTION("""COMPUTED_VALUE"""),"2nd")</f>
        <v>2nd</v>
      </c>
      <c r="H420" s="8" t="str">
        <f>IFERROR(__xludf.DUMMYFUNCTION("""COMPUTED_VALUE"""),"Nebraska BS 34")</f>
        <v>Nebraska BS 34</v>
      </c>
      <c r="I420" s="10">
        <f>IFERROR(__xludf.DUMMYFUNCTION("""COMPUTED_VALUE"""),43617.0)</f>
        <v>43617</v>
      </c>
      <c r="J420" s="10">
        <f>IFERROR(__xludf.DUMMYFUNCTION("""COMPUTED_VALUE"""),44713.0)</f>
        <v>44713</v>
      </c>
      <c r="K420" s="11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9" t="str">
        <f>IFERROR(__xludf.DUMMYFUNCTION("""COMPUTED_VALUE"""),"Kent")</f>
        <v>Kent</v>
      </c>
      <c r="B421" s="8" t="str">
        <f>IFERROR(__xludf.DUMMYFUNCTION("""COMPUTED_VALUE"""),"Jason")</f>
        <v>Jason</v>
      </c>
      <c r="C421" s="8" t="str">
        <f>IFERROR(__xludf.DUMMYFUNCTION("""COMPUTED_VALUE"""),"New London")</f>
        <v>New London</v>
      </c>
      <c r="D421" s="8" t="str">
        <f>IFERROR(__xludf.DUMMYFUNCTION("""COMPUTED_VALUE"""),"WI")</f>
        <v>WI</v>
      </c>
      <c r="E421" s="8" t="str">
        <f>IFERROR(__xludf.DUMMYFUNCTION("""COMPUTED_VALUE"""),"USA")</f>
        <v>USA</v>
      </c>
      <c r="F421" s="8" t="str">
        <f>IFERROR(__xludf.DUMMYFUNCTION("""COMPUTED_VALUE"""),"Mixed Triples")</f>
        <v>Mixed Triples</v>
      </c>
      <c r="G421" s="8" t="str">
        <f>IFERROR(__xludf.DUMMYFUNCTION("""COMPUTED_VALUE"""),"4th")</f>
        <v>4th</v>
      </c>
      <c r="H421" s="8" t="str">
        <f>IFERROR(__xludf.DUMMYFUNCTION("""COMPUTED_VALUE"""),"BS 33 Finals")</f>
        <v>BS 33 Finals</v>
      </c>
      <c r="I421" s="10">
        <f>IFERROR(__xludf.DUMMYFUNCTION("""COMPUTED_VALUE"""),43252.0)</f>
        <v>43252</v>
      </c>
      <c r="J421" s="10">
        <f>IFERROR(__xludf.DUMMYFUNCTION("""COMPUTED_VALUE"""),44348.0)</f>
        <v>44348</v>
      </c>
      <c r="K421" s="11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9" t="str">
        <f>IFERROR(__xludf.DUMMYFUNCTION("""COMPUTED_VALUE"""),"Keosaian")</f>
        <v>Keosaian</v>
      </c>
      <c r="B422" s="8" t="str">
        <f>IFERROR(__xludf.DUMMYFUNCTION("""COMPUTED_VALUE"""),"David")</f>
        <v>David</v>
      </c>
      <c r="C422" s="8" t="str">
        <f>IFERROR(__xludf.DUMMYFUNCTION("""COMPUTED_VALUE"""),"")</f>
        <v/>
      </c>
      <c r="D422" s="8" t="str">
        <f>IFERROR(__xludf.DUMMYFUNCTION("""COMPUTED_VALUE"""),"UNK")</f>
        <v>UNK</v>
      </c>
      <c r="E422" s="8" t="str">
        <f>IFERROR(__xludf.DUMMYFUNCTION("""COMPUTED_VALUE"""),"UNK")</f>
        <v>UNK</v>
      </c>
      <c r="F422" s="8" t="str">
        <f>IFERROR(__xludf.DUMMYFUNCTION("""COMPUTED_VALUE"""),"ADO 2016")</f>
        <v>ADO 2016</v>
      </c>
      <c r="G422" s="8" t="str">
        <f>IFERROR(__xludf.DUMMYFUNCTION("""COMPUTED_VALUE"""),"40th")</f>
        <v>40th</v>
      </c>
      <c r="H422" s="8" t="str">
        <f>IFERROR(__xludf.DUMMYFUNCTION("""COMPUTED_VALUE"""),"ADO 2016")</f>
        <v>ADO 2016</v>
      </c>
      <c r="I422" s="10">
        <f>IFERROR(__xludf.DUMMYFUNCTION("""COMPUTED_VALUE"""),42401.0)</f>
        <v>42401</v>
      </c>
      <c r="J422" s="10">
        <f>IFERROR(__xludf.DUMMYFUNCTION("""COMPUTED_VALUE"""),44713.0)</f>
        <v>44713</v>
      </c>
      <c r="K422" s="11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9" t="str">
        <f>IFERROR(__xludf.DUMMYFUNCTION("""COMPUTED_VALUE"""),"Khan")</f>
        <v>Khan</v>
      </c>
      <c r="B423" s="8" t="str">
        <f>IFERROR(__xludf.DUMMYFUNCTION("""COMPUTED_VALUE"""),"Shiraz")</f>
        <v>Shiraz</v>
      </c>
      <c r="C423" s="8" t="str">
        <f>IFERROR(__xludf.DUMMYFUNCTION("""COMPUTED_VALUE"""),"Deactur")</f>
        <v>Deactur</v>
      </c>
      <c r="D423" s="8" t="str">
        <f>IFERROR(__xludf.DUMMYFUNCTION("""COMPUTED_VALUE"""),"IL")</f>
        <v>IL</v>
      </c>
      <c r="E423" s="8" t="str">
        <f>IFERROR(__xludf.DUMMYFUNCTION("""COMPUTED_VALUE"""),"USA")</f>
        <v>USA</v>
      </c>
      <c r="F423" s="8" t="str">
        <f>IFERROR(__xludf.DUMMYFUNCTION("""COMPUTED_VALUE"""),"Pro/Am Cricket")</f>
        <v>Pro/Am Cricket</v>
      </c>
      <c r="G423" s="8" t="str">
        <f>IFERROR(__xludf.DUMMYFUNCTION("""COMPUTED_VALUE"""),"2nd")</f>
        <v>2nd</v>
      </c>
      <c r="H423" s="8" t="str">
        <f>IFERROR(__xludf.DUMMYFUNCTION("""COMPUTED_VALUE"""),"South Carolina BS 34")</f>
        <v>South Carolina BS 34</v>
      </c>
      <c r="I423" s="10">
        <f>IFERROR(__xludf.DUMMYFUNCTION("""COMPUTED_VALUE"""),43617.0)</f>
        <v>43617</v>
      </c>
      <c r="J423" s="10">
        <f>IFERROR(__xludf.DUMMYFUNCTION("""COMPUTED_VALUE"""),44713.0)</f>
        <v>44713</v>
      </c>
      <c r="K423" s="11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9" t="str">
        <f>IFERROR(__xludf.DUMMYFUNCTION("""COMPUTED_VALUE"""),"Kielman")</f>
        <v>Kielman</v>
      </c>
      <c r="B424" s="8" t="str">
        <f>IFERROR(__xludf.DUMMYFUNCTION("""COMPUTED_VALUE"""),"Nick")</f>
        <v>Nick</v>
      </c>
      <c r="C424" s="8" t="str">
        <f>IFERROR(__xludf.DUMMYFUNCTION("""COMPUTED_VALUE"""),"Jacksonville")</f>
        <v>Jacksonville</v>
      </c>
      <c r="D424" s="8" t="str">
        <f>IFERROR(__xludf.DUMMYFUNCTION("""COMPUTED_VALUE"""),"FL")</f>
        <v>FL</v>
      </c>
      <c r="E424" s="8" t="str">
        <f>IFERROR(__xludf.DUMMYFUNCTION("""COMPUTED_VALUE"""),"USA")</f>
        <v>USA</v>
      </c>
      <c r="F424" s="8" t="str">
        <f>IFERROR(__xludf.DUMMYFUNCTION("""COMPUTED_VALUE"""),"Pro/Am Cricket")</f>
        <v>Pro/Am Cricket</v>
      </c>
      <c r="G424" s="8" t="str">
        <f>IFERROR(__xludf.DUMMYFUNCTION("""COMPUTED_VALUE"""),"1st")</f>
        <v>1st</v>
      </c>
      <c r="H424" s="8" t="str">
        <f>IFERROR(__xludf.DUMMYFUNCTION("""COMPUTED_VALUE"""),"FL Regional 33")</f>
        <v>FL Regional 33</v>
      </c>
      <c r="I424" s="10">
        <f>IFERROR(__xludf.DUMMYFUNCTION("""COMPUTED_VALUE"""),43252.0)</f>
        <v>43252</v>
      </c>
      <c r="J424" s="10">
        <f>IFERROR(__xludf.DUMMYFUNCTION("""COMPUTED_VALUE"""),44348.0)</f>
        <v>44348</v>
      </c>
      <c r="K424" s="11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9" t="str">
        <f>IFERROR(__xludf.DUMMYFUNCTION("""COMPUTED_VALUE"""),"Kieper")</f>
        <v>Kieper</v>
      </c>
      <c r="B425" s="8" t="str">
        <f>IFERROR(__xludf.DUMMYFUNCTION("""COMPUTED_VALUE"""),"Gary")</f>
        <v>Gary</v>
      </c>
      <c r="C425" s="8" t="str">
        <f>IFERROR(__xludf.DUMMYFUNCTION("""COMPUTED_VALUE"""),"Winnebago")</f>
        <v>Winnebago</v>
      </c>
      <c r="D425" s="8" t="str">
        <f>IFERROR(__xludf.DUMMYFUNCTION("""COMPUTED_VALUE"""),"IL")</f>
        <v>IL</v>
      </c>
      <c r="E425" s="8" t="str">
        <f>IFERROR(__xludf.DUMMYFUNCTION("""COMPUTED_VALUE"""),"USA")</f>
        <v>USA</v>
      </c>
      <c r="F425" s="8" t="str">
        <f>IFERROR(__xludf.DUMMYFUNCTION("""COMPUTED_VALUE"""),"Mixed Cricket")</f>
        <v>Mixed Cricket</v>
      </c>
      <c r="G425" s="8" t="str">
        <f>IFERROR(__xludf.DUMMYFUNCTION("""COMPUTED_VALUE"""),"1st")</f>
        <v>1st</v>
      </c>
      <c r="H425" s="8" t="str">
        <f>IFERROR(__xludf.DUMMYFUNCTION("""COMPUTED_VALUE"""),"BS 33 Finals")</f>
        <v>BS 33 Finals</v>
      </c>
      <c r="I425" s="10">
        <f>IFERROR(__xludf.DUMMYFUNCTION("""COMPUTED_VALUE"""),43252.0)</f>
        <v>43252</v>
      </c>
      <c r="J425" s="10">
        <f>IFERROR(__xludf.DUMMYFUNCTION("""COMPUTED_VALUE"""),44348.0)</f>
        <v>44348</v>
      </c>
      <c r="K425" s="11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9" t="str">
        <f>IFERROR(__xludf.DUMMYFUNCTION("""COMPUTED_VALUE"""),"Kim")</f>
        <v>Kim</v>
      </c>
      <c r="B426" s="8" t="str">
        <f>IFERROR(__xludf.DUMMYFUNCTION("""COMPUTED_VALUE"""),"Michael")</f>
        <v>Michael</v>
      </c>
      <c r="C426" s="8" t="str">
        <f>IFERROR(__xludf.DUMMYFUNCTION("""COMPUTED_VALUE"""),"Midwest City")</f>
        <v>Midwest City</v>
      </c>
      <c r="D426" s="8" t="str">
        <f>IFERROR(__xludf.DUMMYFUNCTION("""COMPUTED_VALUE"""),"OK")</f>
        <v>OK</v>
      </c>
      <c r="E426" s="8" t="str">
        <f>IFERROR(__xludf.DUMMYFUNCTION("""COMPUTED_VALUE"""),"USA")</f>
        <v>USA</v>
      </c>
      <c r="F426" s="8" t="str">
        <f>IFERROR(__xludf.DUMMYFUNCTION("""COMPUTED_VALUE"""),"Men Doubles Cricket")</f>
        <v>Men Doubles Cricket</v>
      </c>
      <c r="G426" s="8" t="str">
        <f>IFERROR(__xludf.DUMMYFUNCTION("""COMPUTED_VALUE"""),"3rd")</f>
        <v>3rd</v>
      </c>
      <c r="H426" s="8" t="str">
        <f>IFERROR(__xludf.DUMMYFUNCTION("""COMPUTED_VALUE"""),"Nebraska BS 34")</f>
        <v>Nebraska BS 34</v>
      </c>
      <c r="I426" s="10">
        <f>IFERROR(__xludf.DUMMYFUNCTION("""COMPUTED_VALUE"""),43617.0)</f>
        <v>43617</v>
      </c>
      <c r="J426" s="10">
        <f>IFERROR(__xludf.DUMMYFUNCTION("""COMPUTED_VALUE"""),44713.0)</f>
        <v>44713</v>
      </c>
      <c r="K426" s="11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9" t="str">
        <f>IFERROR(__xludf.DUMMYFUNCTION("""COMPUTED_VALUE"""),"King")</f>
        <v>King</v>
      </c>
      <c r="B427" s="8" t="str">
        <f>IFERROR(__xludf.DUMMYFUNCTION("""COMPUTED_VALUE"""),"Dan")</f>
        <v>Dan</v>
      </c>
      <c r="C427" s="8" t="str">
        <f>IFERROR(__xludf.DUMMYFUNCTION("""COMPUTED_VALUE"""),"Dekalb")</f>
        <v>Dekalb</v>
      </c>
      <c r="D427" s="8" t="str">
        <f>IFERROR(__xludf.DUMMYFUNCTION("""COMPUTED_VALUE"""),"IL")</f>
        <v>IL</v>
      </c>
      <c r="E427" s="8" t="str">
        <f>IFERROR(__xludf.DUMMYFUNCTION("""COMPUTED_VALUE"""),"USA")</f>
        <v>USA</v>
      </c>
      <c r="F427" s="8" t="str">
        <f>IFERROR(__xludf.DUMMYFUNCTION("""COMPUTED_VALUE"""),"Mens Singles")</f>
        <v>Mens Singles</v>
      </c>
      <c r="G427" s="8" t="str">
        <f>IFERROR(__xludf.DUMMYFUNCTION("""COMPUTED_VALUE"""),"3rd")</f>
        <v>3rd</v>
      </c>
      <c r="H427" s="8" t="str">
        <f>IFERROR(__xludf.DUMMYFUNCTION("""COMPUTED_VALUE"""),"WI Regional 33")</f>
        <v>WI Regional 33</v>
      </c>
      <c r="I427" s="10">
        <f>IFERROR(__xludf.DUMMYFUNCTION("""COMPUTED_VALUE"""),43252.0)</f>
        <v>43252</v>
      </c>
      <c r="J427" s="10">
        <f>IFERROR(__xludf.DUMMYFUNCTION("""COMPUTED_VALUE"""),44348.0)</f>
        <v>44348</v>
      </c>
      <c r="K427" s="11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9" t="str">
        <f>IFERROR(__xludf.DUMMYFUNCTION("""COMPUTED_VALUE"""),"Kinter")</f>
        <v>Kinter</v>
      </c>
      <c r="B428" s="8" t="str">
        <f>IFERROR(__xludf.DUMMYFUNCTION("""COMPUTED_VALUE"""),"Robert")</f>
        <v>Robert</v>
      </c>
      <c r="C428" s="8" t="str">
        <f>IFERROR(__xludf.DUMMYFUNCTION("""COMPUTED_VALUE"""),"South Bend")</f>
        <v>South Bend</v>
      </c>
      <c r="D428" s="8" t="str">
        <f>IFERROR(__xludf.DUMMYFUNCTION("""COMPUTED_VALUE"""),"IN")</f>
        <v>IN</v>
      </c>
      <c r="E428" s="8" t="str">
        <f>IFERROR(__xludf.DUMMYFUNCTION("""COMPUTED_VALUE"""),"USA")</f>
        <v>USA</v>
      </c>
      <c r="F428" s="8" t="str">
        <f>IFERROR(__xludf.DUMMYFUNCTION("""COMPUTED_VALUE"""),"Mens Doubles")</f>
        <v>Mens Doubles</v>
      </c>
      <c r="G428" s="8" t="str">
        <f>IFERROR(__xludf.DUMMYFUNCTION("""COMPUTED_VALUE"""),"3rd")</f>
        <v>3rd</v>
      </c>
      <c r="H428" s="8" t="str">
        <f>IFERROR(__xludf.DUMMYFUNCTION("""COMPUTED_VALUE"""),"IN Regional 33")</f>
        <v>IN Regional 33</v>
      </c>
      <c r="I428" s="10">
        <f>IFERROR(__xludf.DUMMYFUNCTION("""COMPUTED_VALUE"""),43252.0)</f>
        <v>43252</v>
      </c>
      <c r="J428" s="10">
        <f>IFERROR(__xludf.DUMMYFUNCTION("""COMPUTED_VALUE"""),44348.0)</f>
        <v>44348</v>
      </c>
      <c r="K428" s="11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9" t="str">
        <f>IFERROR(__xludf.DUMMYFUNCTION("""COMPUTED_VALUE"""),"Kirby")</f>
        <v>Kirby</v>
      </c>
      <c r="B429" s="8" t="str">
        <f>IFERROR(__xludf.DUMMYFUNCTION("""COMPUTED_VALUE"""),"Robert")</f>
        <v>Robert</v>
      </c>
      <c r="C429" s="8" t="str">
        <f>IFERROR(__xludf.DUMMYFUNCTION("""COMPUTED_VALUE"""),"Tulsa")</f>
        <v>Tulsa</v>
      </c>
      <c r="D429" s="8" t="str">
        <f>IFERROR(__xludf.DUMMYFUNCTION("""COMPUTED_VALUE"""),"OK")</f>
        <v>OK</v>
      </c>
      <c r="E429" s="8" t="str">
        <f>IFERROR(__xludf.DUMMYFUNCTION("""COMPUTED_VALUE"""),"USA")</f>
        <v>USA</v>
      </c>
      <c r="F429" s="8" t="str">
        <f>IFERROR(__xludf.DUMMYFUNCTION("""COMPUTED_VALUE"""),"Men Doubles Cricket")</f>
        <v>Men Doubles Cricket</v>
      </c>
      <c r="G429" s="8" t="str">
        <f>IFERROR(__xludf.DUMMYFUNCTION("""COMPUTED_VALUE"""),"3rd")</f>
        <v>3rd</v>
      </c>
      <c r="H429" s="8" t="str">
        <f>IFERROR(__xludf.DUMMYFUNCTION("""COMPUTED_VALUE"""),"Nebraska BS 34")</f>
        <v>Nebraska BS 34</v>
      </c>
      <c r="I429" s="10">
        <f>IFERROR(__xludf.DUMMYFUNCTION("""COMPUTED_VALUE"""),43617.0)</f>
        <v>43617</v>
      </c>
      <c r="J429" s="10">
        <f>IFERROR(__xludf.DUMMYFUNCTION("""COMPUTED_VALUE"""),44713.0)</f>
        <v>44713</v>
      </c>
      <c r="K429" s="11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9" t="str">
        <f>IFERROR(__xludf.DUMMYFUNCTION("""COMPUTED_VALUE"""),"Kirk")</f>
        <v>Kirk</v>
      </c>
      <c r="B430" s="8" t="str">
        <f>IFERROR(__xludf.DUMMYFUNCTION("""COMPUTED_VALUE"""),"Philip")</f>
        <v>Philip</v>
      </c>
      <c r="C430" s="8" t="str">
        <f>IFERROR(__xludf.DUMMYFUNCTION("""COMPUTED_VALUE"""),"Taylor")</f>
        <v>Taylor</v>
      </c>
      <c r="D430" s="8" t="str">
        <f>IFERROR(__xludf.DUMMYFUNCTION("""COMPUTED_VALUE"""),"MI")</f>
        <v>MI</v>
      </c>
      <c r="E430" s="8" t="str">
        <f>IFERROR(__xludf.DUMMYFUNCTION("""COMPUTED_VALUE"""),"USA")</f>
        <v>USA</v>
      </c>
      <c r="F430" s="8" t="str">
        <f>IFERROR(__xludf.DUMMYFUNCTION("""COMPUTED_VALUE"""),"Mens Singles")</f>
        <v>Mens Singles</v>
      </c>
      <c r="G430" s="8" t="str">
        <f>IFERROR(__xludf.DUMMYFUNCTION("""COMPUTED_VALUE"""),"2nd")</f>
        <v>2nd</v>
      </c>
      <c r="H430" s="8" t="str">
        <f>IFERROR(__xludf.DUMMYFUNCTION("""COMPUTED_VALUE"""),"IN Regional 33")</f>
        <v>IN Regional 33</v>
      </c>
      <c r="I430" s="10">
        <f>IFERROR(__xludf.DUMMYFUNCTION("""COMPUTED_VALUE"""),43252.0)</f>
        <v>43252</v>
      </c>
      <c r="J430" s="10">
        <f>IFERROR(__xludf.DUMMYFUNCTION("""COMPUTED_VALUE"""),44348.0)</f>
        <v>44348</v>
      </c>
      <c r="K430" s="11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9" t="str">
        <f>IFERROR(__xludf.DUMMYFUNCTION("""COMPUTED_VALUE"""),"Kirkendoll")</f>
        <v>Kirkendoll</v>
      </c>
      <c r="B431" s="8" t="str">
        <f>IFERROR(__xludf.DUMMYFUNCTION("""COMPUTED_VALUE"""),"Jermaine")</f>
        <v>Jermaine</v>
      </c>
      <c r="C431" s="8" t="str">
        <f>IFERROR(__xludf.DUMMYFUNCTION("""COMPUTED_VALUE"""),"Loraine")</f>
        <v>Loraine</v>
      </c>
      <c r="D431" s="8" t="str">
        <f>IFERROR(__xludf.DUMMYFUNCTION("""COMPUTED_VALUE"""),"OH")</f>
        <v>OH</v>
      </c>
      <c r="E431" s="8" t="str">
        <f>IFERROR(__xludf.DUMMYFUNCTION("""COMPUTED_VALUE"""),"USA")</f>
        <v>USA</v>
      </c>
      <c r="F431" s="8" t="str">
        <f>IFERROR(__xludf.DUMMYFUNCTION("""COMPUTED_VALUE"""),"Mixed Triples 701")</f>
        <v>Mixed Triples 701</v>
      </c>
      <c r="G431" s="8" t="str">
        <f>IFERROR(__xludf.DUMMYFUNCTION("""COMPUTED_VALUE"""),"1st")</f>
        <v>1st</v>
      </c>
      <c r="H431" s="8" t="str">
        <f>IFERROR(__xludf.DUMMYFUNCTION("""COMPUTED_VALUE"""),"Ohio BS 34")</f>
        <v>Ohio BS 34</v>
      </c>
      <c r="I431" s="10">
        <f>IFERROR(__xludf.DUMMYFUNCTION("""COMPUTED_VALUE"""),43617.0)</f>
        <v>43617</v>
      </c>
      <c r="J431" s="10">
        <f>IFERROR(__xludf.DUMMYFUNCTION("""COMPUTED_VALUE"""),44713.0)</f>
        <v>44713</v>
      </c>
      <c r="K431" s="11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9" t="str">
        <f>IFERROR(__xludf.DUMMYFUNCTION("""COMPUTED_VALUE"""),"Kitts")</f>
        <v>Kitts</v>
      </c>
      <c r="B432" s="8" t="str">
        <f>IFERROR(__xludf.DUMMYFUNCTION("""COMPUTED_VALUE"""),"Jason")</f>
        <v>Jason</v>
      </c>
      <c r="C432" s="8" t="str">
        <f>IFERROR(__xludf.DUMMYFUNCTION("""COMPUTED_VALUE"""),"Powell")</f>
        <v>Powell</v>
      </c>
      <c r="D432" s="8" t="str">
        <f>IFERROR(__xludf.DUMMYFUNCTION("""COMPUTED_VALUE"""),"TN")</f>
        <v>TN</v>
      </c>
      <c r="E432" s="8" t="str">
        <f>IFERROR(__xludf.DUMMYFUNCTION("""COMPUTED_VALUE"""),"USA")</f>
        <v>USA</v>
      </c>
      <c r="F432" s="8" t="str">
        <f>IFERROR(__xludf.DUMMYFUNCTION("""COMPUTED_VALUE"""),"Pro Doubles 501")</f>
        <v>Pro Doubles 501</v>
      </c>
      <c r="G432" s="8" t="str">
        <f>IFERROR(__xludf.DUMMYFUNCTION("""COMPUTED_VALUE"""),"3rd")</f>
        <v>3rd</v>
      </c>
      <c r="H432" s="8" t="str">
        <f>IFERROR(__xludf.DUMMYFUNCTION("""COMPUTED_VALUE"""),"Tennessee BS 34")</f>
        <v>Tennessee BS 34</v>
      </c>
      <c r="I432" s="10">
        <f>IFERROR(__xludf.DUMMYFUNCTION("""COMPUTED_VALUE"""),43617.0)</f>
        <v>43617</v>
      </c>
      <c r="J432" s="10">
        <f>IFERROR(__xludf.DUMMYFUNCTION("""COMPUTED_VALUE"""),44713.0)</f>
        <v>44713</v>
      </c>
      <c r="K432" s="11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9" t="str">
        <f>IFERROR(__xludf.DUMMYFUNCTION("""COMPUTED_VALUE"""),"Klinefelter")</f>
        <v>Klinefelter</v>
      </c>
      <c r="B433" s="8" t="str">
        <f>IFERROR(__xludf.DUMMYFUNCTION("""COMPUTED_VALUE"""),"Adam")</f>
        <v>Adam</v>
      </c>
      <c r="C433" s="8" t="str">
        <f>IFERROR(__xludf.DUMMYFUNCTION("""COMPUTED_VALUE"""),"Indianapolis")</f>
        <v>Indianapolis</v>
      </c>
      <c r="D433" s="8" t="str">
        <f>IFERROR(__xludf.DUMMYFUNCTION("""COMPUTED_VALUE"""),"IN")</f>
        <v>IN</v>
      </c>
      <c r="E433" s="8" t="str">
        <f>IFERROR(__xludf.DUMMYFUNCTION("""COMPUTED_VALUE"""),"USA")</f>
        <v>USA</v>
      </c>
      <c r="F433" s="8" t="str">
        <f>IFERROR(__xludf.DUMMYFUNCTION("""COMPUTED_VALUE"""),"Pro Doubles 501")</f>
        <v>Pro Doubles 501</v>
      </c>
      <c r="G433" s="8" t="str">
        <f>IFERROR(__xludf.DUMMYFUNCTION("""COMPUTED_VALUE"""),"3rd")</f>
        <v>3rd</v>
      </c>
      <c r="H433" s="8" t="str">
        <f>IFERROR(__xludf.DUMMYFUNCTION("""COMPUTED_VALUE"""),"Indiana BS 34")</f>
        <v>Indiana BS 34</v>
      </c>
      <c r="I433" s="10">
        <f>IFERROR(__xludf.DUMMYFUNCTION("""COMPUTED_VALUE"""),43617.0)</f>
        <v>43617</v>
      </c>
      <c r="J433" s="10">
        <f>IFERROR(__xludf.DUMMYFUNCTION("""COMPUTED_VALUE"""),44713.0)</f>
        <v>44713</v>
      </c>
      <c r="K433" s="11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9" t="str">
        <f>IFERROR(__xludf.DUMMYFUNCTION("""COMPUTED_VALUE"""),"Koehler")</f>
        <v>Koehler</v>
      </c>
      <c r="B434" s="8" t="str">
        <f>IFERROR(__xludf.DUMMYFUNCTION("""COMPUTED_VALUE"""),"Robert")</f>
        <v>Robert</v>
      </c>
      <c r="C434" s="8" t="str">
        <f>IFERROR(__xludf.DUMMYFUNCTION("""COMPUTED_VALUE"""),"Caseyville")</f>
        <v>Caseyville</v>
      </c>
      <c r="D434" s="8" t="str">
        <f>IFERROR(__xludf.DUMMYFUNCTION("""COMPUTED_VALUE"""),"IL")</f>
        <v>IL</v>
      </c>
      <c r="E434" s="8" t="str">
        <f>IFERROR(__xludf.DUMMYFUNCTION("""COMPUTED_VALUE"""),"USA")</f>
        <v>USA</v>
      </c>
      <c r="F434" s="8" t="str">
        <f>IFERROR(__xludf.DUMMYFUNCTION("""COMPUTED_VALUE"""),"Men Doubles Cricket")</f>
        <v>Men Doubles Cricket</v>
      </c>
      <c r="G434" s="8" t="str">
        <f>IFERROR(__xludf.DUMMYFUNCTION("""COMPUTED_VALUE"""),"1st")</f>
        <v>1st</v>
      </c>
      <c r="H434" s="8" t="str">
        <f>IFERROR(__xludf.DUMMYFUNCTION("""COMPUTED_VALUE"""),"Tennessee BS 34")</f>
        <v>Tennessee BS 34</v>
      </c>
      <c r="I434" s="10">
        <f>IFERROR(__xludf.DUMMYFUNCTION("""COMPUTED_VALUE"""),43617.0)</f>
        <v>43617</v>
      </c>
      <c r="J434" s="10">
        <f>IFERROR(__xludf.DUMMYFUNCTION("""COMPUTED_VALUE"""),44713.0)</f>
        <v>44713</v>
      </c>
      <c r="K434" s="11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12" t="str">
        <f>IFERROR(__xludf.DUMMYFUNCTION("""COMPUTED_VALUE"""),"Koller")</f>
        <v>Koller</v>
      </c>
      <c r="B435" s="13" t="str">
        <f>IFERROR(__xludf.DUMMYFUNCTION("""COMPUTED_VALUE"""),"Joseph")</f>
        <v>Joseph</v>
      </c>
      <c r="C435" s="13" t="str">
        <f>IFERROR(__xludf.DUMMYFUNCTION("""COMPUTED_VALUE"""),"Jacksonville")</f>
        <v>Jacksonville</v>
      </c>
      <c r="D435" s="13" t="str">
        <f>IFERROR(__xludf.DUMMYFUNCTION("""COMPUTED_VALUE"""),"FL")</f>
        <v>FL</v>
      </c>
      <c r="E435" s="13" t="str">
        <f>IFERROR(__xludf.DUMMYFUNCTION("""COMPUTED_VALUE"""),"USA")</f>
        <v>USA</v>
      </c>
      <c r="F435" s="13" t="str">
        <f>IFERROR(__xludf.DUMMYFUNCTION("""COMPUTED_VALUE"""),"Mens Singles")</f>
        <v>Mens Singles</v>
      </c>
      <c r="G435" s="13" t="str">
        <f>IFERROR(__xludf.DUMMYFUNCTION("""COMPUTED_VALUE"""),"2nd")</f>
        <v>2nd</v>
      </c>
      <c r="H435" s="13" t="str">
        <f>IFERROR(__xludf.DUMMYFUNCTION("""COMPUTED_VALUE"""),"Florida Regional 32")</f>
        <v>Florida Regional 32</v>
      </c>
      <c r="I435" s="14">
        <f>IFERROR(__xludf.DUMMYFUNCTION("""COMPUTED_VALUE"""),42887.0)</f>
        <v>42887</v>
      </c>
      <c r="J435" s="14">
        <f>IFERROR(__xludf.DUMMYFUNCTION("""COMPUTED_VALUE"""),43983.0)</f>
        <v>43983</v>
      </c>
      <c r="K435" s="11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9" t="str">
        <f>IFERROR(__xludf.DUMMYFUNCTION("""COMPUTED_VALUE"""),"Kollias")</f>
        <v>Kollias</v>
      </c>
      <c r="B436" s="8" t="str">
        <f>IFERROR(__xludf.DUMMYFUNCTION("""COMPUTED_VALUE"""),"Luke")</f>
        <v>Luke</v>
      </c>
      <c r="C436" s="8" t="str">
        <f>IFERROR(__xludf.DUMMYFUNCTION("""COMPUTED_VALUE"""),"Parma")</f>
        <v>Parma</v>
      </c>
      <c r="D436" s="8" t="str">
        <f>IFERROR(__xludf.DUMMYFUNCTION("""COMPUTED_VALUE"""),"OH")</f>
        <v>OH</v>
      </c>
      <c r="E436" s="8" t="str">
        <f>IFERROR(__xludf.DUMMYFUNCTION("""COMPUTED_VALUE"""),"USA")</f>
        <v>USA</v>
      </c>
      <c r="F436" s="8" t="str">
        <f>IFERROR(__xludf.DUMMYFUNCTION("""COMPUTED_VALUE"""),"Men 501 Doubles")</f>
        <v>Men 501 Doubles</v>
      </c>
      <c r="G436" s="8" t="str">
        <f>IFERROR(__xludf.DUMMYFUNCTION("""COMPUTED_VALUE"""),"2nd")</f>
        <v>2nd</v>
      </c>
      <c r="H436" s="8" t="str">
        <f>IFERROR(__xludf.DUMMYFUNCTION("""COMPUTED_VALUE"""),"BullShooter 34 Finals")</f>
        <v>BullShooter 34 Finals</v>
      </c>
      <c r="I436" s="10">
        <f>IFERROR(__xludf.DUMMYFUNCTION("""COMPUTED_VALUE"""),43617.0)</f>
        <v>43617</v>
      </c>
      <c r="J436" s="10">
        <f>IFERROR(__xludf.DUMMYFUNCTION("""COMPUTED_VALUE"""),44713.0)</f>
        <v>44713</v>
      </c>
      <c r="K436" s="11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9" t="str">
        <f>IFERROR(__xludf.DUMMYFUNCTION("""COMPUTED_VALUE"""),"Koment")</f>
        <v>Koment</v>
      </c>
      <c r="B437" s="8" t="str">
        <f>IFERROR(__xludf.DUMMYFUNCTION("""COMPUTED_VALUE"""),"Ed")</f>
        <v>Ed</v>
      </c>
      <c r="C437" s="8" t="str">
        <f>IFERROR(__xludf.DUMMYFUNCTION("""COMPUTED_VALUE"""),"Lewisville")</f>
        <v>Lewisville</v>
      </c>
      <c r="D437" s="8" t="str">
        <f>IFERROR(__xludf.DUMMYFUNCTION("""COMPUTED_VALUE"""),"NC")</f>
        <v>NC</v>
      </c>
      <c r="E437" s="8" t="str">
        <f>IFERROR(__xludf.DUMMYFUNCTION("""COMPUTED_VALUE"""),"USA")</f>
        <v>USA</v>
      </c>
      <c r="F437" s="8" t="str">
        <f>IFERROR(__xludf.DUMMYFUNCTION("""COMPUTED_VALUE"""),"Mens Singles")</f>
        <v>Mens Singles</v>
      </c>
      <c r="G437" s="8" t="str">
        <f>IFERROR(__xludf.DUMMYFUNCTION("""COMPUTED_VALUE"""),"3rd")</f>
        <v>3rd</v>
      </c>
      <c r="H437" s="8" t="str">
        <f>IFERROR(__xludf.DUMMYFUNCTION("""COMPUTED_VALUE"""),"SC Regional 33")</f>
        <v>SC Regional 33</v>
      </c>
      <c r="I437" s="10">
        <f>IFERROR(__xludf.DUMMYFUNCTION("""COMPUTED_VALUE"""),43252.0)</f>
        <v>43252</v>
      </c>
      <c r="J437" s="10">
        <f>IFERROR(__xludf.DUMMYFUNCTION("""COMPUTED_VALUE"""),44348.0)</f>
        <v>44348</v>
      </c>
      <c r="K437" s="11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9" t="str">
        <f>IFERROR(__xludf.DUMMYFUNCTION("""COMPUTED_VALUE"""),"Kramer")</f>
        <v>Kramer</v>
      </c>
      <c r="B438" s="8" t="str">
        <f>IFERROR(__xludf.DUMMYFUNCTION("""COMPUTED_VALUE"""),"John")</f>
        <v>John</v>
      </c>
      <c r="C438" s="8" t="str">
        <f>IFERROR(__xludf.DUMMYFUNCTION("""COMPUTED_VALUE"""),"")</f>
        <v/>
      </c>
      <c r="D438" s="8" t="str">
        <f>IFERROR(__xludf.DUMMYFUNCTION("""COMPUTED_VALUE"""),"UNK")</f>
        <v>UNK</v>
      </c>
      <c r="E438" s="8" t="str">
        <f>IFERROR(__xludf.DUMMYFUNCTION("""COMPUTED_VALUE"""),"UNK")</f>
        <v>UNK</v>
      </c>
      <c r="F438" s="8" t="str">
        <f>IFERROR(__xludf.DUMMYFUNCTION("""COMPUTED_VALUE"""),"ADO 2014")</f>
        <v>ADO 2014</v>
      </c>
      <c r="G438" s="8" t="str">
        <f>IFERROR(__xludf.DUMMYFUNCTION("""COMPUTED_VALUE"""),"45th")</f>
        <v>45th</v>
      </c>
      <c r="H438" s="8" t="str">
        <f>IFERROR(__xludf.DUMMYFUNCTION("""COMPUTED_VALUE"""),"Off AA List")</f>
        <v>Off AA List</v>
      </c>
      <c r="I438" s="10">
        <f>IFERROR(__xludf.DUMMYFUNCTION("""COMPUTED_VALUE"""),42887.0)</f>
        <v>42887</v>
      </c>
      <c r="J438" s="10">
        <f>IFERROR(__xludf.DUMMYFUNCTION("""COMPUTED_VALUE"""),43983.0)</f>
        <v>43983</v>
      </c>
      <c r="K438" s="11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9" t="str">
        <f>IFERROR(__xludf.DUMMYFUNCTION("""COMPUTED_VALUE"""),"Krukowski")</f>
        <v>Krukowski</v>
      </c>
      <c r="B439" s="8" t="str">
        <f>IFERROR(__xludf.DUMMYFUNCTION("""COMPUTED_VALUE"""),"Brad")</f>
        <v>Brad</v>
      </c>
      <c r="C439" s="8" t="str">
        <f>IFERROR(__xludf.DUMMYFUNCTION("""COMPUTED_VALUE"""),"Mosinee")</f>
        <v>Mosinee</v>
      </c>
      <c r="D439" s="8" t="str">
        <f>IFERROR(__xludf.DUMMYFUNCTION("""COMPUTED_VALUE"""),"WI")</f>
        <v>WI</v>
      </c>
      <c r="E439" s="8" t="str">
        <f>IFERROR(__xludf.DUMMYFUNCTION("""COMPUTED_VALUE"""),"USA")</f>
        <v>USA</v>
      </c>
      <c r="F439" s="8" t="str">
        <f>IFERROR(__xludf.DUMMYFUNCTION("""COMPUTED_VALUE"""),"Men Cricket Doubles")</f>
        <v>Men Cricket Doubles</v>
      </c>
      <c r="G439" s="8" t="str">
        <f>IFERROR(__xludf.DUMMYFUNCTION("""COMPUTED_VALUE"""),"3rd")</f>
        <v>3rd</v>
      </c>
      <c r="H439" s="8" t="str">
        <f>IFERROR(__xludf.DUMMYFUNCTION("""COMPUTED_VALUE"""),"BullShooter 34 Finals")</f>
        <v>BullShooter 34 Finals</v>
      </c>
      <c r="I439" s="10">
        <f>IFERROR(__xludf.DUMMYFUNCTION("""COMPUTED_VALUE"""),43617.0)</f>
        <v>43617</v>
      </c>
      <c r="J439" s="10">
        <f>IFERROR(__xludf.DUMMYFUNCTION("""COMPUTED_VALUE"""),44713.0)</f>
        <v>44713</v>
      </c>
      <c r="K439" s="11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9" t="str">
        <f>IFERROR(__xludf.DUMMYFUNCTION("""COMPUTED_VALUE"""),"Kuang")</f>
        <v>Kuang</v>
      </c>
      <c r="B440" s="8" t="str">
        <f>IFERROR(__xludf.DUMMYFUNCTION("""COMPUTED_VALUE"""),"Pau Jin")</f>
        <v>Pau Jin</v>
      </c>
      <c r="C440" s="8" t="str">
        <f>IFERROR(__xludf.DUMMYFUNCTION("""COMPUTED_VALUE"""),"")</f>
        <v/>
      </c>
      <c r="D440" s="8" t="str">
        <f>IFERROR(__xludf.DUMMYFUNCTION("""COMPUTED_VALUE"""),"UNK")</f>
        <v>UNK</v>
      </c>
      <c r="E440" s="8" t="str">
        <f>IFERROR(__xludf.DUMMYFUNCTION("""COMPUTED_VALUE"""),"Singapore")</f>
        <v>Singapore</v>
      </c>
      <c r="F440" s="8" t="str">
        <f>IFERROR(__xludf.DUMMYFUNCTION("""COMPUTED_VALUE"""),"DL")</f>
        <v>DL</v>
      </c>
      <c r="G440" s="8" t="str">
        <f>IFERROR(__xludf.DUMMYFUNCTION("""COMPUTED_VALUE"""),"83rd")</f>
        <v>83rd</v>
      </c>
      <c r="H440" s="8" t="str">
        <f>IFERROR(__xludf.DUMMYFUNCTION("""COMPUTED_VALUE"""),"DL")</f>
        <v>DL</v>
      </c>
      <c r="I440" s="10">
        <f>IFERROR(__xludf.DUMMYFUNCTION("""COMPUTED_VALUE"""),42401.0)</f>
        <v>42401</v>
      </c>
      <c r="J440" s="10">
        <f>IFERROR(__xludf.DUMMYFUNCTION("""COMPUTED_VALUE"""),44713.0)</f>
        <v>44713</v>
      </c>
      <c r="K440" s="11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9" t="str">
        <f>IFERROR(__xludf.DUMMYFUNCTION("""COMPUTED_VALUE"""),"Kubik")</f>
        <v>Kubik</v>
      </c>
      <c r="B441" s="8" t="str">
        <f>IFERROR(__xludf.DUMMYFUNCTION("""COMPUTED_VALUE"""),"Darrin")</f>
        <v>Darrin</v>
      </c>
      <c r="C441" s="8" t="str">
        <f>IFERROR(__xludf.DUMMYFUNCTION("""COMPUTED_VALUE"""),"Cheektowaga")</f>
        <v>Cheektowaga</v>
      </c>
      <c r="D441" s="8" t="str">
        <f>IFERROR(__xludf.DUMMYFUNCTION("""COMPUTED_VALUE"""),"NY")</f>
        <v>NY</v>
      </c>
      <c r="E441" s="8" t="str">
        <f>IFERROR(__xludf.DUMMYFUNCTION("""COMPUTED_VALUE"""),"USA")</f>
        <v>USA</v>
      </c>
      <c r="F441" s="8" t="str">
        <f>IFERROR(__xludf.DUMMYFUNCTION("""COMPUTED_VALUE"""),"Men Doubles Cricket")</f>
        <v>Men Doubles Cricket</v>
      </c>
      <c r="G441" s="8" t="str">
        <f>IFERROR(__xludf.DUMMYFUNCTION("""COMPUTED_VALUE"""),"3rd")</f>
        <v>3rd</v>
      </c>
      <c r="H441" s="8" t="str">
        <f>IFERROR(__xludf.DUMMYFUNCTION("""COMPUTED_VALUE"""),"New York BS 34")</f>
        <v>New York BS 34</v>
      </c>
      <c r="I441" s="10">
        <f>IFERROR(__xludf.DUMMYFUNCTION("""COMPUTED_VALUE"""),43617.0)</f>
        <v>43617</v>
      </c>
      <c r="J441" s="10">
        <f>IFERROR(__xludf.DUMMYFUNCTION("""COMPUTED_VALUE"""),44713.0)</f>
        <v>44713</v>
      </c>
      <c r="K441" s="11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9" t="str">
        <f>IFERROR(__xludf.DUMMYFUNCTION("""COMPUTED_VALUE"""),"Kuczynski")</f>
        <v>Kuczynski</v>
      </c>
      <c r="B442" s="8" t="str">
        <f>IFERROR(__xludf.DUMMYFUNCTION("""COMPUTED_VALUE"""),"Johnny K")</f>
        <v>Johnny K</v>
      </c>
      <c r="C442" s="8" t="str">
        <f>IFERROR(__xludf.DUMMYFUNCTION("""COMPUTED_VALUE"""),"Zion Grove")</f>
        <v>Zion Grove</v>
      </c>
      <c r="D442" s="8" t="str">
        <f>IFERROR(__xludf.DUMMYFUNCTION("""COMPUTED_VALUE"""),"PA")</f>
        <v>PA</v>
      </c>
      <c r="E442" s="8" t="str">
        <f>IFERROR(__xludf.DUMMYFUNCTION("""COMPUTED_VALUE"""),"USA")</f>
        <v>USA</v>
      </c>
      <c r="F442" s="8" t="str">
        <f>IFERROR(__xludf.DUMMYFUNCTION("""COMPUTED_VALUE"""),"ADO 2013")</f>
        <v>ADO 2013</v>
      </c>
      <c r="G442" s="8" t="str">
        <f>IFERROR(__xludf.DUMMYFUNCTION("""COMPUTED_VALUE"""),"36th")</f>
        <v>36th</v>
      </c>
      <c r="H442" s="8" t="str">
        <f>IFERROR(__xludf.DUMMYFUNCTION("""COMPUTED_VALUE"""),"Known Ability")</f>
        <v>Known Ability</v>
      </c>
      <c r="I442" s="10">
        <f>IFERROR(__xludf.DUMMYFUNCTION("""COMPUTED_VALUE"""),41339.0)</f>
        <v>41339</v>
      </c>
      <c r="J442" s="10">
        <f>IFERROR(__xludf.DUMMYFUNCTION("""COMPUTED_VALUE"""),45809.0)</f>
        <v>45809</v>
      </c>
      <c r="K442" s="11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9" t="str">
        <f>IFERROR(__xludf.DUMMYFUNCTION("""COMPUTED_VALUE"""),"Lach")</f>
        <v>Lach</v>
      </c>
      <c r="B443" s="8" t="str">
        <f>IFERROR(__xludf.DUMMYFUNCTION("""COMPUTED_VALUE"""),"Steven")</f>
        <v>Steven</v>
      </c>
      <c r="C443" s="8" t="str">
        <f>IFERROR(__xludf.DUMMYFUNCTION("""COMPUTED_VALUE"""),"Sloan")</f>
        <v>Sloan</v>
      </c>
      <c r="D443" s="8" t="str">
        <f>IFERROR(__xludf.DUMMYFUNCTION("""COMPUTED_VALUE"""),"NY")</f>
        <v>NY</v>
      </c>
      <c r="E443" s="8" t="str">
        <f>IFERROR(__xludf.DUMMYFUNCTION("""COMPUTED_VALUE"""),"USA")</f>
        <v>USA</v>
      </c>
      <c r="F443" s="8" t="str">
        <f>IFERROR(__xludf.DUMMYFUNCTION("""COMPUTED_VALUE"""),"Men Doubles Cricket")</f>
        <v>Men Doubles Cricket</v>
      </c>
      <c r="G443" s="8" t="str">
        <f>IFERROR(__xludf.DUMMYFUNCTION("""COMPUTED_VALUE"""),"3rd")</f>
        <v>3rd</v>
      </c>
      <c r="H443" s="8" t="str">
        <f>IFERROR(__xludf.DUMMYFUNCTION("""COMPUTED_VALUE"""),"New York BS 34")</f>
        <v>New York BS 34</v>
      </c>
      <c r="I443" s="10">
        <f>IFERROR(__xludf.DUMMYFUNCTION("""COMPUTED_VALUE"""),43617.0)</f>
        <v>43617</v>
      </c>
      <c r="J443" s="10">
        <f>IFERROR(__xludf.DUMMYFUNCTION("""COMPUTED_VALUE"""),44713.0)</f>
        <v>44713</v>
      </c>
      <c r="K443" s="11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9" t="str">
        <f>IFERROR(__xludf.DUMMYFUNCTION("""COMPUTED_VALUE"""),"Ladew")</f>
        <v>Ladew</v>
      </c>
      <c r="B444" s="8" t="str">
        <f>IFERROR(__xludf.DUMMYFUNCTION("""COMPUTED_VALUE"""),"Ben")</f>
        <v>Ben</v>
      </c>
      <c r="C444" s="8" t="str">
        <f>IFERROR(__xludf.DUMMYFUNCTION("""COMPUTED_VALUE"""),"Ocean Springs")</f>
        <v>Ocean Springs</v>
      </c>
      <c r="D444" s="8" t="str">
        <f>IFERROR(__xludf.DUMMYFUNCTION("""COMPUTED_VALUE"""),"MS")</f>
        <v>MS</v>
      </c>
      <c r="E444" s="8" t="str">
        <f>IFERROR(__xludf.DUMMYFUNCTION("""COMPUTED_VALUE"""),"USA")</f>
        <v>USA</v>
      </c>
      <c r="F444" s="8" t="str">
        <f>IFERROR(__xludf.DUMMYFUNCTION("""COMPUTED_VALUE"""),"Mens Doubles")</f>
        <v>Mens Doubles</v>
      </c>
      <c r="G444" s="8" t="str">
        <f>IFERROR(__xludf.DUMMYFUNCTION("""COMPUTED_VALUE"""),"2nd")</f>
        <v>2nd</v>
      </c>
      <c r="H444" s="8" t="str">
        <f>IFERROR(__xludf.DUMMYFUNCTION("""COMPUTED_VALUE"""),"TX Regional 32")</f>
        <v>TX Regional 32</v>
      </c>
      <c r="I444" s="10">
        <f>IFERROR(__xludf.DUMMYFUNCTION("""COMPUTED_VALUE"""),42887.0)</f>
        <v>42887</v>
      </c>
      <c r="J444" s="10">
        <f>IFERROR(__xludf.DUMMYFUNCTION("""COMPUTED_VALUE"""),43983.0)</f>
        <v>43983</v>
      </c>
      <c r="K444" s="11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9" t="str">
        <f>IFERROR(__xludf.DUMMYFUNCTION("""COMPUTED_VALUE"""),"Lai")</f>
        <v>Lai</v>
      </c>
      <c r="B445" s="8" t="str">
        <f>IFERROR(__xludf.DUMMYFUNCTION("""COMPUTED_VALUE"""),"Ian")</f>
        <v>Ian</v>
      </c>
      <c r="C445" s="8" t="str">
        <f>IFERROR(__xludf.DUMMYFUNCTION("""COMPUTED_VALUE"""),"")</f>
        <v/>
      </c>
      <c r="D445" s="8" t="str">
        <f>IFERROR(__xludf.DUMMYFUNCTION("""COMPUTED_VALUE"""),"UNK")</f>
        <v>UNK</v>
      </c>
      <c r="E445" s="8" t="str">
        <f>IFERROR(__xludf.DUMMYFUNCTION("""COMPUTED_VALUE"""),"Singapore")</f>
        <v>Singapore</v>
      </c>
      <c r="F445" s="8" t="str">
        <f>IFERROR(__xludf.DUMMYFUNCTION("""COMPUTED_VALUE"""),"DL")</f>
        <v>DL</v>
      </c>
      <c r="G445" s="8" t="str">
        <f>IFERROR(__xludf.DUMMYFUNCTION("""COMPUTED_VALUE"""),"54th")</f>
        <v>54th</v>
      </c>
      <c r="H445" s="8" t="str">
        <f>IFERROR(__xludf.DUMMYFUNCTION("""COMPUTED_VALUE"""),"DL")</f>
        <v>DL</v>
      </c>
      <c r="I445" s="10">
        <f>IFERROR(__xludf.DUMMYFUNCTION("""COMPUTED_VALUE"""),42401.0)</f>
        <v>42401</v>
      </c>
      <c r="J445" s="10">
        <f>IFERROR(__xludf.DUMMYFUNCTION("""COMPUTED_VALUE"""),44713.0)</f>
        <v>44713</v>
      </c>
      <c r="K445" s="11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9" t="str">
        <f>IFERROR(__xludf.DUMMYFUNCTION("""COMPUTED_VALUE"""),"Lane")</f>
        <v>Lane</v>
      </c>
      <c r="B446" s="8" t="str">
        <f>IFERROR(__xludf.DUMMYFUNCTION("""COMPUTED_VALUE"""),"Joshua")</f>
        <v>Joshua</v>
      </c>
      <c r="C446" s="8" t="str">
        <f>IFERROR(__xludf.DUMMYFUNCTION("""COMPUTED_VALUE"""),"Fairborn")</f>
        <v>Fairborn</v>
      </c>
      <c r="D446" s="8" t="str">
        <f>IFERROR(__xludf.DUMMYFUNCTION("""COMPUTED_VALUE"""),"OH")</f>
        <v>OH</v>
      </c>
      <c r="E446" s="8" t="str">
        <f>IFERROR(__xludf.DUMMYFUNCTION("""COMPUTED_VALUE"""),"USA")</f>
        <v>USA</v>
      </c>
      <c r="F446" s="8" t="str">
        <f>IFERROR(__xludf.DUMMYFUNCTION("""COMPUTED_VALUE"""),"Pro Doubles")</f>
        <v>Pro Doubles</v>
      </c>
      <c r="G446" s="8" t="str">
        <f>IFERROR(__xludf.DUMMYFUNCTION("""COMPUTED_VALUE"""),"3rd")</f>
        <v>3rd</v>
      </c>
      <c r="H446" s="8" t="str">
        <f>IFERROR(__xludf.DUMMYFUNCTION("""COMPUTED_VALUE"""),"PA Regional 33")</f>
        <v>PA Regional 33</v>
      </c>
      <c r="I446" s="10">
        <f>IFERROR(__xludf.DUMMYFUNCTION("""COMPUTED_VALUE"""),43252.0)</f>
        <v>43252</v>
      </c>
      <c r="J446" s="10">
        <f>IFERROR(__xludf.DUMMYFUNCTION("""COMPUTED_VALUE"""),44348.0)</f>
        <v>44348</v>
      </c>
      <c r="K446" s="11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9" t="str">
        <f>IFERROR(__xludf.DUMMYFUNCTION("""COMPUTED_VALUE"""),"Langendorf")</f>
        <v>Langendorf</v>
      </c>
      <c r="B447" s="8" t="str">
        <f>IFERROR(__xludf.DUMMYFUNCTION("""COMPUTED_VALUE"""),"Maik")</f>
        <v>Maik</v>
      </c>
      <c r="C447" s="8" t="str">
        <f>IFERROR(__xludf.DUMMYFUNCTION("""COMPUTED_VALUE"""),"")</f>
        <v/>
      </c>
      <c r="D447" s="8" t="str">
        <f>IFERROR(__xludf.DUMMYFUNCTION("""COMPUTED_VALUE"""),"")</f>
        <v/>
      </c>
      <c r="E447" s="8" t="str">
        <f>IFERROR(__xludf.DUMMYFUNCTION("""COMPUTED_VALUE"""),"Germany")</f>
        <v>Germany</v>
      </c>
      <c r="F447" s="8" t="str">
        <f>IFERROR(__xludf.DUMMYFUNCTION("""COMPUTED_VALUE"""),"PDC Merit Ranking")</f>
        <v>PDC Merit Ranking</v>
      </c>
      <c r="G447" s="8" t="str">
        <f>IFERROR(__xludf.DUMMYFUNCTION("""COMPUTED_VALUE"""),"96th")</f>
        <v>96th</v>
      </c>
      <c r="H447" s="8" t="str">
        <f>IFERROR(__xludf.DUMMYFUNCTION("""COMPUTED_VALUE"""),"Known Ability")</f>
        <v>Known Ability</v>
      </c>
      <c r="I447" s="10">
        <f>IFERROR(__xludf.DUMMYFUNCTION("""COMPUTED_VALUE"""),42060.0)</f>
        <v>42060</v>
      </c>
      <c r="J447" s="10">
        <f>IFERROR(__xludf.DUMMYFUNCTION("""COMPUTED_VALUE"""),45809.0)</f>
        <v>45809</v>
      </c>
      <c r="K447" s="11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9" t="str">
        <f>IFERROR(__xludf.DUMMYFUNCTION("""COMPUTED_VALUE"""),"Lapine")</f>
        <v>Lapine</v>
      </c>
      <c r="B448" s="8" t="str">
        <f>IFERROR(__xludf.DUMMYFUNCTION("""COMPUTED_VALUE"""),"Mike")</f>
        <v>Mike</v>
      </c>
      <c r="C448" s="8" t="str">
        <f>IFERROR(__xludf.DUMMYFUNCTION("""COMPUTED_VALUE"""),"Fond Du Lac")</f>
        <v>Fond Du Lac</v>
      </c>
      <c r="D448" s="8" t="str">
        <f>IFERROR(__xludf.DUMMYFUNCTION("""COMPUTED_VALUE"""),"WI")</f>
        <v>WI</v>
      </c>
      <c r="E448" s="8" t="str">
        <f>IFERROR(__xludf.DUMMYFUNCTION("""COMPUTED_VALUE"""),"USA")</f>
        <v>USA</v>
      </c>
      <c r="F448" s="8" t="str">
        <f>IFERROR(__xludf.DUMMYFUNCTION("""COMPUTED_VALUE"""),"Pro Doubles 501")</f>
        <v>Pro Doubles 501</v>
      </c>
      <c r="G448" s="8" t="str">
        <f>IFERROR(__xludf.DUMMYFUNCTION("""COMPUTED_VALUE"""),"2nd")</f>
        <v>2nd</v>
      </c>
      <c r="H448" s="8" t="str">
        <f>IFERROR(__xludf.DUMMYFUNCTION("""COMPUTED_VALUE"""),"Wisconsin BS 34")</f>
        <v>Wisconsin BS 34</v>
      </c>
      <c r="I448" s="10">
        <f>IFERROR(__xludf.DUMMYFUNCTION("""COMPUTED_VALUE"""),43617.0)</f>
        <v>43617</v>
      </c>
      <c r="J448" s="10">
        <f>IFERROR(__xludf.DUMMYFUNCTION("""COMPUTED_VALUE"""),44713.0)</f>
        <v>44713</v>
      </c>
      <c r="K448" s="11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9" t="str">
        <f>IFERROR(__xludf.DUMMYFUNCTION("""COMPUTED_VALUE"""),"Lassey Jr.")</f>
        <v>Lassey Jr.</v>
      </c>
      <c r="B449" s="8" t="str">
        <f>IFERROR(__xludf.DUMMYFUNCTION("""COMPUTED_VALUE"""),"Donnie")</f>
        <v>Donnie</v>
      </c>
      <c r="C449" s="8" t="str">
        <f>IFERROR(__xludf.DUMMYFUNCTION("""COMPUTED_VALUE"""),"Hazel Green")</f>
        <v>Hazel Green</v>
      </c>
      <c r="D449" s="8" t="str">
        <f>IFERROR(__xludf.DUMMYFUNCTION("""COMPUTED_VALUE"""),"AL")</f>
        <v>AL</v>
      </c>
      <c r="E449" s="8" t="str">
        <f>IFERROR(__xludf.DUMMYFUNCTION("""COMPUTED_VALUE"""),"USA")</f>
        <v>USA</v>
      </c>
      <c r="F449" s="8" t="str">
        <f>IFERROR(__xludf.DUMMYFUNCTION("""COMPUTED_VALUE"""),"Pro Doubles 501")</f>
        <v>Pro Doubles 501</v>
      </c>
      <c r="G449" s="8" t="str">
        <f>IFERROR(__xludf.DUMMYFUNCTION("""COMPUTED_VALUE"""),"2nd")</f>
        <v>2nd</v>
      </c>
      <c r="H449" s="8" t="str">
        <f>IFERROR(__xludf.DUMMYFUNCTION("""COMPUTED_VALUE"""),"Tennessee BS 34")</f>
        <v>Tennessee BS 34</v>
      </c>
      <c r="I449" s="10">
        <f>IFERROR(__xludf.DUMMYFUNCTION("""COMPUTED_VALUE"""),43617.0)</f>
        <v>43617</v>
      </c>
      <c r="J449" s="10">
        <f>IFERROR(__xludf.DUMMYFUNCTION("""COMPUTED_VALUE"""),44713.0)</f>
        <v>44713</v>
      </c>
      <c r="K449" s="11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12" t="str">
        <f>IFERROR(__xludf.DUMMYFUNCTION("""COMPUTED_VALUE"""),"Laughman")</f>
        <v>Laughman</v>
      </c>
      <c r="B450" s="13" t="str">
        <f>IFERROR(__xludf.DUMMYFUNCTION("""COMPUTED_VALUE"""),"Christopher")</f>
        <v>Christopher</v>
      </c>
      <c r="C450" s="13" t="str">
        <f>IFERROR(__xludf.DUMMYFUNCTION("""COMPUTED_VALUE"""),"The Woodlands")</f>
        <v>The Woodlands</v>
      </c>
      <c r="D450" s="13" t="str">
        <f>IFERROR(__xludf.DUMMYFUNCTION("""COMPUTED_VALUE"""),"TX")</f>
        <v>TX</v>
      </c>
      <c r="E450" s="13" t="str">
        <f>IFERROR(__xludf.DUMMYFUNCTION("""COMPUTED_VALUE"""),"USA")</f>
        <v>USA</v>
      </c>
      <c r="F450" s="13" t="str">
        <f>IFERROR(__xludf.DUMMYFUNCTION("""COMPUTED_VALUE"""),"Men Doubles Cricket")</f>
        <v>Men Doubles Cricket</v>
      </c>
      <c r="G450" s="13" t="str">
        <f>IFERROR(__xludf.DUMMYFUNCTION("""COMPUTED_VALUE"""),"2nd")</f>
        <v>2nd</v>
      </c>
      <c r="H450" s="13" t="str">
        <f>IFERROR(__xludf.DUMMYFUNCTION("""COMPUTED_VALUE"""),"Texas BS 34")</f>
        <v>Texas BS 34</v>
      </c>
      <c r="I450" s="14">
        <f>IFERROR(__xludf.DUMMYFUNCTION("""COMPUTED_VALUE"""),43617.0)</f>
        <v>43617</v>
      </c>
      <c r="J450" s="14">
        <f>IFERROR(__xludf.DUMMYFUNCTION("""COMPUTED_VALUE"""),44713.0)</f>
        <v>44713</v>
      </c>
      <c r="K450" s="11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9" t="str">
        <f>IFERROR(__xludf.DUMMYFUNCTION("""COMPUTED_VALUE"""),"Lavine")</f>
        <v>Lavine</v>
      </c>
      <c r="B451" s="8" t="str">
        <f>IFERROR(__xludf.DUMMYFUNCTION("""COMPUTED_VALUE"""),"Dan")</f>
        <v>Dan</v>
      </c>
      <c r="C451" s="8" t="str">
        <f>IFERROR(__xludf.DUMMYFUNCTION("""COMPUTED_VALUE"""),"Oshkosh")</f>
        <v>Oshkosh</v>
      </c>
      <c r="D451" s="8" t="str">
        <f>IFERROR(__xludf.DUMMYFUNCTION("""COMPUTED_VALUE"""),"WI")</f>
        <v>WI</v>
      </c>
      <c r="E451" s="8" t="str">
        <f>IFERROR(__xludf.DUMMYFUNCTION("""COMPUTED_VALUE"""),"USA")</f>
        <v>USA</v>
      </c>
      <c r="F451" s="8" t="str">
        <f>IFERROR(__xludf.DUMMYFUNCTION("""COMPUTED_VALUE"""),"Mens Cricket Doubles")</f>
        <v>Mens Cricket Doubles</v>
      </c>
      <c r="G451" s="8" t="str">
        <f>IFERROR(__xludf.DUMMYFUNCTION("""COMPUTED_VALUE"""),"3rd")</f>
        <v>3rd</v>
      </c>
      <c r="H451" s="8" t="str">
        <f>IFERROR(__xludf.DUMMYFUNCTION("""COMPUTED_VALUE"""),"WI Regional 32")</f>
        <v>WI Regional 32</v>
      </c>
      <c r="I451" s="10">
        <f>IFERROR(__xludf.DUMMYFUNCTION("""COMPUTED_VALUE"""),42887.0)</f>
        <v>42887</v>
      </c>
      <c r="J451" s="10">
        <f>IFERROR(__xludf.DUMMYFUNCTION("""COMPUTED_VALUE"""),43983.0)</f>
        <v>43983</v>
      </c>
      <c r="K451" s="11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9" t="str">
        <f>IFERROR(__xludf.DUMMYFUNCTION("""COMPUTED_VALUE"""),"Lawrence")</f>
        <v>Lawrence</v>
      </c>
      <c r="B452" s="8" t="str">
        <f>IFERROR(__xludf.DUMMYFUNCTION("""COMPUTED_VALUE"""),"Broc")</f>
        <v>Broc</v>
      </c>
      <c r="C452" s="8" t="str">
        <f>IFERROR(__xludf.DUMMYFUNCTION("""COMPUTED_VALUE"""),"Hanover")</f>
        <v>Hanover</v>
      </c>
      <c r="D452" s="8" t="str">
        <f>IFERROR(__xludf.DUMMYFUNCTION("""COMPUTED_VALUE"""),"PA")</f>
        <v>PA</v>
      </c>
      <c r="E452" s="8" t="str">
        <f>IFERROR(__xludf.DUMMYFUNCTION("""COMPUTED_VALUE"""),"USA")</f>
        <v>USA</v>
      </c>
      <c r="F452" s="8" t="str">
        <f>IFERROR(__xludf.DUMMYFUNCTION("""COMPUTED_VALUE"""),"Pro Doubles")</f>
        <v>Pro Doubles</v>
      </c>
      <c r="G452" s="8" t="str">
        <f>IFERROR(__xludf.DUMMYFUNCTION("""COMPUTED_VALUE"""),"2nd")</f>
        <v>2nd</v>
      </c>
      <c r="H452" s="8" t="str">
        <f>IFERROR(__xludf.DUMMYFUNCTION("""COMPUTED_VALUE"""),"PA Regional 32")</f>
        <v>PA Regional 32</v>
      </c>
      <c r="I452" s="10">
        <f>IFERROR(__xludf.DUMMYFUNCTION("""COMPUTED_VALUE"""),42887.0)</f>
        <v>42887</v>
      </c>
      <c r="J452" s="10">
        <f>IFERROR(__xludf.DUMMYFUNCTION("""COMPUTED_VALUE"""),43983.0)</f>
        <v>43983</v>
      </c>
      <c r="K452" s="11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9" t="str">
        <f>IFERROR(__xludf.DUMMYFUNCTION("""COMPUTED_VALUE"""),"Lawrence")</f>
        <v>Lawrence</v>
      </c>
      <c r="B453" s="8" t="str">
        <f>IFERROR(__xludf.DUMMYFUNCTION("""COMPUTED_VALUE"""),"Spencer")</f>
        <v>Spencer</v>
      </c>
      <c r="C453" s="8" t="str">
        <f>IFERROR(__xludf.DUMMYFUNCTION("""COMPUTED_VALUE"""),"S. Milwaukee")</f>
        <v>S. Milwaukee</v>
      </c>
      <c r="D453" s="8" t="str">
        <f>IFERROR(__xludf.DUMMYFUNCTION("""COMPUTED_VALUE"""),"WI")</f>
        <v>WI</v>
      </c>
      <c r="E453" s="8" t="str">
        <f>IFERROR(__xludf.DUMMYFUNCTION("""COMPUTED_VALUE"""),"USA")</f>
        <v>USA</v>
      </c>
      <c r="F453" s="8" t="str">
        <f>IFERROR(__xludf.DUMMYFUNCTION("""COMPUTED_VALUE"""),"Mens Cricket Doubles")</f>
        <v>Mens Cricket Doubles</v>
      </c>
      <c r="G453" s="8" t="str">
        <f>IFERROR(__xludf.DUMMYFUNCTION("""COMPUTED_VALUE"""),"2nd")</f>
        <v>2nd</v>
      </c>
      <c r="H453" s="8" t="str">
        <f>IFERROR(__xludf.DUMMYFUNCTION("""COMPUTED_VALUE"""),"WI Regional 33")</f>
        <v>WI Regional 33</v>
      </c>
      <c r="I453" s="10">
        <f>IFERROR(__xludf.DUMMYFUNCTION("""COMPUTED_VALUE"""),43252.0)</f>
        <v>43252</v>
      </c>
      <c r="J453" s="10">
        <f>IFERROR(__xludf.DUMMYFUNCTION("""COMPUTED_VALUE"""),44348.0)</f>
        <v>44348</v>
      </c>
      <c r="K453" s="11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9" t="str">
        <f>IFERROR(__xludf.DUMMYFUNCTION("""COMPUTED_VALUE"""),"Leach")</f>
        <v>Leach</v>
      </c>
      <c r="B454" s="8" t="str">
        <f>IFERROR(__xludf.DUMMYFUNCTION("""COMPUTED_VALUE"""),"Adam")</f>
        <v>Adam</v>
      </c>
      <c r="C454" s="8" t="str">
        <f>IFERROR(__xludf.DUMMYFUNCTION("""COMPUTED_VALUE"""),"Fleming Island")</f>
        <v>Fleming Island</v>
      </c>
      <c r="D454" s="8" t="str">
        <f>IFERROR(__xludf.DUMMYFUNCTION("""COMPUTED_VALUE"""),"FL")</f>
        <v>FL</v>
      </c>
      <c r="E454" s="8" t="str">
        <f>IFERROR(__xludf.DUMMYFUNCTION("""COMPUTED_VALUE"""),"USA")</f>
        <v>USA</v>
      </c>
      <c r="F454" s="8" t="str">
        <f>IFERROR(__xludf.DUMMYFUNCTION("""COMPUTED_VALUE"""),"Men Doubles Cricket")</f>
        <v>Men Doubles Cricket</v>
      </c>
      <c r="G454" s="8" t="str">
        <f>IFERROR(__xludf.DUMMYFUNCTION("""COMPUTED_VALUE"""),"3rd")</f>
        <v>3rd</v>
      </c>
      <c r="H454" s="8" t="str">
        <f>IFERROR(__xludf.DUMMYFUNCTION("""COMPUTED_VALUE"""),"Georgia BS 34")</f>
        <v>Georgia BS 34</v>
      </c>
      <c r="I454" s="10">
        <f>IFERROR(__xludf.DUMMYFUNCTION("""COMPUTED_VALUE"""),43617.0)</f>
        <v>43617</v>
      </c>
      <c r="J454" s="10">
        <f>IFERROR(__xludf.DUMMYFUNCTION("""COMPUTED_VALUE"""),44713.0)</f>
        <v>44713</v>
      </c>
      <c r="K454" s="11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9" t="str">
        <f>IFERROR(__xludf.DUMMYFUNCTION("""COMPUTED_VALUE"""),"Lee")</f>
        <v>Lee</v>
      </c>
      <c r="B455" s="8" t="str">
        <f>IFERROR(__xludf.DUMMYFUNCTION("""COMPUTED_VALUE"""),"Ho Ching")</f>
        <v>Ho Ching</v>
      </c>
      <c r="C455" s="8" t="str">
        <f>IFERROR(__xludf.DUMMYFUNCTION("""COMPUTED_VALUE"""),"")</f>
        <v/>
      </c>
      <c r="D455" s="8" t="str">
        <f>IFERROR(__xludf.DUMMYFUNCTION("""COMPUTED_VALUE"""),"UNK")</f>
        <v>UNK</v>
      </c>
      <c r="E455" s="8" t="str">
        <f>IFERROR(__xludf.DUMMYFUNCTION("""COMPUTED_VALUE"""),"Taiwan")</f>
        <v>Taiwan</v>
      </c>
      <c r="F455" s="8" t="str">
        <f>IFERROR(__xludf.DUMMYFUNCTION("""COMPUTED_VALUE"""),"DL")</f>
        <v>DL</v>
      </c>
      <c r="G455" s="8" t="str">
        <f>IFERROR(__xludf.DUMMYFUNCTION("""COMPUTED_VALUE"""),"36th")</f>
        <v>36th</v>
      </c>
      <c r="H455" s="8" t="str">
        <f>IFERROR(__xludf.DUMMYFUNCTION("""COMPUTED_VALUE"""),"DL")</f>
        <v>DL</v>
      </c>
      <c r="I455" s="10">
        <f>IFERROR(__xludf.DUMMYFUNCTION("""COMPUTED_VALUE"""),42401.0)</f>
        <v>42401</v>
      </c>
      <c r="J455" s="10">
        <f>IFERROR(__xludf.DUMMYFUNCTION("""COMPUTED_VALUE"""),44713.0)</f>
        <v>44713</v>
      </c>
      <c r="K455" s="11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9" t="str">
        <f>IFERROR(__xludf.DUMMYFUNCTION("""COMPUTED_VALUE"""),"Lee")</f>
        <v>Lee</v>
      </c>
      <c r="B456" s="8" t="str">
        <f>IFERROR(__xludf.DUMMYFUNCTION("""COMPUTED_VALUE"""),"Leslie")</f>
        <v>Leslie</v>
      </c>
      <c r="C456" s="8" t="str">
        <f>IFERROR(__xludf.DUMMYFUNCTION("""COMPUTED_VALUE"""),"")</f>
        <v/>
      </c>
      <c r="D456" s="8" t="str">
        <f>IFERROR(__xludf.DUMMYFUNCTION("""COMPUTED_VALUE"""),"UNK")</f>
        <v>UNK</v>
      </c>
      <c r="E456" s="8" t="str">
        <f>IFERROR(__xludf.DUMMYFUNCTION("""COMPUTED_VALUE"""),"Singapore")</f>
        <v>Singapore</v>
      </c>
      <c r="F456" s="8" t="str">
        <f>IFERROR(__xludf.DUMMYFUNCTION("""COMPUTED_VALUE"""),"DL")</f>
        <v>DL</v>
      </c>
      <c r="G456" s="8" t="str">
        <f>IFERROR(__xludf.DUMMYFUNCTION("""COMPUTED_VALUE"""),"83rd")</f>
        <v>83rd</v>
      </c>
      <c r="H456" s="8" t="str">
        <f>IFERROR(__xludf.DUMMYFUNCTION("""COMPUTED_VALUE"""),"DL")</f>
        <v>DL</v>
      </c>
      <c r="I456" s="10">
        <f>IFERROR(__xludf.DUMMYFUNCTION("""COMPUTED_VALUE"""),42401.0)</f>
        <v>42401</v>
      </c>
      <c r="J456" s="10">
        <f>IFERROR(__xludf.DUMMYFUNCTION("""COMPUTED_VALUE"""),44713.0)</f>
        <v>44713</v>
      </c>
      <c r="K456" s="11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9" t="str">
        <f>IFERROR(__xludf.DUMMYFUNCTION("""COMPUTED_VALUE"""),"Lein")</f>
        <v>Lein</v>
      </c>
      <c r="B457" s="8" t="str">
        <f>IFERROR(__xludf.DUMMYFUNCTION("""COMPUTED_VALUE"""),"Pat")</f>
        <v>Pat</v>
      </c>
      <c r="C457" s="8" t="str">
        <f>IFERROR(__xludf.DUMMYFUNCTION("""COMPUTED_VALUE"""),"Marion")</f>
        <v>Marion</v>
      </c>
      <c r="D457" s="8" t="str">
        <f>IFERROR(__xludf.DUMMYFUNCTION("""COMPUTED_VALUE"""),"IL")</f>
        <v>IL</v>
      </c>
      <c r="E457" s="8" t="str">
        <f>IFERROR(__xludf.DUMMYFUNCTION("""COMPUTED_VALUE"""),"USA")</f>
        <v>USA</v>
      </c>
      <c r="F457" s="8" t="str">
        <f>IFERROR(__xludf.DUMMYFUNCTION("""COMPUTED_VALUE"""),"Pro/Am Cricket")</f>
        <v>Pro/Am Cricket</v>
      </c>
      <c r="G457" s="8" t="str">
        <f>IFERROR(__xludf.DUMMYFUNCTION("""COMPUTED_VALUE"""),"3rd")</f>
        <v>3rd</v>
      </c>
      <c r="H457" s="8" t="str">
        <f>IFERROR(__xludf.DUMMYFUNCTION("""COMPUTED_VALUE"""),"IN Regional 33")</f>
        <v>IN Regional 33</v>
      </c>
      <c r="I457" s="10">
        <f>IFERROR(__xludf.DUMMYFUNCTION("""COMPUTED_VALUE"""),43252.0)</f>
        <v>43252</v>
      </c>
      <c r="J457" s="10">
        <f>IFERROR(__xludf.DUMMYFUNCTION("""COMPUTED_VALUE"""),44348.0)</f>
        <v>44348</v>
      </c>
      <c r="K457" s="11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9" t="str">
        <f>IFERROR(__xludf.DUMMYFUNCTION("""COMPUTED_VALUE"""),"Leonard")</f>
        <v>Leonard</v>
      </c>
      <c r="B458" s="8" t="str">
        <f>IFERROR(__xludf.DUMMYFUNCTION("""COMPUTED_VALUE"""),"Jason")</f>
        <v>Jason</v>
      </c>
      <c r="C458" s="8" t="str">
        <f>IFERROR(__xludf.DUMMYFUNCTION("""COMPUTED_VALUE"""),"Valley Grove")</f>
        <v>Valley Grove</v>
      </c>
      <c r="D458" s="8" t="str">
        <f>IFERROR(__xludf.DUMMYFUNCTION("""COMPUTED_VALUE"""),"WV")</f>
        <v>WV</v>
      </c>
      <c r="E458" s="8" t="str">
        <f>IFERROR(__xludf.DUMMYFUNCTION("""COMPUTED_VALUE"""),"USA")</f>
        <v>USA</v>
      </c>
      <c r="F458" s="8" t="str">
        <f>IFERROR(__xludf.DUMMYFUNCTION("""COMPUTED_VALUE"""),"Pro Doubles 501")</f>
        <v>Pro Doubles 501</v>
      </c>
      <c r="G458" s="8" t="str">
        <f>IFERROR(__xludf.DUMMYFUNCTION("""COMPUTED_VALUE"""),"3rd")</f>
        <v>3rd</v>
      </c>
      <c r="H458" s="8" t="str">
        <f>IFERROR(__xludf.DUMMYFUNCTION("""COMPUTED_VALUE"""),"Pennsylvania BS 34")</f>
        <v>Pennsylvania BS 34</v>
      </c>
      <c r="I458" s="10">
        <f>IFERROR(__xludf.DUMMYFUNCTION("""COMPUTED_VALUE"""),43617.0)</f>
        <v>43617</v>
      </c>
      <c r="J458" s="10">
        <f>IFERROR(__xludf.DUMMYFUNCTION("""COMPUTED_VALUE"""),44713.0)</f>
        <v>44713</v>
      </c>
      <c r="K458" s="11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9" t="str">
        <f>IFERROR(__xludf.DUMMYFUNCTION("""COMPUTED_VALUE"""),"Leong")</f>
        <v>Leong</v>
      </c>
      <c r="B459" s="8" t="str">
        <f>IFERROR(__xludf.DUMMYFUNCTION("""COMPUTED_VALUE"""),"Yong Teck")</f>
        <v>Yong Teck</v>
      </c>
      <c r="C459" s="8" t="str">
        <f>IFERROR(__xludf.DUMMYFUNCTION("""COMPUTED_VALUE"""),"")</f>
        <v/>
      </c>
      <c r="D459" s="8" t="str">
        <f>IFERROR(__xludf.DUMMYFUNCTION("""COMPUTED_VALUE"""),"UNK")</f>
        <v>UNK</v>
      </c>
      <c r="E459" s="8" t="str">
        <f>IFERROR(__xludf.DUMMYFUNCTION("""COMPUTED_VALUE"""),"Malaysia")</f>
        <v>Malaysia</v>
      </c>
      <c r="F459" s="8" t="str">
        <f>IFERROR(__xludf.DUMMYFUNCTION("""COMPUTED_VALUE"""),"DL")</f>
        <v>DL</v>
      </c>
      <c r="G459" s="8" t="str">
        <f>IFERROR(__xludf.DUMMYFUNCTION("""COMPUTED_VALUE"""),"83rd")</f>
        <v>83rd</v>
      </c>
      <c r="H459" s="8" t="str">
        <f>IFERROR(__xludf.DUMMYFUNCTION("""COMPUTED_VALUE"""),"83rd")</f>
        <v>83rd</v>
      </c>
      <c r="I459" s="10">
        <f>IFERROR(__xludf.DUMMYFUNCTION("""COMPUTED_VALUE"""),42401.0)</f>
        <v>42401</v>
      </c>
      <c r="J459" s="10">
        <f>IFERROR(__xludf.DUMMYFUNCTION("""COMPUTED_VALUE"""),44713.0)</f>
        <v>44713</v>
      </c>
      <c r="K459" s="11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9" t="str">
        <f>IFERROR(__xludf.DUMMYFUNCTION("""COMPUTED_VALUE"""),"Lester")</f>
        <v>Lester</v>
      </c>
      <c r="B460" s="8" t="str">
        <f>IFERROR(__xludf.DUMMYFUNCTION("""COMPUTED_VALUE"""),"David")</f>
        <v>David</v>
      </c>
      <c r="C460" s="8" t="str">
        <f>IFERROR(__xludf.DUMMYFUNCTION("""COMPUTED_VALUE"""),"Colona")</f>
        <v>Colona</v>
      </c>
      <c r="D460" s="8" t="str">
        <f>IFERROR(__xludf.DUMMYFUNCTION("""COMPUTED_VALUE"""),"IL")</f>
        <v>IL</v>
      </c>
      <c r="E460" s="8" t="str">
        <f>IFERROR(__xludf.DUMMYFUNCTION("""COMPUTED_VALUE"""),"USA")</f>
        <v>USA</v>
      </c>
      <c r="F460" s="8" t="str">
        <f>IFERROR(__xludf.DUMMYFUNCTION("""COMPUTED_VALUE"""),"Top Gun Mixed Triples")</f>
        <v>Top Gun Mixed Triples</v>
      </c>
      <c r="G460" s="8" t="str">
        <f>IFERROR(__xludf.DUMMYFUNCTION("""COMPUTED_VALUE"""),"1st")</f>
        <v>1st</v>
      </c>
      <c r="H460" s="8" t="str">
        <f>IFERROR(__xludf.DUMMYFUNCTION("""COMPUTED_VALUE"""),"BullShooter 32")</f>
        <v>BullShooter 32</v>
      </c>
      <c r="I460" s="10">
        <f>IFERROR(__xludf.DUMMYFUNCTION("""COMPUTED_VALUE"""),42887.0)</f>
        <v>42887</v>
      </c>
      <c r="J460" s="10">
        <f>IFERROR(__xludf.DUMMYFUNCTION("""COMPUTED_VALUE"""),43983.0)</f>
        <v>43983</v>
      </c>
      <c r="K460" s="11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9" t="str">
        <f>IFERROR(__xludf.DUMMYFUNCTION("""COMPUTED_VALUE"""),"Lester")</f>
        <v>Lester</v>
      </c>
      <c r="B461" s="8" t="str">
        <f>IFERROR(__xludf.DUMMYFUNCTION("""COMPUTED_VALUE"""),"Donald")</f>
        <v>Donald</v>
      </c>
      <c r="C461" s="8" t="str">
        <f>IFERROR(__xludf.DUMMYFUNCTION("""COMPUTED_VALUE"""),"Spring")</f>
        <v>Spring</v>
      </c>
      <c r="D461" s="8" t="str">
        <f>IFERROR(__xludf.DUMMYFUNCTION("""COMPUTED_VALUE"""),"TX")</f>
        <v>TX</v>
      </c>
      <c r="E461" s="8" t="str">
        <f>IFERROR(__xludf.DUMMYFUNCTION("""COMPUTED_VALUE"""),"USA")</f>
        <v>USA</v>
      </c>
      <c r="F461" s="8" t="str">
        <f>IFERROR(__xludf.DUMMYFUNCTION("""COMPUTED_VALUE"""),"Men Doubles Cricket")</f>
        <v>Men Doubles Cricket</v>
      </c>
      <c r="G461" s="8" t="str">
        <f>IFERROR(__xludf.DUMMYFUNCTION("""COMPUTED_VALUE"""),"3rd")</f>
        <v>3rd</v>
      </c>
      <c r="H461" s="8" t="str">
        <f>IFERROR(__xludf.DUMMYFUNCTION("""COMPUTED_VALUE"""),"Texas BS 34")</f>
        <v>Texas BS 34</v>
      </c>
      <c r="I461" s="10">
        <f>IFERROR(__xludf.DUMMYFUNCTION("""COMPUTED_VALUE"""),43617.0)</f>
        <v>43617</v>
      </c>
      <c r="J461" s="10">
        <f>IFERROR(__xludf.DUMMYFUNCTION("""COMPUTED_VALUE"""),44713.0)</f>
        <v>44713</v>
      </c>
      <c r="K461" s="11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9" t="str">
        <f>IFERROR(__xludf.DUMMYFUNCTION("""COMPUTED_VALUE"""),"Leung")</f>
        <v>Leung</v>
      </c>
      <c r="B462" s="8" t="str">
        <f>IFERROR(__xludf.DUMMYFUNCTION("""COMPUTED_VALUE"""),"Kevin")</f>
        <v>Kevin</v>
      </c>
      <c r="C462" s="8" t="str">
        <f>IFERROR(__xludf.DUMMYFUNCTION("""COMPUTED_VALUE"""),"")</f>
        <v/>
      </c>
      <c r="D462" s="8" t="str">
        <f>IFERROR(__xludf.DUMMYFUNCTION("""COMPUTED_VALUE"""),"UNK")</f>
        <v>UNK</v>
      </c>
      <c r="E462" s="8" t="str">
        <f>IFERROR(__xludf.DUMMYFUNCTION("""COMPUTED_VALUE"""),"Hong Kong")</f>
        <v>Hong Kong</v>
      </c>
      <c r="F462" s="8" t="str">
        <f>IFERROR(__xludf.DUMMYFUNCTION("""COMPUTED_VALUE"""),"DL")</f>
        <v>DL</v>
      </c>
      <c r="G462" s="8" t="str">
        <f>IFERROR(__xludf.DUMMYFUNCTION("""COMPUTED_VALUE"""),"68th")</f>
        <v>68th</v>
      </c>
      <c r="H462" s="8" t="str">
        <f>IFERROR(__xludf.DUMMYFUNCTION("""COMPUTED_VALUE"""),"DL")</f>
        <v>DL</v>
      </c>
      <c r="I462" s="10">
        <f>IFERROR(__xludf.DUMMYFUNCTION("""COMPUTED_VALUE"""),42401.0)</f>
        <v>42401</v>
      </c>
      <c r="J462" s="10">
        <f>IFERROR(__xludf.DUMMYFUNCTION("""COMPUTED_VALUE"""),44713.0)</f>
        <v>44713</v>
      </c>
      <c r="K462" s="11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9" t="str">
        <f>IFERROR(__xludf.DUMMYFUNCTION("""COMPUTED_VALUE"""),"Liao")</f>
        <v>Liao</v>
      </c>
      <c r="B463" s="8" t="str">
        <f>IFERROR(__xludf.DUMMYFUNCTION("""COMPUTED_VALUE"""),"Enzo")</f>
        <v>Enzo</v>
      </c>
      <c r="C463" s="8" t="str">
        <f>IFERROR(__xludf.DUMMYFUNCTION("""COMPUTED_VALUE"""),"")</f>
        <v/>
      </c>
      <c r="D463" s="8" t="str">
        <f>IFERROR(__xludf.DUMMYFUNCTION("""COMPUTED_VALUE"""),"UNK")</f>
        <v>UNK</v>
      </c>
      <c r="E463" s="8" t="str">
        <f>IFERROR(__xludf.DUMMYFUNCTION("""COMPUTED_VALUE"""),"Taiwan")</f>
        <v>Taiwan</v>
      </c>
      <c r="F463" s="8" t="str">
        <f>IFERROR(__xludf.DUMMYFUNCTION("""COMPUTED_VALUE"""),"DL")</f>
        <v>DL</v>
      </c>
      <c r="G463" s="8" t="str">
        <f>IFERROR(__xludf.DUMMYFUNCTION("""COMPUTED_VALUE"""),"40th")</f>
        <v>40th</v>
      </c>
      <c r="H463" s="8" t="str">
        <f>IFERROR(__xludf.DUMMYFUNCTION("""COMPUTED_VALUE"""),"Taiwan")</f>
        <v>Taiwan</v>
      </c>
      <c r="I463" s="10">
        <f>IFERROR(__xludf.DUMMYFUNCTION("""COMPUTED_VALUE"""),42401.0)</f>
        <v>42401</v>
      </c>
      <c r="J463" s="10">
        <f>IFERROR(__xludf.DUMMYFUNCTION("""COMPUTED_VALUE"""),44713.0)</f>
        <v>44713</v>
      </c>
      <c r="K463" s="11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9" t="str">
        <f>IFERROR(__xludf.DUMMYFUNCTION("""COMPUTED_VALUE"""),"Liggett")</f>
        <v>Liggett</v>
      </c>
      <c r="B464" s="8" t="str">
        <f>IFERROR(__xludf.DUMMYFUNCTION("""COMPUTED_VALUE"""),"John")</f>
        <v>John</v>
      </c>
      <c r="C464" s="8" t="str">
        <f>IFERROR(__xludf.DUMMYFUNCTION("""COMPUTED_VALUE"""),"Greenville")</f>
        <v>Greenville</v>
      </c>
      <c r="D464" s="8" t="str">
        <f>IFERROR(__xludf.DUMMYFUNCTION("""COMPUTED_VALUE"""),"SC")</f>
        <v>SC</v>
      </c>
      <c r="E464" s="8" t="str">
        <f>IFERROR(__xludf.DUMMYFUNCTION("""COMPUTED_VALUE"""),"USA")</f>
        <v>USA</v>
      </c>
      <c r="F464" s="8" t="str">
        <f>IFERROR(__xludf.DUMMYFUNCTION("""COMPUTED_VALUE"""),"Pro Singles Cricket")</f>
        <v>Pro Singles Cricket</v>
      </c>
      <c r="G464" s="8" t="str">
        <f>IFERROR(__xludf.DUMMYFUNCTION("""COMPUTED_VALUE"""),"3rd")</f>
        <v>3rd</v>
      </c>
      <c r="H464" s="8" t="str">
        <f>IFERROR(__xludf.DUMMYFUNCTION("""COMPUTED_VALUE"""),"Tennessee BS 34")</f>
        <v>Tennessee BS 34</v>
      </c>
      <c r="I464" s="10">
        <f>IFERROR(__xludf.DUMMYFUNCTION("""COMPUTED_VALUE"""),43617.0)</f>
        <v>43617</v>
      </c>
      <c r="J464" s="10">
        <f>IFERROR(__xludf.DUMMYFUNCTION("""COMPUTED_VALUE"""),44713.0)</f>
        <v>44713</v>
      </c>
      <c r="K464" s="11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9" t="str">
        <f>IFERROR(__xludf.DUMMYFUNCTION("""COMPUTED_VALUE"""),"Liggett")</f>
        <v>Liggett</v>
      </c>
      <c r="B465" s="8" t="str">
        <f>IFERROR(__xludf.DUMMYFUNCTION("""COMPUTED_VALUE"""),"Mark")</f>
        <v>Mark</v>
      </c>
      <c r="C465" s="8" t="str">
        <f>IFERROR(__xludf.DUMMYFUNCTION("""COMPUTED_VALUE"""),"Clinton")</f>
        <v>Clinton</v>
      </c>
      <c r="D465" s="8" t="str">
        <f>IFERROR(__xludf.DUMMYFUNCTION("""COMPUTED_VALUE"""),"TN")</f>
        <v>TN</v>
      </c>
      <c r="E465" s="8" t="str">
        <f>IFERROR(__xludf.DUMMYFUNCTION("""COMPUTED_VALUE"""),"USA")</f>
        <v>USA</v>
      </c>
      <c r="F465" s="8" t="str">
        <f>IFERROR(__xludf.DUMMYFUNCTION("""COMPUTED_VALUE"""),"Pro Doubles")</f>
        <v>Pro Doubles</v>
      </c>
      <c r="G465" s="8" t="str">
        <f>IFERROR(__xludf.DUMMYFUNCTION("""COMPUTED_VALUE"""),"1st")</f>
        <v>1st</v>
      </c>
      <c r="H465" s="8" t="str">
        <f>IFERROR(__xludf.DUMMYFUNCTION("""COMPUTED_VALUE"""),"TN Regional 33")</f>
        <v>TN Regional 33</v>
      </c>
      <c r="I465" s="10">
        <f>IFERROR(__xludf.DUMMYFUNCTION("""COMPUTED_VALUE"""),43252.0)</f>
        <v>43252</v>
      </c>
      <c r="J465" s="10">
        <f>IFERROR(__xludf.DUMMYFUNCTION("""COMPUTED_VALUE"""),44348.0)</f>
        <v>44348</v>
      </c>
      <c r="K465" s="11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9" t="str">
        <f>IFERROR(__xludf.DUMMYFUNCTION("""COMPUTED_VALUE"""),"Lim")</f>
        <v>Lim</v>
      </c>
      <c r="B466" s="8" t="str">
        <f>IFERROR(__xludf.DUMMYFUNCTION("""COMPUTED_VALUE"""),"Paul")</f>
        <v>Paul</v>
      </c>
      <c r="C466" s="8" t="str">
        <f>IFERROR(__xludf.DUMMYFUNCTION("""COMPUTED_VALUE"""),"")</f>
        <v/>
      </c>
      <c r="D466" s="8" t="str">
        <f>IFERROR(__xludf.DUMMYFUNCTION("""COMPUTED_VALUE"""),"UNK")</f>
        <v>UNK</v>
      </c>
      <c r="E466" s="8" t="str">
        <f>IFERROR(__xludf.DUMMYFUNCTION("""COMPUTED_VALUE"""),"Singapore")</f>
        <v>Singapore</v>
      </c>
      <c r="F466" s="8" t="str">
        <f>IFERROR(__xludf.DUMMYFUNCTION("""COMPUTED_VALUE"""),"DL")</f>
        <v>DL</v>
      </c>
      <c r="G466" s="8" t="str">
        <f>IFERROR(__xludf.DUMMYFUNCTION("""COMPUTED_VALUE"""),"1st")</f>
        <v>1st</v>
      </c>
      <c r="H466" s="8" t="str">
        <f>IFERROR(__xludf.DUMMYFUNCTION("""COMPUTED_VALUE"""),"Known Ability")</f>
        <v>Known Ability</v>
      </c>
      <c r="I466" s="10">
        <f>IFERROR(__xludf.DUMMYFUNCTION("""COMPUTED_VALUE"""),43132.0)</f>
        <v>43132</v>
      </c>
      <c r="J466" s="10">
        <f>IFERROR(__xludf.DUMMYFUNCTION("""COMPUTED_VALUE"""),45809.0)</f>
        <v>45809</v>
      </c>
      <c r="K466" s="11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9" t="str">
        <f>IFERROR(__xludf.DUMMYFUNCTION("""COMPUTED_VALUE"""),"Little")</f>
        <v>Little</v>
      </c>
      <c r="B467" s="8" t="str">
        <f>IFERROR(__xludf.DUMMYFUNCTION("""COMPUTED_VALUE"""),"Tyler")</f>
        <v>Tyler</v>
      </c>
      <c r="C467" s="8" t="str">
        <f>IFERROR(__xludf.DUMMYFUNCTION("""COMPUTED_VALUE"""),"Sharon")</f>
        <v>Sharon</v>
      </c>
      <c r="D467" s="8" t="str">
        <f>IFERROR(__xludf.DUMMYFUNCTION("""COMPUTED_VALUE"""),"PA")</f>
        <v>PA</v>
      </c>
      <c r="E467" s="8" t="str">
        <f>IFERROR(__xludf.DUMMYFUNCTION("""COMPUTED_VALUE"""),"USA")</f>
        <v>USA</v>
      </c>
      <c r="F467" s="8" t="str">
        <f>IFERROR(__xludf.DUMMYFUNCTION("""COMPUTED_VALUE"""),"Pro Doubles 501")</f>
        <v>Pro Doubles 501</v>
      </c>
      <c r="G467" s="8" t="str">
        <f>IFERROR(__xludf.DUMMYFUNCTION("""COMPUTED_VALUE"""),"3rd")</f>
        <v>3rd</v>
      </c>
      <c r="H467" s="8" t="str">
        <f>IFERROR(__xludf.DUMMYFUNCTION("""COMPUTED_VALUE"""),"Pennsylvania BS 34")</f>
        <v>Pennsylvania BS 34</v>
      </c>
      <c r="I467" s="10">
        <f>IFERROR(__xludf.DUMMYFUNCTION("""COMPUTED_VALUE"""),43617.0)</f>
        <v>43617</v>
      </c>
      <c r="J467" s="10">
        <f>IFERROR(__xludf.DUMMYFUNCTION("""COMPUTED_VALUE"""),44713.0)</f>
        <v>44713</v>
      </c>
      <c r="K467" s="11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9" t="str">
        <f>IFERROR(__xludf.DUMMYFUNCTION("""COMPUTED_VALUE"""),"Long")</f>
        <v>Long</v>
      </c>
      <c r="B468" s="8" t="str">
        <f>IFERROR(__xludf.DUMMYFUNCTION("""COMPUTED_VALUE"""),"Todd")</f>
        <v>Todd</v>
      </c>
      <c r="C468" s="8" t="str">
        <f>IFERROR(__xludf.DUMMYFUNCTION("""COMPUTED_VALUE"""),"Liverpool")</f>
        <v>Liverpool</v>
      </c>
      <c r="D468" s="8" t="str">
        <f>IFERROR(__xludf.DUMMYFUNCTION("""COMPUTED_VALUE"""),"NY")</f>
        <v>NY</v>
      </c>
      <c r="E468" s="8" t="str">
        <f>IFERROR(__xludf.DUMMYFUNCTION("""COMPUTED_VALUE"""),"USA")</f>
        <v>USA</v>
      </c>
      <c r="F468" s="8" t="str">
        <f>IFERROR(__xludf.DUMMYFUNCTION("""COMPUTED_VALUE"""),"Mens Cricket Doubles")</f>
        <v>Mens Cricket Doubles</v>
      </c>
      <c r="G468" s="8" t="str">
        <f>IFERROR(__xludf.DUMMYFUNCTION("""COMPUTED_VALUE"""),"1st")</f>
        <v>1st</v>
      </c>
      <c r="H468" s="8" t="str">
        <f>IFERROR(__xludf.DUMMYFUNCTION("""COMPUTED_VALUE"""),"PA Regional 33")</f>
        <v>PA Regional 33</v>
      </c>
      <c r="I468" s="10">
        <f>IFERROR(__xludf.DUMMYFUNCTION("""COMPUTED_VALUE"""),43252.0)</f>
        <v>43252</v>
      </c>
      <c r="J468" s="10">
        <f>IFERROR(__xludf.DUMMYFUNCTION("""COMPUTED_VALUE"""),44348.0)</f>
        <v>44348</v>
      </c>
      <c r="K468" s="11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9" t="str">
        <f>IFERROR(__xludf.DUMMYFUNCTION("""COMPUTED_VALUE"""),"Long")</f>
        <v>Long</v>
      </c>
      <c r="B469" s="8" t="str">
        <f>IFERROR(__xludf.DUMMYFUNCTION("""COMPUTED_VALUE"""),"Wayne (Marvin)")</f>
        <v>Wayne (Marvin)</v>
      </c>
      <c r="C469" s="8" t="str">
        <f>IFERROR(__xludf.DUMMYFUNCTION("""COMPUTED_VALUE"""),"Cleveland")</f>
        <v>Cleveland</v>
      </c>
      <c r="D469" s="8" t="str">
        <f>IFERROR(__xludf.DUMMYFUNCTION("""COMPUTED_VALUE"""),"TX")</f>
        <v>TX</v>
      </c>
      <c r="E469" s="8" t="str">
        <f>IFERROR(__xludf.DUMMYFUNCTION("""COMPUTED_VALUE"""),"USA")</f>
        <v>USA</v>
      </c>
      <c r="F469" s="8" t="str">
        <f>IFERROR(__xludf.DUMMYFUNCTION("""COMPUTED_VALUE"""),"Mens Singles Cricket")</f>
        <v>Mens Singles Cricket</v>
      </c>
      <c r="G469" s="8" t="str">
        <f>IFERROR(__xludf.DUMMYFUNCTION("""COMPUTED_VALUE"""),"2nd")</f>
        <v>2nd</v>
      </c>
      <c r="H469" s="8" t="str">
        <f>IFERROR(__xludf.DUMMYFUNCTION("""COMPUTED_VALUE"""),"GA Regional 32")</f>
        <v>GA Regional 32</v>
      </c>
      <c r="I469" s="10">
        <f>IFERROR(__xludf.DUMMYFUNCTION("""COMPUTED_VALUE"""),42887.0)</f>
        <v>42887</v>
      </c>
      <c r="J469" s="10">
        <f>IFERROR(__xludf.DUMMYFUNCTION("""COMPUTED_VALUE"""),43983.0)</f>
        <v>43983</v>
      </c>
      <c r="K469" s="11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9" t="str">
        <f>IFERROR(__xludf.DUMMYFUNCTION("""COMPUTED_VALUE"""),"Lopez")</f>
        <v>Lopez</v>
      </c>
      <c r="B470" s="8" t="str">
        <f>IFERROR(__xludf.DUMMYFUNCTION("""COMPUTED_VALUE"""),"Christian")</f>
        <v>Christian</v>
      </c>
      <c r="C470" s="8" t="str">
        <f>IFERROR(__xludf.DUMMYFUNCTION("""COMPUTED_VALUE"""),"Altamomte Springs")</f>
        <v>Altamomte Springs</v>
      </c>
      <c r="D470" s="8" t="str">
        <f>IFERROR(__xludf.DUMMYFUNCTION("""COMPUTED_VALUE"""),"FL")</f>
        <v>FL</v>
      </c>
      <c r="E470" s="8" t="str">
        <f>IFERROR(__xludf.DUMMYFUNCTION("""COMPUTED_VALUE"""),"USA")</f>
        <v>USA</v>
      </c>
      <c r="F470" s="8" t="str">
        <f>IFERROR(__xludf.DUMMYFUNCTION("""COMPUTED_VALUE"""),"Mens Doubles")</f>
        <v>Mens Doubles</v>
      </c>
      <c r="G470" s="8" t="str">
        <f>IFERROR(__xludf.DUMMYFUNCTION("""COMPUTED_VALUE"""),"2nd")</f>
        <v>2nd</v>
      </c>
      <c r="H470" s="8" t="str">
        <f>IFERROR(__xludf.DUMMYFUNCTION("""COMPUTED_VALUE"""),"Florida Regional 32")</f>
        <v>Florida Regional 32</v>
      </c>
      <c r="I470" s="10">
        <f>IFERROR(__xludf.DUMMYFUNCTION("""COMPUTED_VALUE"""),42887.0)</f>
        <v>42887</v>
      </c>
      <c r="J470" s="10">
        <f>IFERROR(__xludf.DUMMYFUNCTION("""COMPUTED_VALUE"""),43983.0)</f>
        <v>43983</v>
      </c>
      <c r="K470" s="11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9" t="str">
        <f>IFERROR(__xludf.DUMMYFUNCTION("""COMPUTED_VALUE"""),"Luck")</f>
        <v>Luck</v>
      </c>
      <c r="B471" s="8" t="str">
        <f>IFERROR(__xludf.DUMMYFUNCTION("""COMPUTED_VALUE"""),"Terry")</f>
        <v>Terry</v>
      </c>
      <c r="C471" s="8" t="str">
        <f>IFERROR(__xludf.DUMMYFUNCTION("""COMPUTED_VALUE"""),"Orlando")</f>
        <v>Orlando</v>
      </c>
      <c r="D471" s="8" t="str">
        <f>IFERROR(__xludf.DUMMYFUNCTION("""COMPUTED_VALUE"""),"FL")</f>
        <v>FL</v>
      </c>
      <c r="E471" s="8" t="str">
        <f>IFERROR(__xludf.DUMMYFUNCTION("""COMPUTED_VALUE"""),"USA")</f>
        <v>USA</v>
      </c>
      <c r="F471" s="8" t="str">
        <f>IFERROR(__xludf.DUMMYFUNCTION("""COMPUTED_VALUE"""),"Men Cricket Doubles")</f>
        <v>Men Cricket Doubles</v>
      </c>
      <c r="G471" s="8" t="str">
        <f>IFERROR(__xludf.DUMMYFUNCTION("""COMPUTED_VALUE"""),"2nd")</f>
        <v>2nd</v>
      </c>
      <c r="H471" s="8" t="str">
        <f>IFERROR(__xludf.DUMMYFUNCTION("""COMPUTED_VALUE"""),"Florida BS 34")</f>
        <v>Florida BS 34</v>
      </c>
      <c r="I471" s="10">
        <f>IFERROR(__xludf.DUMMYFUNCTION("""COMPUTED_VALUE"""),43617.0)</f>
        <v>43617</v>
      </c>
      <c r="J471" s="10">
        <f>IFERROR(__xludf.DUMMYFUNCTION("""COMPUTED_VALUE"""),44713.0)</f>
        <v>44713</v>
      </c>
      <c r="K471" s="11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9" t="str">
        <f>IFERROR(__xludf.DUMMYFUNCTION("""COMPUTED_VALUE"""),"Lulow")</f>
        <v>Lulow</v>
      </c>
      <c r="B472" s="8" t="str">
        <f>IFERROR(__xludf.DUMMYFUNCTION("""COMPUTED_VALUE"""),"Dreu")</f>
        <v>Dreu</v>
      </c>
      <c r="C472" s="8" t="str">
        <f>IFERROR(__xludf.DUMMYFUNCTION("""COMPUTED_VALUE"""),"Oshkosh")</f>
        <v>Oshkosh</v>
      </c>
      <c r="D472" s="8" t="str">
        <f>IFERROR(__xludf.DUMMYFUNCTION("""COMPUTED_VALUE"""),"WI")</f>
        <v>WI</v>
      </c>
      <c r="E472" s="8" t="str">
        <f>IFERROR(__xludf.DUMMYFUNCTION("""COMPUTED_VALUE"""),"USA")</f>
        <v>USA</v>
      </c>
      <c r="F472" s="8" t="str">
        <f>IFERROR(__xludf.DUMMYFUNCTION("""COMPUTED_VALUE"""),"Top Gun Pro/AA Triples")</f>
        <v>Top Gun Pro/AA Triples</v>
      </c>
      <c r="G472" s="8" t="str">
        <f>IFERROR(__xludf.DUMMYFUNCTION("""COMPUTED_VALUE"""),"3rd-4th")</f>
        <v>3rd-4th</v>
      </c>
      <c r="H472" s="8" t="str">
        <f>IFERROR(__xludf.DUMMYFUNCTION("""COMPUTED_VALUE"""),"BullShooter 31")</f>
        <v>BullShooter 31</v>
      </c>
      <c r="I472" s="10">
        <f>IFERROR(__xludf.DUMMYFUNCTION("""COMPUTED_VALUE"""),42522.0)</f>
        <v>42522</v>
      </c>
      <c r="J472" s="10">
        <f>IFERROR(__xludf.DUMMYFUNCTION("""COMPUTED_VALUE"""),44713.0)</f>
        <v>44713</v>
      </c>
      <c r="K472" s="11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9" t="str">
        <f>IFERROR(__xludf.DUMMYFUNCTION("""COMPUTED_VALUE"""),"Lundberg")</f>
        <v>Lundberg</v>
      </c>
      <c r="B473" s="8" t="str">
        <f>IFERROR(__xludf.DUMMYFUNCTION("""COMPUTED_VALUE"""),"Carl")</f>
        <v>Carl</v>
      </c>
      <c r="C473" s="8" t="str">
        <f>IFERROR(__xludf.DUMMYFUNCTION("""COMPUTED_VALUE"""),"St. Helens")</f>
        <v>St. Helens</v>
      </c>
      <c r="D473" s="8" t="str">
        <f>IFERROR(__xludf.DUMMYFUNCTION("""COMPUTED_VALUE"""),"WA")</f>
        <v>WA</v>
      </c>
      <c r="E473" s="8" t="str">
        <f>IFERROR(__xludf.DUMMYFUNCTION("""COMPUTED_VALUE"""),"USA")</f>
        <v>USA</v>
      </c>
      <c r="F473" s="8" t="str">
        <f>IFERROR(__xludf.DUMMYFUNCTION("""COMPUTED_VALUE"""),"Known Pro")</f>
        <v>Known Pro</v>
      </c>
      <c r="G473" s="8" t="str">
        <f>IFERROR(__xludf.DUMMYFUNCTION("""COMPUTED_VALUE"""),"")</f>
        <v/>
      </c>
      <c r="H473" s="8" t="str">
        <f>IFERROR(__xludf.DUMMYFUNCTION("""COMPUTED_VALUE"""),"Known Ability")</f>
        <v>Known Ability</v>
      </c>
      <c r="I473" s="10">
        <f>IFERROR(__xludf.DUMMYFUNCTION("""COMPUTED_VALUE"""),36892.0)</f>
        <v>36892</v>
      </c>
      <c r="J473" s="10">
        <f>IFERROR(__xludf.DUMMYFUNCTION("""COMPUTED_VALUE"""),45809.0)</f>
        <v>45809</v>
      </c>
      <c r="K473" s="11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9" t="str">
        <f>IFERROR(__xludf.DUMMYFUNCTION("""COMPUTED_VALUE"""),"Lyles")</f>
        <v>Lyles</v>
      </c>
      <c r="B474" s="8" t="str">
        <f>IFERROR(__xludf.DUMMYFUNCTION("""COMPUTED_VALUE"""),"Ronnie")</f>
        <v>Ronnie</v>
      </c>
      <c r="C474" s="8" t="str">
        <f>IFERROR(__xludf.DUMMYFUNCTION("""COMPUTED_VALUE"""),"Houston")</f>
        <v>Houston</v>
      </c>
      <c r="D474" s="8" t="str">
        <f>IFERROR(__xludf.DUMMYFUNCTION("""COMPUTED_VALUE"""),"TX")</f>
        <v>TX</v>
      </c>
      <c r="E474" s="8" t="str">
        <f>IFERROR(__xludf.DUMMYFUNCTION("""COMPUTED_VALUE"""),"USA")</f>
        <v>USA</v>
      </c>
      <c r="F474" s="8" t="str">
        <f>IFERROR(__xludf.DUMMYFUNCTION("""COMPUTED_VALUE"""),"Mens Singles")</f>
        <v>Mens Singles</v>
      </c>
      <c r="G474" s="8" t="str">
        <f>IFERROR(__xludf.DUMMYFUNCTION("""COMPUTED_VALUE"""),"2nd")</f>
        <v>2nd</v>
      </c>
      <c r="H474" s="8" t="str">
        <f>IFERROR(__xludf.DUMMYFUNCTION("""COMPUTED_VALUE"""),"TX Regional 33")</f>
        <v>TX Regional 33</v>
      </c>
      <c r="I474" s="10">
        <f>IFERROR(__xludf.DUMMYFUNCTION("""COMPUTED_VALUE"""),43252.0)</f>
        <v>43252</v>
      </c>
      <c r="J474" s="10">
        <f>IFERROR(__xludf.DUMMYFUNCTION("""COMPUTED_VALUE"""),44348.0)</f>
        <v>44348</v>
      </c>
      <c r="K474" s="11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9" t="str">
        <f>IFERROR(__xludf.DUMMYFUNCTION("""COMPUTED_VALUE"""),"Mackenzie")</f>
        <v>Mackenzie</v>
      </c>
      <c r="B475" s="8" t="str">
        <f>IFERROR(__xludf.DUMMYFUNCTION("""COMPUTED_VALUE"""),"Scott")</f>
        <v>Scott</v>
      </c>
      <c r="C475" s="8" t="str">
        <f>IFERROR(__xludf.DUMMYFUNCTION("""COMPUTED_VALUE"""),"Hong Kong")</f>
        <v>Hong Kong</v>
      </c>
      <c r="D475" s="8" t="str">
        <f>IFERROR(__xludf.DUMMYFUNCTION("""COMPUTED_VALUE"""),"UNK")</f>
        <v>UNK</v>
      </c>
      <c r="E475" s="8" t="str">
        <f>IFERROR(__xludf.DUMMYFUNCTION("""COMPUTED_VALUE"""),"Hong Kong")</f>
        <v>Hong Kong</v>
      </c>
      <c r="F475" s="8" t="str">
        <f>IFERROR(__xludf.DUMMYFUNCTION("""COMPUTED_VALUE"""),"DL")</f>
        <v>DL</v>
      </c>
      <c r="G475" s="8" t="str">
        <f>IFERROR(__xludf.DUMMYFUNCTION("""COMPUTED_VALUE"""),"68th")</f>
        <v>68th</v>
      </c>
      <c r="H475" s="8" t="str">
        <f>IFERROR(__xludf.DUMMYFUNCTION("""COMPUTED_VALUE"""),"DL")</f>
        <v>DL</v>
      </c>
      <c r="I475" s="10">
        <f>IFERROR(__xludf.DUMMYFUNCTION("""COMPUTED_VALUE"""),42401.0)</f>
        <v>42401</v>
      </c>
      <c r="J475" s="10">
        <f>IFERROR(__xludf.DUMMYFUNCTION("""COMPUTED_VALUE"""),44713.0)</f>
        <v>44713</v>
      </c>
      <c r="K475" s="11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9" t="str">
        <f>IFERROR(__xludf.DUMMYFUNCTION("""COMPUTED_VALUE"""),"Mackey")</f>
        <v>Mackey</v>
      </c>
      <c r="B476" s="8" t="str">
        <f>IFERROR(__xludf.DUMMYFUNCTION("""COMPUTED_VALUE"""),"Mark")</f>
        <v>Mark</v>
      </c>
      <c r="C476" s="8" t="str">
        <f>IFERROR(__xludf.DUMMYFUNCTION("""COMPUTED_VALUE"""),"Indianapolis")</f>
        <v>Indianapolis</v>
      </c>
      <c r="D476" s="8" t="str">
        <f>IFERROR(__xludf.DUMMYFUNCTION("""COMPUTED_VALUE"""),"IN")</f>
        <v>IN</v>
      </c>
      <c r="E476" s="8" t="str">
        <f>IFERROR(__xludf.DUMMYFUNCTION("""COMPUTED_VALUE"""),"USA")</f>
        <v>USA</v>
      </c>
      <c r="F476" s="8" t="str">
        <f>IFERROR(__xludf.DUMMYFUNCTION("""COMPUTED_VALUE"""),"Men Singles Cricket")</f>
        <v>Men Singles Cricket</v>
      </c>
      <c r="G476" s="8" t="str">
        <f>IFERROR(__xludf.DUMMYFUNCTION("""COMPUTED_VALUE"""),"3rd")</f>
        <v>3rd</v>
      </c>
      <c r="H476" s="8" t="str">
        <f>IFERROR(__xludf.DUMMYFUNCTION("""COMPUTED_VALUE"""),"Indiana BS 34")</f>
        <v>Indiana BS 34</v>
      </c>
      <c r="I476" s="10">
        <f>IFERROR(__xludf.DUMMYFUNCTION("""COMPUTED_VALUE"""),43617.0)</f>
        <v>43617</v>
      </c>
      <c r="J476" s="10">
        <f>IFERROR(__xludf.DUMMYFUNCTION("""COMPUTED_VALUE"""),44713.0)</f>
        <v>44713</v>
      </c>
      <c r="K476" s="11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9" t="str">
        <f>IFERROR(__xludf.DUMMYFUNCTION("""COMPUTED_VALUE"""),"Madrigal")</f>
        <v>Madrigal</v>
      </c>
      <c r="B477" s="8" t="str">
        <f>IFERROR(__xludf.DUMMYFUNCTION("""COMPUTED_VALUE"""),"Juan")</f>
        <v>Juan</v>
      </c>
      <c r="C477" s="8" t="str">
        <f>IFERROR(__xludf.DUMMYFUNCTION("""COMPUTED_VALUE"""),"San Bernadino")</f>
        <v>San Bernadino</v>
      </c>
      <c r="D477" s="8" t="str">
        <f>IFERROR(__xludf.DUMMYFUNCTION("""COMPUTED_VALUE"""),"CA")</f>
        <v>CA</v>
      </c>
      <c r="E477" s="8" t="str">
        <f>IFERROR(__xludf.DUMMYFUNCTION("""COMPUTED_VALUE"""),"USA")</f>
        <v>USA</v>
      </c>
      <c r="F477" s="8" t="str">
        <f>IFERROR(__xludf.DUMMYFUNCTION("""COMPUTED_VALUE"""),"Pro / Am Cricket")</f>
        <v>Pro / Am Cricket</v>
      </c>
      <c r="G477" s="8" t="str">
        <f>IFERROR(__xludf.DUMMYFUNCTION("""COMPUTED_VALUE"""),"3rd")</f>
        <v>3rd</v>
      </c>
      <c r="H477" s="8" t="str">
        <f>IFERROR(__xludf.DUMMYFUNCTION("""COMPUTED_VALUE"""),"NV Regional 32")</f>
        <v>NV Regional 32</v>
      </c>
      <c r="I477" s="10">
        <f>IFERROR(__xludf.DUMMYFUNCTION("""COMPUTED_VALUE"""),42887.0)</f>
        <v>42887</v>
      </c>
      <c r="J477" s="10">
        <f>IFERROR(__xludf.DUMMYFUNCTION("""COMPUTED_VALUE"""),43983.0)</f>
        <v>43983</v>
      </c>
      <c r="K477" s="11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9" t="str">
        <f>IFERROR(__xludf.DUMMYFUNCTION("""COMPUTED_VALUE"""),"Maloney")</f>
        <v>Maloney</v>
      </c>
      <c r="B478" s="8" t="str">
        <f>IFERROR(__xludf.DUMMYFUNCTION("""COMPUTED_VALUE"""),"Christopher")</f>
        <v>Christopher</v>
      </c>
      <c r="C478" s="8" t="str">
        <f>IFERROR(__xludf.DUMMYFUNCTION("""COMPUTED_VALUE"""),"Rochester")</f>
        <v>Rochester</v>
      </c>
      <c r="D478" s="8" t="str">
        <f>IFERROR(__xludf.DUMMYFUNCTION("""COMPUTED_VALUE"""),"NY")</f>
        <v>NY</v>
      </c>
      <c r="E478" s="8" t="str">
        <f>IFERROR(__xludf.DUMMYFUNCTION("""COMPUTED_VALUE"""),"USA")</f>
        <v>USA</v>
      </c>
      <c r="F478" s="8" t="str">
        <f>IFERROR(__xludf.DUMMYFUNCTION("""COMPUTED_VALUE"""),"Pro Doubles 501")</f>
        <v>Pro Doubles 501</v>
      </c>
      <c r="G478" s="8" t="str">
        <f>IFERROR(__xludf.DUMMYFUNCTION("""COMPUTED_VALUE"""),"2nd")</f>
        <v>2nd</v>
      </c>
      <c r="H478" s="8" t="str">
        <f>IFERROR(__xludf.DUMMYFUNCTION("""COMPUTED_VALUE"""),"New York BS 34")</f>
        <v>New York BS 34</v>
      </c>
      <c r="I478" s="10">
        <f>IFERROR(__xludf.DUMMYFUNCTION("""COMPUTED_VALUE"""),43617.0)</f>
        <v>43617</v>
      </c>
      <c r="J478" s="10">
        <f>IFERROR(__xludf.DUMMYFUNCTION("""COMPUTED_VALUE"""),44713.0)</f>
        <v>44713</v>
      </c>
      <c r="K478" s="11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9" t="str">
        <f>IFERROR(__xludf.DUMMYFUNCTION("""COMPUTED_VALUE"""),"Mansell")</f>
        <v>Mansell</v>
      </c>
      <c r="B479" s="8" t="str">
        <f>IFERROR(__xludf.DUMMYFUNCTION("""COMPUTED_VALUE"""),"Michael")</f>
        <v>Michael</v>
      </c>
      <c r="C479" s="8" t="str">
        <f>IFERROR(__xludf.DUMMYFUNCTION("""COMPUTED_VALUE"""),"")</f>
        <v/>
      </c>
      <c r="D479" s="8" t="str">
        <f>IFERROR(__xludf.DUMMYFUNCTION("""COMPUTED_VALUE"""),"UNK")</f>
        <v>UNK</v>
      </c>
      <c r="E479" s="8" t="str">
        <f>IFERROR(__xludf.DUMMYFUNCTION("""COMPUTED_VALUE"""),"No. Ireland")</f>
        <v>No. Ireland</v>
      </c>
      <c r="F479" s="8" t="str">
        <f>IFERROR(__xludf.DUMMYFUNCTION("""COMPUTED_VALUE"""),"PDC Merit Ranking")</f>
        <v>PDC Merit Ranking</v>
      </c>
      <c r="G479" s="8" t="str">
        <f>IFERROR(__xludf.DUMMYFUNCTION("""COMPUTED_VALUE"""),"55th")</f>
        <v>55th</v>
      </c>
      <c r="H479" s="8" t="str">
        <f>IFERROR(__xludf.DUMMYFUNCTION("""COMPUTED_VALUE"""),"PDC Merit Ranking")</f>
        <v>PDC Merit Ranking</v>
      </c>
      <c r="I479" s="10">
        <f>IFERROR(__xludf.DUMMYFUNCTION("""COMPUTED_VALUE"""),42401.0)</f>
        <v>42401</v>
      </c>
      <c r="J479" s="10">
        <f>IFERROR(__xludf.DUMMYFUNCTION("""COMPUTED_VALUE"""),44713.0)</f>
        <v>44713</v>
      </c>
      <c r="K479" s="11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9" t="str">
        <f>IFERROR(__xludf.DUMMYFUNCTION("""COMPUTED_VALUE"""),"Manzanaress")</f>
        <v>Manzanaress</v>
      </c>
      <c r="B480" s="8" t="str">
        <f>IFERROR(__xludf.DUMMYFUNCTION("""COMPUTED_VALUE"""),"Raymond")</f>
        <v>Raymond</v>
      </c>
      <c r="C480" s="8" t="str">
        <f>IFERROR(__xludf.DUMMYFUNCTION("""COMPUTED_VALUE"""),"")</f>
        <v/>
      </c>
      <c r="D480" s="8" t="str">
        <f>IFERROR(__xludf.DUMMYFUNCTION("""COMPUTED_VALUE"""),"UNK")</f>
        <v>UNK</v>
      </c>
      <c r="E480" s="8" t="str">
        <f>IFERROR(__xludf.DUMMYFUNCTION("""COMPUTED_VALUE"""),"Canada")</f>
        <v>Canada</v>
      </c>
      <c r="F480" s="8" t="str">
        <f>IFERROR(__xludf.DUMMYFUNCTION("""COMPUTED_VALUE"""),"Mens Singles Cricket")</f>
        <v>Mens Singles Cricket</v>
      </c>
      <c r="G480" s="8" t="str">
        <f>IFERROR(__xludf.DUMMYFUNCTION("""COMPUTED_VALUE"""),"3rd")</f>
        <v>3rd</v>
      </c>
      <c r="H480" s="8" t="str">
        <f>IFERROR(__xludf.DUMMYFUNCTION("""COMPUTED_VALUE"""),"NY Regional 32")</f>
        <v>NY Regional 32</v>
      </c>
      <c r="I480" s="10">
        <f>IFERROR(__xludf.DUMMYFUNCTION("""COMPUTED_VALUE"""),42887.0)</f>
        <v>42887</v>
      </c>
      <c r="J480" s="10">
        <f>IFERROR(__xludf.DUMMYFUNCTION("""COMPUTED_VALUE"""),43983.0)</f>
        <v>43983</v>
      </c>
      <c r="K480" s="11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9" t="str">
        <f>IFERROR(__xludf.DUMMYFUNCTION("""COMPUTED_VALUE"""),"Marano")</f>
        <v>Marano</v>
      </c>
      <c r="B481" s="8" t="str">
        <f>IFERROR(__xludf.DUMMYFUNCTION("""COMPUTED_VALUE"""),"Richard")</f>
        <v>Richard</v>
      </c>
      <c r="C481" s="8" t="str">
        <f>IFERROR(__xludf.DUMMYFUNCTION("""COMPUTED_VALUE"""),"N. Fort Meyers")</f>
        <v>N. Fort Meyers</v>
      </c>
      <c r="D481" s="8" t="str">
        <f>IFERROR(__xludf.DUMMYFUNCTION("""COMPUTED_VALUE"""),"FL")</f>
        <v>FL</v>
      </c>
      <c r="E481" s="8" t="str">
        <f>IFERROR(__xludf.DUMMYFUNCTION("""COMPUTED_VALUE"""),"USA")</f>
        <v>USA</v>
      </c>
      <c r="F481" s="8" t="str">
        <f>IFERROR(__xludf.DUMMYFUNCTION("""COMPUTED_VALUE"""),"Mens Doubles")</f>
        <v>Mens Doubles</v>
      </c>
      <c r="G481" s="8" t="str">
        <f>IFERROR(__xludf.DUMMYFUNCTION("""COMPUTED_VALUE"""),"3rd")</f>
        <v>3rd</v>
      </c>
      <c r="H481" s="8" t="str">
        <f>IFERROR(__xludf.DUMMYFUNCTION("""COMPUTED_VALUE"""),"GA Regional 33")</f>
        <v>GA Regional 33</v>
      </c>
      <c r="I481" s="10">
        <f>IFERROR(__xludf.DUMMYFUNCTION("""COMPUTED_VALUE"""),43252.0)</f>
        <v>43252</v>
      </c>
      <c r="J481" s="10">
        <f>IFERROR(__xludf.DUMMYFUNCTION("""COMPUTED_VALUE"""),44348.0)</f>
        <v>44348</v>
      </c>
      <c r="K481" s="11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9" t="str">
        <f>IFERROR(__xludf.DUMMYFUNCTION("""COMPUTED_VALUE"""),"Marche")</f>
        <v>Marche</v>
      </c>
      <c r="B482" s="8" t="str">
        <f>IFERROR(__xludf.DUMMYFUNCTION("""COMPUTED_VALUE"""),"Randolph")</f>
        <v>Randolph</v>
      </c>
      <c r="C482" s="8" t="str">
        <f>IFERROR(__xludf.DUMMYFUNCTION("""COMPUTED_VALUE"""),"Kersey")</f>
        <v>Kersey</v>
      </c>
      <c r="D482" s="8" t="str">
        <f>IFERROR(__xludf.DUMMYFUNCTION("""COMPUTED_VALUE"""),"PA")</f>
        <v>PA</v>
      </c>
      <c r="E482" s="8" t="str">
        <f>IFERROR(__xludf.DUMMYFUNCTION("""COMPUTED_VALUE"""),"USA")</f>
        <v>USA</v>
      </c>
      <c r="F482" s="8" t="str">
        <f>IFERROR(__xludf.DUMMYFUNCTION("""COMPUTED_VALUE"""),"Pro Cricket Singles")</f>
        <v>Pro Cricket Singles</v>
      </c>
      <c r="G482" s="8" t="str">
        <f>IFERROR(__xludf.DUMMYFUNCTION("""COMPUTED_VALUE"""),"3rd")</f>
        <v>3rd</v>
      </c>
      <c r="H482" s="8" t="str">
        <f>IFERROR(__xludf.DUMMYFUNCTION("""COMPUTED_VALUE"""),"PA Regional 32")</f>
        <v>PA Regional 32</v>
      </c>
      <c r="I482" s="10">
        <f>IFERROR(__xludf.DUMMYFUNCTION("""COMPUTED_VALUE"""),42887.0)</f>
        <v>42887</v>
      </c>
      <c r="J482" s="10">
        <f>IFERROR(__xludf.DUMMYFUNCTION("""COMPUTED_VALUE"""),43983.0)</f>
        <v>43983</v>
      </c>
      <c r="K482" s="11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9" t="str">
        <f>IFERROR(__xludf.DUMMYFUNCTION("""COMPUTED_VALUE"""),"Marchesani")</f>
        <v>Marchesani</v>
      </c>
      <c r="B483" s="8" t="str">
        <f>IFERROR(__xludf.DUMMYFUNCTION("""COMPUTED_VALUE"""),"Marc")</f>
        <v>Marc</v>
      </c>
      <c r="C483" s="8" t="str">
        <f>IFERROR(__xludf.DUMMYFUNCTION("""COMPUTED_VALUE"""),"Woodland Park")</f>
        <v>Woodland Park</v>
      </c>
      <c r="D483" s="8" t="str">
        <f>IFERROR(__xludf.DUMMYFUNCTION("""COMPUTED_VALUE"""),"NJ")</f>
        <v>NJ</v>
      </c>
      <c r="E483" s="8" t="str">
        <f>IFERROR(__xludf.DUMMYFUNCTION("""COMPUTED_VALUE"""),"USA")</f>
        <v>USA</v>
      </c>
      <c r="F483" s="8" t="str">
        <f>IFERROR(__xludf.DUMMYFUNCTION("""COMPUTED_VALUE"""),"TopGun Non Pro Triples")</f>
        <v>TopGun Non Pro Triples</v>
      </c>
      <c r="G483" s="8" t="str">
        <f>IFERROR(__xludf.DUMMYFUNCTION("""COMPUTED_VALUE"""),"1st")</f>
        <v>1st</v>
      </c>
      <c r="H483" s="8" t="str">
        <f>IFERROR(__xludf.DUMMYFUNCTION("""COMPUTED_VALUE"""),"BullShooter 34 Finals")</f>
        <v>BullShooter 34 Finals</v>
      </c>
      <c r="I483" s="10">
        <f>IFERROR(__xludf.DUMMYFUNCTION("""COMPUTED_VALUE"""),43617.0)</f>
        <v>43617</v>
      </c>
      <c r="J483" s="10">
        <f>IFERROR(__xludf.DUMMYFUNCTION("""COMPUTED_VALUE"""),44713.0)</f>
        <v>44713</v>
      </c>
      <c r="K483" s="11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9" t="str">
        <f>IFERROR(__xludf.DUMMYFUNCTION("""COMPUTED_VALUE"""),"Markle")</f>
        <v>Markle</v>
      </c>
      <c r="B484" s="8" t="str">
        <f>IFERROR(__xludf.DUMMYFUNCTION("""COMPUTED_VALUE"""),"Scott")</f>
        <v>Scott</v>
      </c>
      <c r="C484" s="8" t="str">
        <f>IFERROR(__xludf.DUMMYFUNCTION("""COMPUTED_VALUE"""),"Greenfield")</f>
        <v>Greenfield</v>
      </c>
      <c r="D484" s="8" t="str">
        <f>IFERROR(__xludf.DUMMYFUNCTION("""COMPUTED_VALUE"""),"IN")</f>
        <v>IN</v>
      </c>
      <c r="E484" s="8" t="str">
        <f>IFERROR(__xludf.DUMMYFUNCTION("""COMPUTED_VALUE"""),"USA")</f>
        <v>USA</v>
      </c>
      <c r="F484" s="8" t="str">
        <f>IFERROR(__xludf.DUMMYFUNCTION("""COMPUTED_VALUE"""),"Mens Doubles")</f>
        <v>Mens Doubles</v>
      </c>
      <c r="G484" s="8" t="str">
        <f>IFERROR(__xludf.DUMMYFUNCTION("""COMPUTED_VALUE"""),"1st")</f>
        <v>1st</v>
      </c>
      <c r="H484" s="8" t="str">
        <f>IFERROR(__xludf.DUMMYFUNCTION("""COMPUTED_VALUE"""),"IN Regional 32")</f>
        <v>IN Regional 32</v>
      </c>
      <c r="I484" s="10">
        <f>IFERROR(__xludf.DUMMYFUNCTION("""COMPUTED_VALUE"""),42887.0)</f>
        <v>42887</v>
      </c>
      <c r="J484" s="10">
        <f>IFERROR(__xludf.DUMMYFUNCTION("""COMPUTED_VALUE"""),43983.0)</f>
        <v>43983</v>
      </c>
      <c r="K484" s="11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9" t="str">
        <f>IFERROR(__xludf.DUMMYFUNCTION("""COMPUTED_VALUE"""),"Marlijn")</f>
        <v>Marlijn</v>
      </c>
      <c r="B485" s="8" t="str">
        <f>IFERROR(__xludf.DUMMYFUNCTION("""COMPUTED_VALUE"""),"Eddy")</f>
        <v>Eddy</v>
      </c>
      <c r="C485" s="8" t="str">
        <f>IFERROR(__xludf.DUMMYFUNCTION("""COMPUTED_VALUE"""),"")</f>
        <v/>
      </c>
      <c r="D485" s="8" t="str">
        <f>IFERROR(__xludf.DUMMYFUNCTION("""COMPUTED_VALUE"""),"")</f>
        <v/>
      </c>
      <c r="E485" s="8" t="str">
        <f>IFERROR(__xludf.DUMMYFUNCTION("""COMPUTED_VALUE"""),"Netherlands")</f>
        <v>Netherlands</v>
      </c>
      <c r="F485" s="8" t="str">
        <f>IFERROR(__xludf.DUMMYFUNCTION("""COMPUTED_VALUE"""),"")</f>
        <v/>
      </c>
      <c r="G485" s="8" t="str">
        <f>IFERROR(__xludf.DUMMYFUNCTION("""COMPUTED_VALUE"""),"")</f>
        <v/>
      </c>
      <c r="H485" s="8" t="str">
        <f>IFERROR(__xludf.DUMMYFUNCTION("""COMPUTED_VALUE"""),"BS 30 Finals")</f>
        <v>BS 30 Finals</v>
      </c>
      <c r="I485" s="10">
        <f>IFERROR(__xludf.DUMMYFUNCTION("""COMPUTED_VALUE"""),43252.0)</f>
        <v>43252</v>
      </c>
      <c r="J485" s="10">
        <f>IFERROR(__xludf.DUMMYFUNCTION("""COMPUTED_VALUE"""),44348.0)</f>
        <v>44348</v>
      </c>
      <c r="K485" s="11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9" t="str">
        <f>IFERROR(__xludf.DUMMYFUNCTION("""COMPUTED_VALUE"""),"Marlowe")</f>
        <v>Marlowe</v>
      </c>
      <c r="B486" s="8" t="str">
        <f>IFERROR(__xludf.DUMMYFUNCTION("""COMPUTED_VALUE"""),"Johnny")</f>
        <v>Johnny</v>
      </c>
      <c r="C486" s="8" t="str">
        <f>IFERROR(__xludf.DUMMYFUNCTION("""COMPUTED_VALUE"""),"Myrtle Beach")</f>
        <v>Myrtle Beach</v>
      </c>
      <c r="D486" s="8" t="str">
        <f>IFERROR(__xludf.DUMMYFUNCTION("""COMPUTED_VALUE"""),"SC")</f>
        <v>SC</v>
      </c>
      <c r="E486" s="8" t="str">
        <f>IFERROR(__xludf.DUMMYFUNCTION("""COMPUTED_VALUE"""),"USA")</f>
        <v>USA</v>
      </c>
      <c r="F486" s="8" t="str">
        <f>IFERROR(__xludf.DUMMYFUNCTION("""COMPUTED_VALUE"""),"Pro/Am Cricket")</f>
        <v>Pro/Am Cricket</v>
      </c>
      <c r="G486" s="8" t="str">
        <f>IFERROR(__xludf.DUMMYFUNCTION("""COMPUTED_VALUE"""),"3rd")</f>
        <v>3rd</v>
      </c>
      <c r="H486" s="8" t="str">
        <f>IFERROR(__xludf.DUMMYFUNCTION("""COMPUTED_VALUE"""),"SC Regional 32")</f>
        <v>SC Regional 32</v>
      </c>
      <c r="I486" s="10">
        <f>IFERROR(__xludf.DUMMYFUNCTION("""COMPUTED_VALUE"""),42887.0)</f>
        <v>42887</v>
      </c>
      <c r="J486" s="10">
        <f>IFERROR(__xludf.DUMMYFUNCTION("""COMPUTED_VALUE"""),43983.0)</f>
        <v>43983</v>
      </c>
      <c r="K486" s="11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9" t="str">
        <f>IFERROR(__xludf.DUMMYFUNCTION("""COMPUTED_VALUE"""),"Marques")</f>
        <v>Marques</v>
      </c>
      <c r="B487" s="8" t="str">
        <f>IFERROR(__xludf.DUMMYFUNCTION("""COMPUTED_VALUE"""),"Jose")</f>
        <v>Jose</v>
      </c>
      <c r="C487" s="8" t="str">
        <f>IFERROR(__xludf.DUMMYFUNCTION("""COMPUTED_VALUE"""),"")</f>
        <v/>
      </c>
      <c r="D487" s="8" t="str">
        <f>IFERROR(__xludf.DUMMYFUNCTION("""COMPUTED_VALUE"""),"UNK")</f>
        <v>UNK</v>
      </c>
      <c r="E487" s="8" t="str">
        <f>IFERROR(__xludf.DUMMYFUNCTION("""COMPUTED_VALUE"""),"Portugal")</f>
        <v>Portugal</v>
      </c>
      <c r="F487" s="8" t="str">
        <f>IFERROR(__xludf.DUMMYFUNCTION("""COMPUTED_VALUE"""),"Pro Cricket Doubles")</f>
        <v>Pro Cricket Doubles</v>
      </c>
      <c r="G487" s="8" t="str">
        <f>IFERROR(__xludf.DUMMYFUNCTION("""COMPUTED_VALUE"""),"1st")</f>
        <v>1st</v>
      </c>
      <c r="H487" s="8" t="str">
        <f>IFERROR(__xludf.DUMMYFUNCTION("""COMPUTED_VALUE"""),"Off AA List")</f>
        <v>Off AA List</v>
      </c>
      <c r="I487" s="10">
        <f>IFERROR(__xludf.DUMMYFUNCTION("""COMPUTED_VALUE"""),42887.0)</f>
        <v>42887</v>
      </c>
      <c r="J487" s="10">
        <f>IFERROR(__xludf.DUMMYFUNCTION("""COMPUTED_VALUE"""),43983.0)</f>
        <v>43983</v>
      </c>
      <c r="K487" s="11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9" t="str">
        <f>IFERROR(__xludf.DUMMYFUNCTION("""COMPUTED_VALUE"""),"Marsh")</f>
        <v>Marsh</v>
      </c>
      <c r="B488" s="8" t="str">
        <f>IFERROR(__xludf.DUMMYFUNCTION("""COMPUTED_VALUE"""),"Scott")</f>
        <v>Scott</v>
      </c>
      <c r="C488" s="8" t="str">
        <f>IFERROR(__xludf.DUMMYFUNCTION("""COMPUTED_VALUE"""),"")</f>
        <v/>
      </c>
      <c r="D488" s="8" t="str">
        <f>IFERROR(__xludf.DUMMYFUNCTION("""COMPUTED_VALUE"""),"UNK")</f>
        <v>UNK</v>
      </c>
      <c r="E488" s="8" t="str">
        <f>IFERROR(__xludf.DUMMYFUNCTION("""COMPUTED_VALUE"""),"United Kingdom")</f>
        <v>United Kingdom</v>
      </c>
      <c r="F488" s="8" t="str">
        <f>IFERROR(__xludf.DUMMYFUNCTION("""COMPUTED_VALUE"""),"DL")</f>
        <v>DL</v>
      </c>
      <c r="G488" s="8" t="str">
        <f>IFERROR(__xludf.DUMMYFUNCTION("""COMPUTED_VALUE"""),"67th")</f>
        <v>67th</v>
      </c>
      <c r="H488" s="8" t="str">
        <f>IFERROR(__xludf.DUMMYFUNCTION("""COMPUTED_VALUE"""),"DL")</f>
        <v>DL</v>
      </c>
      <c r="I488" s="10">
        <f>IFERROR(__xludf.DUMMYFUNCTION("""COMPUTED_VALUE"""),42401.0)</f>
        <v>42401</v>
      </c>
      <c r="J488" s="10">
        <f>IFERROR(__xludf.DUMMYFUNCTION("""COMPUTED_VALUE"""),44713.0)</f>
        <v>44713</v>
      </c>
      <c r="K488" s="11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9" t="str">
        <f>IFERROR(__xludf.DUMMYFUNCTION("""COMPUTED_VALUE"""),"Marti")</f>
        <v>Marti</v>
      </c>
      <c r="B489" s="8" t="str">
        <f>IFERROR(__xludf.DUMMYFUNCTION("""COMPUTED_VALUE"""),"Martin")</f>
        <v>Martin</v>
      </c>
      <c r="C489" s="8" t="str">
        <f>IFERROR(__xludf.DUMMYFUNCTION("""COMPUTED_VALUE"""),"")</f>
        <v/>
      </c>
      <c r="D489" s="8" t="str">
        <f>IFERROR(__xludf.DUMMYFUNCTION("""COMPUTED_VALUE"""),"UNK")</f>
        <v>UNK</v>
      </c>
      <c r="E489" s="8" t="str">
        <f>IFERROR(__xludf.DUMMYFUNCTION("""COMPUTED_VALUE"""),"Spain")</f>
        <v>Spain</v>
      </c>
      <c r="F489" s="8" t="str">
        <f>IFERROR(__xludf.DUMMYFUNCTION("""COMPUTED_VALUE"""),"Pro Cricket Singles")</f>
        <v>Pro Cricket Singles</v>
      </c>
      <c r="G489" s="8" t="str">
        <f>IFERROR(__xludf.DUMMYFUNCTION("""COMPUTED_VALUE"""),"1st")</f>
        <v>1st</v>
      </c>
      <c r="H489" s="8" t="str">
        <f>IFERROR(__xludf.DUMMYFUNCTION("""COMPUTED_VALUE"""),"Known Ability")</f>
        <v>Known Ability</v>
      </c>
      <c r="I489" s="10">
        <f>IFERROR(__xludf.DUMMYFUNCTION("""COMPUTED_VALUE"""),42828.0)</f>
        <v>42828</v>
      </c>
      <c r="J489" s="10">
        <f>IFERROR(__xludf.DUMMYFUNCTION("""COMPUTED_VALUE"""),45809.0)</f>
        <v>45809</v>
      </c>
      <c r="K489" s="11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9" t="str">
        <f>IFERROR(__xludf.DUMMYFUNCTION("""COMPUTED_VALUE"""),"Martin")</f>
        <v>Martin</v>
      </c>
      <c r="B490" s="8" t="str">
        <f>IFERROR(__xludf.DUMMYFUNCTION("""COMPUTED_VALUE"""),"Connor")</f>
        <v>Connor</v>
      </c>
      <c r="C490" s="8" t="str">
        <f>IFERROR(__xludf.DUMMYFUNCTION("""COMPUTED_VALUE"""),"Stanhope")</f>
        <v>Stanhope</v>
      </c>
      <c r="D490" s="8" t="str">
        <f>IFERROR(__xludf.DUMMYFUNCTION("""COMPUTED_VALUE"""),"NJ")</f>
        <v>NJ</v>
      </c>
      <c r="E490" s="8" t="str">
        <f>IFERROR(__xludf.DUMMYFUNCTION("""COMPUTED_VALUE"""),"USA")</f>
        <v>USA</v>
      </c>
      <c r="F490" s="8" t="str">
        <f>IFERROR(__xludf.DUMMYFUNCTION("""COMPUTED_VALUE"""),"TopGun Non Pro Triples")</f>
        <v>TopGun Non Pro Triples</v>
      </c>
      <c r="G490" s="8" t="str">
        <f>IFERROR(__xludf.DUMMYFUNCTION("""COMPUTED_VALUE"""),"1st")</f>
        <v>1st</v>
      </c>
      <c r="H490" s="8" t="str">
        <f>IFERROR(__xludf.DUMMYFUNCTION("""COMPUTED_VALUE"""),"BullShooter 34 Finals")</f>
        <v>BullShooter 34 Finals</v>
      </c>
      <c r="I490" s="10">
        <f>IFERROR(__xludf.DUMMYFUNCTION("""COMPUTED_VALUE"""),43617.0)</f>
        <v>43617</v>
      </c>
      <c r="J490" s="10">
        <f>IFERROR(__xludf.DUMMYFUNCTION("""COMPUTED_VALUE"""),44713.0)</f>
        <v>44713</v>
      </c>
      <c r="K490" s="11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9" t="str">
        <f>IFERROR(__xludf.DUMMYFUNCTION("""COMPUTED_VALUE"""),"Martin")</f>
        <v>Martin</v>
      </c>
      <c r="B491" s="8" t="str">
        <f>IFERROR(__xludf.DUMMYFUNCTION("""COMPUTED_VALUE"""),"Douglas")</f>
        <v>Douglas</v>
      </c>
      <c r="C491" s="8" t="str">
        <f>IFERROR(__xludf.DUMMYFUNCTION("""COMPUTED_VALUE"""),"Pueblo")</f>
        <v>Pueblo</v>
      </c>
      <c r="D491" s="8" t="str">
        <f>IFERROR(__xludf.DUMMYFUNCTION("""COMPUTED_VALUE"""),"CO")</f>
        <v>CO</v>
      </c>
      <c r="E491" s="8" t="str">
        <f>IFERROR(__xludf.DUMMYFUNCTION("""COMPUTED_VALUE"""),"USA")</f>
        <v>USA</v>
      </c>
      <c r="F491" s="8" t="str">
        <f>IFERROR(__xludf.DUMMYFUNCTION("""COMPUTED_VALUE"""),"Men Singles Cricket")</f>
        <v>Men Singles Cricket</v>
      </c>
      <c r="G491" s="8" t="str">
        <f>IFERROR(__xludf.DUMMYFUNCTION("""COMPUTED_VALUE"""),"1st")</f>
        <v>1st</v>
      </c>
      <c r="H491" s="8" t="str">
        <f>IFERROR(__xludf.DUMMYFUNCTION("""COMPUTED_VALUE"""),"Nebraska BS 34")</f>
        <v>Nebraska BS 34</v>
      </c>
      <c r="I491" s="10">
        <f>IFERROR(__xludf.DUMMYFUNCTION("""COMPUTED_VALUE"""),43617.0)</f>
        <v>43617</v>
      </c>
      <c r="J491" s="10">
        <f>IFERROR(__xludf.DUMMYFUNCTION("""COMPUTED_VALUE"""),44713.0)</f>
        <v>44713</v>
      </c>
      <c r="K491" s="11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9" t="str">
        <f>IFERROR(__xludf.DUMMYFUNCTION("""COMPUTED_VALUE"""),"Martinez")</f>
        <v>Martinez</v>
      </c>
      <c r="B492" s="8" t="str">
        <f>IFERROR(__xludf.DUMMYFUNCTION("""COMPUTED_VALUE"""),"Amado")</f>
        <v>Amado</v>
      </c>
      <c r="C492" s="8" t="str">
        <f>IFERROR(__xludf.DUMMYFUNCTION("""COMPUTED_VALUE"""),"Toledo")</f>
        <v>Toledo</v>
      </c>
      <c r="D492" s="8" t="str">
        <f>IFERROR(__xludf.DUMMYFUNCTION("""COMPUTED_VALUE"""),"OH")</f>
        <v>OH</v>
      </c>
      <c r="E492" s="8" t="str">
        <f>IFERROR(__xludf.DUMMYFUNCTION("""COMPUTED_VALUE"""),"USA")</f>
        <v>USA</v>
      </c>
      <c r="F492" s="8" t="str">
        <f>IFERROR(__xludf.DUMMYFUNCTION("""COMPUTED_VALUE"""),"Men Doubles 501")</f>
        <v>Men Doubles 501</v>
      </c>
      <c r="G492" s="8" t="str">
        <f>IFERROR(__xludf.DUMMYFUNCTION("""COMPUTED_VALUE"""),"3rd")</f>
        <v>3rd</v>
      </c>
      <c r="H492" s="8" t="str">
        <f>IFERROR(__xludf.DUMMYFUNCTION("""COMPUTED_VALUE"""),"Ohio BS 34")</f>
        <v>Ohio BS 34</v>
      </c>
      <c r="I492" s="10">
        <f>IFERROR(__xludf.DUMMYFUNCTION("""COMPUTED_VALUE"""),43617.0)</f>
        <v>43617</v>
      </c>
      <c r="J492" s="10">
        <f>IFERROR(__xludf.DUMMYFUNCTION("""COMPUTED_VALUE"""),44713.0)</f>
        <v>44713</v>
      </c>
      <c r="K492" s="11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9" t="str">
        <f>IFERROR(__xludf.DUMMYFUNCTION("""COMPUTED_VALUE"""),"Martinez")</f>
        <v>Martinez</v>
      </c>
      <c r="B493" s="8" t="str">
        <f>IFERROR(__xludf.DUMMYFUNCTION("""COMPUTED_VALUE"""),"Juan")</f>
        <v>Juan</v>
      </c>
      <c r="C493" s="8" t="str">
        <f>IFERROR(__xludf.DUMMYFUNCTION("""COMPUTED_VALUE"""),"Mesa")</f>
        <v>Mesa</v>
      </c>
      <c r="D493" s="8" t="str">
        <f>IFERROR(__xludf.DUMMYFUNCTION("""COMPUTED_VALUE"""),"AZ")</f>
        <v>AZ</v>
      </c>
      <c r="E493" s="8" t="str">
        <f>IFERROR(__xludf.DUMMYFUNCTION("""COMPUTED_VALUE"""),"USA")</f>
        <v>USA</v>
      </c>
      <c r="F493" s="8" t="str">
        <f>IFERROR(__xludf.DUMMYFUNCTION("""COMPUTED_VALUE"""),"Pro Doubles")</f>
        <v>Pro Doubles</v>
      </c>
      <c r="G493" s="8" t="str">
        <f>IFERROR(__xludf.DUMMYFUNCTION("""COMPUTED_VALUE"""),"1st")</f>
        <v>1st</v>
      </c>
      <c r="H493" s="8" t="str">
        <f>IFERROR(__xludf.DUMMYFUNCTION("""COMPUTED_VALUE"""),"NV Regional 32")</f>
        <v>NV Regional 32</v>
      </c>
      <c r="I493" s="10">
        <f>IFERROR(__xludf.DUMMYFUNCTION("""COMPUTED_VALUE"""),42887.0)</f>
        <v>42887</v>
      </c>
      <c r="J493" s="10">
        <f>IFERROR(__xludf.DUMMYFUNCTION("""COMPUTED_VALUE"""),43983.0)</f>
        <v>43983</v>
      </c>
      <c r="K493" s="11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9" t="str">
        <f>IFERROR(__xludf.DUMMYFUNCTION("""COMPUTED_VALUE"""),"Martinez")</f>
        <v>Martinez</v>
      </c>
      <c r="B494" s="8" t="str">
        <f>IFERROR(__xludf.DUMMYFUNCTION("""COMPUTED_VALUE"""),"Tito")</f>
        <v>Tito</v>
      </c>
      <c r="C494" s="8" t="str">
        <f>IFERROR(__xludf.DUMMYFUNCTION("""COMPUTED_VALUE"""),"Kingsville")</f>
        <v>Kingsville</v>
      </c>
      <c r="D494" s="8" t="str">
        <f>IFERROR(__xludf.DUMMYFUNCTION("""COMPUTED_VALUE"""),"TX")</f>
        <v>TX</v>
      </c>
      <c r="E494" s="8" t="str">
        <f>IFERROR(__xludf.DUMMYFUNCTION("""COMPUTED_VALUE"""),"USA")</f>
        <v>USA</v>
      </c>
      <c r="F494" s="8" t="str">
        <f>IFERROR(__xludf.DUMMYFUNCTION("""COMPUTED_VALUE"""),"Mens Doubles")</f>
        <v>Mens Doubles</v>
      </c>
      <c r="G494" s="8" t="str">
        <f>IFERROR(__xludf.DUMMYFUNCTION("""COMPUTED_VALUE"""),"1st")</f>
        <v>1st</v>
      </c>
      <c r="H494" s="8" t="str">
        <f>IFERROR(__xludf.DUMMYFUNCTION("""COMPUTED_VALUE"""),"TX Regional 33")</f>
        <v>TX Regional 33</v>
      </c>
      <c r="I494" s="10">
        <f>IFERROR(__xludf.DUMMYFUNCTION("""COMPUTED_VALUE"""),43252.0)</f>
        <v>43252</v>
      </c>
      <c r="J494" s="10">
        <f>IFERROR(__xludf.DUMMYFUNCTION("""COMPUTED_VALUE"""),44348.0)</f>
        <v>44348</v>
      </c>
      <c r="K494" s="11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9" t="str">
        <f>IFERROR(__xludf.DUMMYFUNCTION("""COMPUTED_VALUE"""),"Martinez Jr.")</f>
        <v>Martinez Jr.</v>
      </c>
      <c r="B495" s="8" t="str">
        <f>IFERROR(__xludf.DUMMYFUNCTION("""COMPUTED_VALUE"""),"Gilberto")</f>
        <v>Gilberto</v>
      </c>
      <c r="C495" s="8" t="str">
        <f>IFERROR(__xludf.DUMMYFUNCTION("""COMPUTED_VALUE"""),"Kingsville")</f>
        <v>Kingsville</v>
      </c>
      <c r="D495" s="8" t="str">
        <f>IFERROR(__xludf.DUMMYFUNCTION("""COMPUTED_VALUE"""),"TX")</f>
        <v>TX</v>
      </c>
      <c r="E495" s="8" t="str">
        <f>IFERROR(__xludf.DUMMYFUNCTION("""COMPUTED_VALUE"""),"USA")</f>
        <v>USA</v>
      </c>
      <c r="F495" s="8" t="str">
        <f>IFERROR(__xludf.DUMMYFUNCTION("""COMPUTED_VALUE"""),"Pro Doubles 501")</f>
        <v>Pro Doubles 501</v>
      </c>
      <c r="G495" s="8" t="str">
        <f>IFERROR(__xludf.DUMMYFUNCTION("""COMPUTED_VALUE"""),"2nd")</f>
        <v>2nd</v>
      </c>
      <c r="H495" s="8" t="str">
        <f>IFERROR(__xludf.DUMMYFUNCTION("""COMPUTED_VALUE"""),"Texas BS 34")</f>
        <v>Texas BS 34</v>
      </c>
      <c r="I495" s="10">
        <f>IFERROR(__xludf.DUMMYFUNCTION("""COMPUTED_VALUE"""),43617.0)</f>
        <v>43617</v>
      </c>
      <c r="J495" s="10">
        <f>IFERROR(__xludf.DUMMYFUNCTION("""COMPUTED_VALUE"""),44713.0)</f>
        <v>44713</v>
      </c>
      <c r="K495" s="11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9" t="str">
        <f>IFERROR(__xludf.DUMMYFUNCTION("""COMPUTED_VALUE"""),"Marty")</f>
        <v>Marty</v>
      </c>
      <c r="B496" s="8" t="str">
        <f>IFERROR(__xludf.DUMMYFUNCTION("""COMPUTED_VALUE"""),"Alturo")</f>
        <v>Alturo</v>
      </c>
      <c r="C496" s="8" t="str">
        <f>IFERROR(__xludf.DUMMYFUNCTION("""COMPUTED_VALUE"""),"Lancaster")</f>
        <v>Lancaster</v>
      </c>
      <c r="D496" s="8" t="str">
        <f>IFERROR(__xludf.DUMMYFUNCTION("""COMPUTED_VALUE"""),"PA")</f>
        <v>PA</v>
      </c>
      <c r="E496" s="8" t="str">
        <f>IFERROR(__xludf.DUMMYFUNCTION("""COMPUTED_VALUE"""),"USA")</f>
        <v>USA</v>
      </c>
      <c r="F496" s="8" t="str">
        <f>IFERROR(__xludf.DUMMYFUNCTION("""COMPUTED_VALUE"""),"Mixed Triples 701")</f>
        <v>Mixed Triples 701</v>
      </c>
      <c r="G496" s="8" t="str">
        <f>IFERROR(__xludf.DUMMYFUNCTION("""COMPUTED_VALUE"""),"1st")</f>
        <v>1st</v>
      </c>
      <c r="H496" s="8" t="str">
        <f>IFERROR(__xludf.DUMMYFUNCTION("""COMPUTED_VALUE"""),"New York BS 34")</f>
        <v>New York BS 34</v>
      </c>
      <c r="I496" s="10">
        <f>IFERROR(__xludf.DUMMYFUNCTION("""COMPUTED_VALUE"""),43617.0)</f>
        <v>43617</v>
      </c>
      <c r="J496" s="10">
        <f>IFERROR(__xludf.DUMMYFUNCTION("""COMPUTED_VALUE"""),44713.0)</f>
        <v>44713</v>
      </c>
      <c r="K496" s="11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9" t="str">
        <f>IFERROR(__xludf.DUMMYFUNCTION("""COMPUTED_VALUE"""),"Martyka")</f>
        <v>Martyka</v>
      </c>
      <c r="B497" s="8" t="str">
        <f>IFERROR(__xludf.DUMMYFUNCTION("""COMPUTED_VALUE"""),"John")</f>
        <v>John</v>
      </c>
      <c r="C497" s="8" t="str">
        <f>IFERROR(__xludf.DUMMYFUNCTION("""COMPUTED_VALUE"""),"Milwaukee")</f>
        <v>Milwaukee</v>
      </c>
      <c r="D497" s="8" t="str">
        <f>IFERROR(__xludf.DUMMYFUNCTION("""COMPUTED_VALUE"""),"WI")</f>
        <v>WI</v>
      </c>
      <c r="E497" s="8" t="str">
        <f>IFERROR(__xludf.DUMMYFUNCTION("""COMPUTED_VALUE"""),"USA")</f>
        <v>USA</v>
      </c>
      <c r="F497" s="8" t="str">
        <f>IFERROR(__xludf.DUMMYFUNCTION("""COMPUTED_VALUE"""),"Mens Cricket Doubles")</f>
        <v>Mens Cricket Doubles</v>
      </c>
      <c r="G497" s="8" t="str">
        <f>IFERROR(__xludf.DUMMYFUNCTION("""COMPUTED_VALUE"""),"2nd")</f>
        <v>2nd</v>
      </c>
      <c r="H497" s="8" t="str">
        <f>IFERROR(__xludf.DUMMYFUNCTION("""COMPUTED_VALUE"""),"WI Regional 33")</f>
        <v>WI Regional 33</v>
      </c>
      <c r="I497" s="10">
        <f>IFERROR(__xludf.DUMMYFUNCTION("""COMPUTED_VALUE"""),43252.0)</f>
        <v>43252</v>
      </c>
      <c r="J497" s="10">
        <f>IFERROR(__xludf.DUMMYFUNCTION("""COMPUTED_VALUE"""),44348.0)</f>
        <v>44348</v>
      </c>
      <c r="K497" s="11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9" t="str">
        <f>IFERROR(__xludf.DUMMYFUNCTION("""COMPUTED_VALUE"""),"Marugan Peinador")</f>
        <v>Marugan Peinador</v>
      </c>
      <c r="B498" s="8" t="str">
        <f>IFERROR(__xludf.DUMMYFUNCTION("""COMPUTED_VALUE"""),"Oscar")</f>
        <v>Oscar</v>
      </c>
      <c r="C498" s="8" t="str">
        <f>IFERROR(__xludf.DUMMYFUNCTION("""COMPUTED_VALUE"""),"")</f>
        <v/>
      </c>
      <c r="D498" s="8" t="str">
        <f>IFERROR(__xludf.DUMMYFUNCTION("""COMPUTED_VALUE"""),"UNK")</f>
        <v>UNK</v>
      </c>
      <c r="E498" s="8" t="str">
        <f>IFERROR(__xludf.DUMMYFUNCTION("""COMPUTED_VALUE"""),"Spain")</f>
        <v>Spain</v>
      </c>
      <c r="F498" s="8" t="str">
        <f>IFERROR(__xludf.DUMMYFUNCTION("""COMPUTED_VALUE"""),"Team Cricket Pro")</f>
        <v>Team Cricket Pro</v>
      </c>
      <c r="G498" s="8" t="str">
        <f>IFERROR(__xludf.DUMMYFUNCTION("""COMPUTED_VALUE"""),"2nd")</f>
        <v>2nd</v>
      </c>
      <c r="H498" s="8" t="str">
        <f>IFERROR(__xludf.DUMMYFUNCTION("""COMPUTED_VALUE"""),"Off AA List")</f>
        <v>Off AA List</v>
      </c>
      <c r="I498" s="10">
        <f>IFERROR(__xludf.DUMMYFUNCTION("""COMPUTED_VALUE"""),42887.0)</f>
        <v>42887</v>
      </c>
      <c r="J498" s="10">
        <f>IFERROR(__xludf.DUMMYFUNCTION("""COMPUTED_VALUE"""),43983.0)</f>
        <v>43983</v>
      </c>
      <c r="K498" s="11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9" t="str">
        <f>IFERROR(__xludf.DUMMYFUNCTION("""COMPUTED_VALUE"""),"Masamori")</f>
        <v>Masamori</v>
      </c>
      <c r="B499" s="8" t="str">
        <f>IFERROR(__xludf.DUMMYFUNCTION("""COMPUTED_VALUE"""),"Ryoji")</f>
        <v>Ryoji</v>
      </c>
      <c r="C499" s="8" t="str">
        <f>IFERROR(__xludf.DUMMYFUNCTION("""COMPUTED_VALUE"""),"")</f>
        <v/>
      </c>
      <c r="D499" s="8" t="str">
        <f>IFERROR(__xludf.DUMMYFUNCTION("""COMPUTED_VALUE"""),"")</f>
        <v/>
      </c>
      <c r="E499" s="8" t="str">
        <f>IFERROR(__xludf.DUMMYFUNCTION("""COMPUTED_VALUE"""),"UNK")</f>
        <v>UNK</v>
      </c>
      <c r="F499" s="8" t="str">
        <f>IFERROR(__xludf.DUMMYFUNCTION("""COMPUTED_VALUE"""),"")</f>
        <v/>
      </c>
      <c r="G499" s="8" t="str">
        <f>IFERROR(__xludf.DUMMYFUNCTION("""COMPUTED_VALUE"""),"")</f>
        <v/>
      </c>
      <c r="H499" s="8" t="str">
        <f>IFERROR(__xludf.DUMMYFUNCTION("""COMPUTED_VALUE"""),"BS 30 Finals")</f>
        <v>BS 30 Finals</v>
      </c>
      <c r="I499" s="10">
        <f>IFERROR(__xludf.DUMMYFUNCTION("""COMPUTED_VALUE"""),43252.0)</f>
        <v>43252</v>
      </c>
      <c r="J499" s="10">
        <f>IFERROR(__xludf.DUMMYFUNCTION("""COMPUTED_VALUE"""),44348.0)</f>
        <v>44348</v>
      </c>
      <c r="K499" s="11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9" t="str">
        <f>IFERROR(__xludf.DUMMYFUNCTION("""COMPUTED_VALUE"""),"Mast")</f>
        <v>Mast</v>
      </c>
      <c r="B500" s="8" t="str">
        <f>IFERROR(__xludf.DUMMYFUNCTION("""COMPUTED_VALUE"""),"Frank")</f>
        <v>Frank</v>
      </c>
      <c r="C500" s="8" t="str">
        <f>IFERROR(__xludf.DUMMYFUNCTION("""COMPUTED_VALUE"""),"Germany")</f>
        <v>Germany</v>
      </c>
      <c r="D500" s="8" t="str">
        <f>IFERROR(__xludf.DUMMYFUNCTION("""COMPUTED_VALUE"""),"UNK")</f>
        <v>UNK</v>
      </c>
      <c r="E500" s="8" t="str">
        <f>IFERROR(__xludf.DUMMYFUNCTION("""COMPUTED_VALUE"""),"Germany")</f>
        <v>Germany</v>
      </c>
      <c r="F500" s="8" t="str">
        <f>IFERROR(__xludf.DUMMYFUNCTION("""COMPUTED_VALUE"""),"Pro Cricket Team")</f>
        <v>Pro Cricket Team</v>
      </c>
      <c r="G500" s="8" t="str">
        <f>IFERROR(__xludf.DUMMYFUNCTION("""COMPUTED_VALUE"""),"3rd")</f>
        <v>3rd</v>
      </c>
      <c r="H500" s="8" t="str">
        <f>IFERROR(__xludf.DUMMYFUNCTION("""COMPUTED_VALUE"""),"Known Ability")</f>
        <v>Known Ability</v>
      </c>
      <c r="I500" s="10">
        <f>IFERROR(__xludf.DUMMYFUNCTION("""COMPUTED_VALUE"""),36892.0)</f>
        <v>36892</v>
      </c>
      <c r="J500" s="10">
        <f>IFERROR(__xludf.DUMMYFUNCTION("""COMPUTED_VALUE"""),45809.0)</f>
        <v>45809</v>
      </c>
      <c r="K500" s="11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12" t="str">
        <f>IFERROR(__xludf.DUMMYFUNCTION("""COMPUTED_VALUE"""),"Mateja")</f>
        <v>Mateja</v>
      </c>
      <c r="B501" s="13" t="str">
        <f>IFERROR(__xludf.DUMMYFUNCTION("""COMPUTED_VALUE"""),"Joe(Millionaire)")</f>
        <v>Joe(Millionaire)</v>
      </c>
      <c r="C501" s="13" t="str">
        <f>IFERROR(__xludf.DUMMYFUNCTION("""COMPUTED_VALUE"""),"North Aurora")</f>
        <v>North Aurora</v>
      </c>
      <c r="D501" s="13" t="str">
        <f>IFERROR(__xludf.DUMMYFUNCTION("""COMPUTED_VALUE"""),"IL")</f>
        <v>IL</v>
      </c>
      <c r="E501" s="13" t="str">
        <f>IFERROR(__xludf.DUMMYFUNCTION("""COMPUTED_VALUE"""),"USA")</f>
        <v>USA</v>
      </c>
      <c r="F501" s="13" t="str">
        <f>IFERROR(__xludf.DUMMYFUNCTION("""COMPUTED_VALUE"""),"Pro Doubles X01")</f>
        <v>Pro Doubles X01</v>
      </c>
      <c r="G501" s="13" t="str">
        <f>IFERROR(__xludf.DUMMYFUNCTION("""COMPUTED_VALUE"""),"4th")</f>
        <v>4th</v>
      </c>
      <c r="H501" s="13" t="str">
        <f>IFERROR(__xludf.DUMMYFUNCTION("""COMPUTED_VALUE"""),"Off AA List")</f>
        <v>Off AA List</v>
      </c>
      <c r="I501" s="14">
        <f>IFERROR(__xludf.DUMMYFUNCTION("""COMPUTED_VALUE"""),42887.0)</f>
        <v>42887</v>
      </c>
      <c r="J501" s="14">
        <f>IFERROR(__xludf.DUMMYFUNCTION("""COMPUTED_VALUE"""),43983.0)</f>
        <v>43983</v>
      </c>
      <c r="K501" s="11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9" t="str">
        <f>IFERROR(__xludf.DUMMYFUNCTION("""COMPUTED_VALUE"""),"Mathews")</f>
        <v>Mathews</v>
      </c>
      <c r="B502" s="8" t="str">
        <f>IFERROR(__xludf.DUMMYFUNCTION("""COMPUTED_VALUE"""),"Ron")</f>
        <v>Ron</v>
      </c>
      <c r="C502" s="8" t="str">
        <f>IFERROR(__xludf.DUMMYFUNCTION("""COMPUTED_VALUE"""),"Indianapolis")</f>
        <v>Indianapolis</v>
      </c>
      <c r="D502" s="8" t="str">
        <f>IFERROR(__xludf.DUMMYFUNCTION("""COMPUTED_VALUE"""),"IN")</f>
        <v>IN</v>
      </c>
      <c r="E502" s="8" t="str">
        <f>IFERROR(__xludf.DUMMYFUNCTION("""COMPUTED_VALUE"""),"USA")</f>
        <v>USA</v>
      </c>
      <c r="F502" s="8" t="str">
        <f>IFERROR(__xludf.DUMMYFUNCTION("""COMPUTED_VALUE"""),"Mens Cricket Doubles")</f>
        <v>Mens Cricket Doubles</v>
      </c>
      <c r="G502" s="8" t="str">
        <f>IFERROR(__xludf.DUMMYFUNCTION("""COMPUTED_VALUE"""),"1st")</f>
        <v>1st</v>
      </c>
      <c r="H502" s="8" t="str">
        <f>IFERROR(__xludf.DUMMYFUNCTION("""COMPUTED_VALUE"""),"IN Regional 33")</f>
        <v>IN Regional 33</v>
      </c>
      <c r="I502" s="10">
        <f>IFERROR(__xludf.DUMMYFUNCTION("""COMPUTED_VALUE"""),43252.0)</f>
        <v>43252</v>
      </c>
      <c r="J502" s="10">
        <f>IFERROR(__xludf.DUMMYFUNCTION("""COMPUTED_VALUE"""),44348.0)</f>
        <v>44348</v>
      </c>
      <c r="K502" s="11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9" t="str">
        <f>IFERROR(__xludf.DUMMYFUNCTION("""COMPUTED_VALUE"""),"May")</f>
        <v>May</v>
      </c>
      <c r="B503" s="8" t="str">
        <f>IFERROR(__xludf.DUMMYFUNCTION("""COMPUTED_VALUE"""),"Steve")</f>
        <v>Steve</v>
      </c>
      <c r="C503" s="8" t="str">
        <f>IFERROR(__xludf.DUMMYFUNCTION("""COMPUTED_VALUE"""),"Indianapolis")</f>
        <v>Indianapolis</v>
      </c>
      <c r="D503" s="8" t="str">
        <f>IFERROR(__xludf.DUMMYFUNCTION("""COMPUTED_VALUE"""),"IN")</f>
        <v>IN</v>
      </c>
      <c r="E503" s="8" t="str">
        <f>IFERROR(__xludf.DUMMYFUNCTION("""COMPUTED_VALUE"""),"USA")</f>
        <v>USA</v>
      </c>
      <c r="F503" s="8" t="str">
        <f>IFERROR(__xludf.DUMMYFUNCTION("""COMPUTED_VALUE"""),"Mens Cricket Doubles")</f>
        <v>Mens Cricket Doubles</v>
      </c>
      <c r="G503" s="8" t="str">
        <f>IFERROR(__xludf.DUMMYFUNCTION("""COMPUTED_VALUE"""),"1st")</f>
        <v>1st</v>
      </c>
      <c r="H503" s="8" t="str">
        <f>IFERROR(__xludf.DUMMYFUNCTION("""COMPUTED_VALUE"""),"IN Regional 33")</f>
        <v>IN Regional 33</v>
      </c>
      <c r="I503" s="10">
        <f>IFERROR(__xludf.DUMMYFUNCTION("""COMPUTED_VALUE"""),43252.0)</f>
        <v>43252</v>
      </c>
      <c r="J503" s="10">
        <f>IFERROR(__xludf.DUMMYFUNCTION("""COMPUTED_VALUE"""),44348.0)</f>
        <v>44348</v>
      </c>
      <c r="K503" s="11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9" t="str">
        <f>IFERROR(__xludf.DUMMYFUNCTION("""COMPUTED_VALUE"""),"Mayes")</f>
        <v>Mayes</v>
      </c>
      <c r="B504" s="8" t="str">
        <f>IFERROR(__xludf.DUMMYFUNCTION("""COMPUTED_VALUE"""),"Michael")</f>
        <v>Michael</v>
      </c>
      <c r="C504" s="8" t="str">
        <f>IFERROR(__xludf.DUMMYFUNCTION("""COMPUTED_VALUE"""),"Leeds")</f>
        <v>Leeds</v>
      </c>
      <c r="D504" s="8" t="str">
        <f>IFERROR(__xludf.DUMMYFUNCTION("""COMPUTED_VALUE"""),"AL")</f>
        <v>AL</v>
      </c>
      <c r="E504" s="8" t="str">
        <f>IFERROR(__xludf.DUMMYFUNCTION("""COMPUTED_VALUE"""),"USA")</f>
        <v>USA</v>
      </c>
      <c r="F504" s="8" t="str">
        <f>IFERROR(__xludf.DUMMYFUNCTION("""COMPUTED_VALUE"""),"Mens Cricket Doubles")</f>
        <v>Mens Cricket Doubles</v>
      </c>
      <c r="G504" s="8" t="str">
        <f>IFERROR(__xludf.DUMMYFUNCTION("""COMPUTED_VALUE"""),"2nd")</f>
        <v>2nd</v>
      </c>
      <c r="H504" s="8" t="str">
        <f>IFERROR(__xludf.DUMMYFUNCTION("""COMPUTED_VALUE"""),"TN Regional 33")</f>
        <v>TN Regional 33</v>
      </c>
      <c r="I504" s="10">
        <f>IFERROR(__xludf.DUMMYFUNCTION("""COMPUTED_VALUE"""),43252.0)</f>
        <v>43252</v>
      </c>
      <c r="J504" s="10">
        <f>IFERROR(__xludf.DUMMYFUNCTION("""COMPUTED_VALUE"""),44348.0)</f>
        <v>44348</v>
      </c>
      <c r="K504" s="11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9" t="str">
        <f>IFERROR(__xludf.DUMMYFUNCTION("""COMPUTED_VALUE"""),"Mays")</f>
        <v>Mays</v>
      </c>
      <c r="B505" s="8" t="str">
        <f>IFERROR(__xludf.DUMMYFUNCTION("""COMPUTED_VALUE"""),"James")</f>
        <v>James</v>
      </c>
      <c r="C505" s="8" t="str">
        <f>IFERROR(__xludf.DUMMYFUNCTION("""COMPUTED_VALUE"""),"Whiteland")</f>
        <v>Whiteland</v>
      </c>
      <c r="D505" s="8" t="str">
        <f>IFERROR(__xludf.DUMMYFUNCTION("""COMPUTED_VALUE"""),"IN")</f>
        <v>IN</v>
      </c>
      <c r="E505" s="8" t="str">
        <f>IFERROR(__xludf.DUMMYFUNCTION("""COMPUTED_VALUE"""),"USA")</f>
        <v>USA</v>
      </c>
      <c r="F505" s="8" t="str">
        <f>IFERROR(__xludf.DUMMYFUNCTION("""COMPUTED_VALUE"""),"Men Doubles Cricket")</f>
        <v>Men Doubles Cricket</v>
      </c>
      <c r="G505" s="8" t="str">
        <f>IFERROR(__xludf.DUMMYFUNCTION("""COMPUTED_VALUE"""),"3rd")</f>
        <v>3rd</v>
      </c>
      <c r="H505" s="8" t="str">
        <f>IFERROR(__xludf.DUMMYFUNCTION("""COMPUTED_VALUE"""),"Indiana BS 34")</f>
        <v>Indiana BS 34</v>
      </c>
      <c r="I505" s="10">
        <f>IFERROR(__xludf.DUMMYFUNCTION("""COMPUTED_VALUE"""),43617.0)</f>
        <v>43617</v>
      </c>
      <c r="J505" s="10">
        <f>IFERROR(__xludf.DUMMYFUNCTION("""COMPUTED_VALUE"""),44713.0)</f>
        <v>44713</v>
      </c>
      <c r="K505" s="11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9" t="str">
        <f>IFERROR(__xludf.DUMMYFUNCTION("""COMPUTED_VALUE"""),"McAlee")</f>
        <v>McAlee</v>
      </c>
      <c r="B506" s="8" t="str">
        <f>IFERROR(__xludf.DUMMYFUNCTION("""COMPUTED_VALUE"""),"Travis")</f>
        <v>Travis</v>
      </c>
      <c r="C506" s="8" t="str">
        <f>IFERROR(__xludf.DUMMYFUNCTION("""COMPUTED_VALUE"""),"Johnsonburg")</f>
        <v>Johnsonburg</v>
      </c>
      <c r="D506" s="8" t="str">
        <f>IFERROR(__xludf.DUMMYFUNCTION("""COMPUTED_VALUE"""),"PA")</f>
        <v>PA</v>
      </c>
      <c r="E506" s="8" t="str">
        <f>IFERROR(__xludf.DUMMYFUNCTION("""COMPUTED_VALUE"""),"USA")</f>
        <v>USA</v>
      </c>
      <c r="F506" s="8" t="str">
        <f>IFERROR(__xludf.DUMMYFUNCTION("""COMPUTED_VALUE"""),"Men Doubles Cricket")</f>
        <v>Men Doubles Cricket</v>
      </c>
      <c r="G506" s="8" t="str">
        <f>IFERROR(__xludf.DUMMYFUNCTION("""COMPUTED_VALUE"""),"3rd")</f>
        <v>3rd</v>
      </c>
      <c r="H506" s="8" t="str">
        <f>IFERROR(__xludf.DUMMYFUNCTION("""COMPUTED_VALUE"""),"Pennsylvania BS 34")</f>
        <v>Pennsylvania BS 34</v>
      </c>
      <c r="I506" s="10">
        <f>IFERROR(__xludf.DUMMYFUNCTION("""COMPUTED_VALUE"""),43617.0)</f>
        <v>43617</v>
      </c>
      <c r="J506" s="10">
        <f>IFERROR(__xludf.DUMMYFUNCTION("""COMPUTED_VALUE"""),44713.0)</f>
        <v>44713</v>
      </c>
      <c r="K506" s="11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9" t="str">
        <f>IFERROR(__xludf.DUMMYFUNCTION("""COMPUTED_VALUE"""),"McCabe")</f>
        <v>McCabe</v>
      </c>
      <c r="B507" s="8" t="str">
        <f>IFERROR(__xludf.DUMMYFUNCTION("""COMPUTED_VALUE"""),"Corey")</f>
        <v>Corey</v>
      </c>
      <c r="C507" s="8" t="str">
        <f>IFERROR(__xludf.DUMMYFUNCTION("""COMPUTED_VALUE"""),"Johnsonburg")</f>
        <v>Johnsonburg</v>
      </c>
      <c r="D507" s="8" t="str">
        <f>IFERROR(__xludf.DUMMYFUNCTION("""COMPUTED_VALUE"""),"PA")</f>
        <v>PA</v>
      </c>
      <c r="E507" s="8" t="str">
        <f>IFERROR(__xludf.DUMMYFUNCTION("""COMPUTED_VALUE"""),"USA")</f>
        <v>USA</v>
      </c>
      <c r="F507" s="8" t="str">
        <f>IFERROR(__xludf.DUMMYFUNCTION("""COMPUTED_VALUE"""),"Men Doubles Cricket")</f>
        <v>Men Doubles Cricket</v>
      </c>
      <c r="G507" s="8" t="str">
        <f>IFERROR(__xludf.DUMMYFUNCTION("""COMPUTED_VALUE"""),"3rd")</f>
        <v>3rd</v>
      </c>
      <c r="H507" s="8" t="str">
        <f>IFERROR(__xludf.DUMMYFUNCTION("""COMPUTED_VALUE"""),"Pennsylvania BS 34")</f>
        <v>Pennsylvania BS 34</v>
      </c>
      <c r="I507" s="10">
        <f>IFERROR(__xludf.DUMMYFUNCTION("""COMPUTED_VALUE"""),43617.0)</f>
        <v>43617</v>
      </c>
      <c r="J507" s="10">
        <f>IFERROR(__xludf.DUMMYFUNCTION("""COMPUTED_VALUE"""),44713.0)</f>
        <v>44713</v>
      </c>
      <c r="K507" s="11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9" t="str">
        <f>IFERROR(__xludf.DUMMYFUNCTION("""COMPUTED_VALUE"""),"McCarron")</f>
        <v>McCarron</v>
      </c>
      <c r="B508" s="8" t="str">
        <f>IFERROR(__xludf.DUMMYFUNCTION("""COMPUTED_VALUE"""),"Mike")</f>
        <v>Mike</v>
      </c>
      <c r="C508" s="8" t="str">
        <f>IFERROR(__xludf.DUMMYFUNCTION("""COMPUTED_VALUE"""),"Winter Haven")</f>
        <v>Winter Haven</v>
      </c>
      <c r="D508" s="8" t="str">
        <f>IFERROR(__xludf.DUMMYFUNCTION("""COMPUTED_VALUE"""),"FL")</f>
        <v>FL</v>
      </c>
      <c r="E508" s="8" t="str">
        <f>IFERROR(__xludf.DUMMYFUNCTION("""COMPUTED_VALUE"""),"USA")</f>
        <v>USA</v>
      </c>
      <c r="F508" s="8" t="str">
        <f>IFERROR(__xludf.DUMMYFUNCTION("""COMPUTED_VALUE"""),"Pro/Am Cricket")</f>
        <v>Pro/Am Cricket</v>
      </c>
      <c r="G508" s="8" t="str">
        <f>IFERROR(__xludf.DUMMYFUNCTION("""COMPUTED_VALUE"""),"2nd")</f>
        <v>2nd</v>
      </c>
      <c r="H508" s="8" t="str">
        <f>IFERROR(__xludf.DUMMYFUNCTION("""COMPUTED_VALUE"""),"GA Regional 33")</f>
        <v>GA Regional 33</v>
      </c>
      <c r="I508" s="10">
        <f>IFERROR(__xludf.DUMMYFUNCTION("""COMPUTED_VALUE"""),43252.0)</f>
        <v>43252</v>
      </c>
      <c r="J508" s="10">
        <f>IFERROR(__xludf.DUMMYFUNCTION("""COMPUTED_VALUE"""),44348.0)</f>
        <v>44348</v>
      </c>
      <c r="K508" s="11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9" t="str">
        <f>IFERROR(__xludf.DUMMYFUNCTION("""COMPUTED_VALUE"""),"McCaw")</f>
        <v>McCaw</v>
      </c>
      <c r="B509" s="8" t="str">
        <f>IFERROR(__xludf.DUMMYFUNCTION("""COMPUTED_VALUE"""),"Brady")</f>
        <v>Brady</v>
      </c>
      <c r="C509" s="8" t="str">
        <f>IFERROR(__xludf.DUMMYFUNCTION("""COMPUTED_VALUE"""),"Eldridge")</f>
        <v>Eldridge</v>
      </c>
      <c r="D509" s="8" t="str">
        <f>IFERROR(__xludf.DUMMYFUNCTION("""COMPUTED_VALUE"""),"IA")</f>
        <v>IA</v>
      </c>
      <c r="E509" s="8" t="str">
        <f>IFERROR(__xludf.DUMMYFUNCTION("""COMPUTED_VALUE"""),"USA")</f>
        <v>USA</v>
      </c>
      <c r="F509" s="8" t="str">
        <f>IFERROR(__xludf.DUMMYFUNCTION("""COMPUTED_VALUE"""),"")</f>
        <v/>
      </c>
      <c r="G509" s="8" t="str">
        <f>IFERROR(__xludf.DUMMYFUNCTION("""COMPUTED_VALUE"""),"")</f>
        <v/>
      </c>
      <c r="H509" s="8" t="str">
        <f>IFERROR(__xludf.DUMMYFUNCTION("""COMPUTED_VALUE"""),"Known Ability")</f>
        <v>Known Ability</v>
      </c>
      <c r="I509" s="10">
        <f>IFERROR(__xludf.DUMMYFUNCTION("""COMPUTED_VALUE"""),41640.0)</f>
        <v>41640</v>
      </c>
      <c r="J509" s="10">
        <f>IFERROR(__xludf.DUMMYFUNCTION("""COMPUTED_VALUE"""),45658.0)</f>
        <v>45658</v>
      </c>
      <c r="K509" s="11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9" t="str">
        <f>IFERROR(__xludf.DUMMYFUNCTION("""COMPUTED_VALUE"""),"McConnell")</f>
        <v>McConnell</v>
      </c>
      <c r="B510" s="8" t="str">
        <f>IFERROR(__xludf.DUMMYFUNCTION("""COMPUTED_VALUE"""),"James")</f>
        <v>James</v>
      </c>
      <c r="C510" s="8" t="str">
        <f>IFERROR(__xludf.DUMMYFUNCTION("""COMPUTED_VALUE"""),"Hastings")</f>
        <v>Hastings</v>
      </c>
      <c r="D510" s="8" t="str">
        <f>IFERROR(__xludf.DUMMYFUNCTION("""COMPUTED_VALUE"""),"MN")</f>
        <v>MN</v>
      </c>
      <c r="E510" s="8" t="str">
        <f>IFERROR(__xludf.DUMMYFUNCTION("""COMPUTED_VALUE"""),"USA")</f>
        <v>USA</v>
      </c>
      <c r="F510" s="8" t="str">
        <f>IFERROR(__xludf.DUMMYFUNCTION("""COMPUTED_VALUE"""),"Top Gun Triples")</f>
        <v>Top Gun Triples</v>
      </c>
      <c r="G510" s="8" t="str">
        <f>IFERROR(__xludf.DUMMYFUNCTION("""COMPUTED_VALUE"""),"2ns")</f>
        <v>2ns</v>
      </c>
      <c r="H510" s="8" t="str">
        <f>IFERROR(__xludf.DUMMYFUNCTION("""COMPUTED_VALUE"""),"BS 33 Finals")</f>
        <v>BS 33 Finals</v>
      </c>
      <c r="I510" s="10">
        <f>IFERROR(__xludf.DUMMYFUNCTION("""COMPUTED_VALUE"""),43252.0)</f>
        <v>43252</v>
      </c>
      <c r="J510" s="10">
        <f>IFERROR(__xludf.DUMMYFUNCTION("""COMPUTED_VALUE"""),44348.0)</f>
        <v>44348</v>
      </c>
      <c r="K510" s="11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9" t="str">
        <f>IFERROR(__xludf.DUMMYFUNCTION("""COMPUTED_VALUE"""),"McConnell Jr")</f>
        <v>McConnell Jr</v>
      </c>
      <c r="B511" s="8" t="str">
        <f>IFERROR(__xludf.DUMMYFUNCTION("""COMPUTED_VALUE"""),"Dennis")</f>
        <v>Dennis</v>
      </c>
      <c r="C511" s="8" t="str">
        <f>IFERROR(__xludf.DUMMYFUNCTION("""COMPUTED_VALUE"""),"Altoona")</f>
        <v>Altoona</v>
      </c>
      <c r="D511" s="8" t="str">
        <f>IFERROR(__xludf.DUMMYFUNCTION("""COMPUTED_VALUE"""),"PA")</f>
        <v>PA</v>
      </c>
      <c r="E511" s="8" t="str">
        <f>IFERROR(__xludf.DUMMYFUNCTION("""COMPUTED_VALUE"""),"USA")</f>
        <v>USA</v>
      </c>
      <c r="F511" s="8" t="str">
        <f>IFERROR(__xludf.DUMMYFUNCTION("""COMPUTED_VALUE"""),"Men Doubles 501")</f>
        <v>Men Doubles 501</v>
      </c>
      <c r="G511" s="8" t="str">
        <f>IFERROR(__xludf.DUMMYFUNCTION("""COMPUTED_VALUE"""),"3rd")</f>
        <v>3rd</v>
      </c>
      <c r="H511" s="8" t="str">
        <f>IFERROR(__xludf.DUMMYFUNCTION("""COMPUTED_VALUE"""),"Pennsylvania BS 34")</f>
        <v>Pennsylvania BS 34</v>
      </c>
      <c r="I511" s="10">
        <f>IFERROR(__xludf.DUMMYFUNCTION("""COMPUTED_VALUE"""),43617.0)</f>
        <v>43617</v>
      </c>
      <c r="J511" s="10">
        <f>IFERROR(__xludf.DUMMYFUNCTION("""COMPUTED_VALUE"""),44713.0)</f>
        <v>44713</v>
      </c>
      <c r="K511" s="11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9" t="str">
        <f>IFERROR(__xludf.DUMMYFUNCTION("""COMPUTED_VALUE"""),"McCool")</f>
        <v>McCool</v>
      </c>
      <c r="B512" s="8" t="str">
        <f>IFERROR(__xludf.DUMMYFUNCTION("""COMPUTED_VALUE"""),"Ralph")</f>
        <v>Ralph</v>
      </c>
      <c r="C512" s="8" t="str">
        <f>IFERROR(__xludf.DUMMYFUNCTION("""COMPUTED_VALUE"""),"Athens")</f>
        <v>Athens</v>
      </c>
      <c r="D512" s="8" t="str">
        <f>IFERROR(__xludf.DUMMYFUNCTION("""COMPUTED_VALUE"""),"AL")</f>
        <v>AL</v>
      </c>
      <c r="E512" s="8" t="str">
        <f>IFERROR(__xludf.DUMMYFUNCTION("""COMPUTED_VALUE"""),"USA")</f>
        <v>USA</v>
      </c>
      <c r="F512" s="8" t="str">
        <f>IFERROR(__xludf.DUMMYFUNCTION("""COMPUTED_VALUE"""),"Pro Doubles 501")</f>
        <v>Pro Doubles 501</v>
      </c>
      <c r="G512" s="8" t="str">
        <f>IFERROR(__xludf.DUMMYFUNCTION("""COMPUTED_VALUE"""),"2nd")</f>
        <v>2nd</v>
      </c>
      <c r="H512" s="8" t="str">
        <f>IFERROR(__xludf.DUMMYFUNCTION("""COMPUTED_VALUE"""),"Tennessee BS 34")</f>
        <v>Tennessee BS 34</v>
      </c>
      <c r="I512" s="10">
        <f>IFERROR(__xludf.DUMMYFUNCTION("""COMPUTED_VALUE"""),43617.0)</f>
        <v>43617</v>
      </c>
      <c r="J512" s="10">
        <f>IFERROR(__xludf.DUMMYFUNCTION("""COMPUTED_VALUE"""),45078.0)</f>
        <v>45078</v>
      </c>
      <c r="K512" s="11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9" t="str">
        <f>IFERROR(__xludf.DUMMYFUNCTION("""COMPUTED_VALUE"""),"McCowan")</f>
        <v>McCowan</v>
      </c>
      <c r="B513" s="8" t="str">
        <f>IFERROR(__xludf.DUMMYFUNCTION("""COMPUTED_VALUE"""),"Ken")</f>
        <v>Ken</v>
      </c>
      <c r="C513" s="8" t="str">
        <f>IFERROR(__xludf.DUMMYFUNCTION("""COMPUTED_VALUE"""),"Joliet")</f>
        <v>Joliet</v>
      </c>
      <c r="D513" s="8" t="str">
        <f>IFERROR(__xludf.DUMMYFUNCTION("""COMPUTED_VALUE"""),"IL")</f>
        <v>IL</v>
      </c>
      <c r="E513" s="8" t="str">
        <f>IFERROR(__xludf.DUMMYFUNCTION("""COMPUTED_VALUE"""),"USA")</f>
        <v>USA</v>
      </c>
      <c r="F513" s="8" t="str">
        <f>IFERROR(__xludf.DUMMYFUNCTION("""COMPUTED_VALUE"""),"Pro Doubles")</f>
        <v>Pro Doubles</v>
      </c>
      <c r="G513" s="8" t="str">
        <f>IFERROR(__xludf.DUMMYFUNCTION("""COMPUTED_VALUE"""),"3rd")</f>
        <v>3rd</v>
      </c>
      <c r="H513" s="8" t="str">
        <f>IFERROR(__xludf.DUMMYFUNCTION("""COMPUTED_VALUE"""),"BullShooter 31")</f>
        <v>BullShooter 31</v>
      </c>
      <c r="I513" s="10">
        <f>IFERROR(__xludf.DUMMYFUNCTION("""COMPUTED_VALUE"""),42522.0)</f>
        <v>42522</v>
      </c>
      <c r="J513" s="10">
        <f>IFERROR(__xludf.DUMMYFUNCTION("""COMPUTED_VALUE"""),44713.0)</f>
        <v>44713</v>
      </c>
      <c r="K513" s="11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9" t="str">
        <f>IFERROR(__xludf.DUMMYFUNCTION("""COMPUTED_VALUE"""),"McCoy")</f>
        <v>McCoy</v>
      </c>
      <c r="B514" s="8" t="str">
        <f>IFERROR(__xludf.DUMMYFUNCTION("""COMPUTED_VALUE"""),"Robert")</f>
        <v>Robert</v>
      </c>
      <c r="C514" s="8" t="str">
        <f>IFERROR(__xludf.DUMMYFUNCTION("""COMPUTED_VALUE"""),"Waterman")</f>
        <v>Waterman</v>
      </c>
      <c r="D514" s="8" t="str">
        <f>IFERROR(__xludf.DUMMYFUNCTION("""COMPUTED_VALUE"""),"IL")</f>
        <v>IL</v>
      </c>
      <c r="E514" s="8" t="str">
        <f>IFERROR(__xludf.DUMMYFUNCTION("""COMPUTED_VALUE"""),"USA")</f>
        <v>USA</v>
      </c>
      <c r="F514" s="8" t="str">
        <f>IFERROR(__xludf.DUMMYFUNCTION("""COMPUTED_VALUE"""),"Mens Cricket Doubles")</f>
        <v>Mens Cricket Doubles</v>
      </c>
      <c r="G514" s="8" t="str">
        <f>IFERROR(__xludf.DUMMYFUNCTION("""COMPUTED_VALUE"""),"1st")</f>
        <v>1st</v>
      </c>
      <c r="H514" s="8" t="str">
        <f>IFERROR(__xludf.DUMMYFUNCTION("""COMPUTED_VALUE"""),"WI Regional 32")</f>
        <v>WI Regional 32</v>
      </c>
      <c r="I514" s="10">
        <f>IFERROR(__xludf.DUMMYFUNCTION("""COMPUTED_VALUE"""),42887.0)</f>
        <v>42887</v>
      </c>
      <c r="J514" s="10">
        <f>IFERROR(__xludf.DUMMYFUNCTION("""COMPUTED_VALUE"""),43983.0)</f>
        <v>43983</v>
      </c>
      <c r="K514" s="11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9" t="str">
        <f>IFERROR(__xludf.DUMMYFUNCTION("""COMPUTED_VALUE"""),"McCullum")</f>
        <v>McCullum</v>
      </c>
      <c r="B515" s="8" t="str">
        <f>IFERROR(__xludf.DUMMYFUNCTION("""COMPUTED_VALUE"""),"Brian")</f>
        <v>Brian</v>
      </c>
      <c r="C515" s="8" t="str">
        <f>IFERROR(__xludf.DUMMYFUNCTION("""COMPUTED_VALUE"""),"West Lawn")</f>
        <v>West Lawn</v>
      </c>
      <c r="D515" s="8" t="str">
        <f>IFERROR(__xludf.DUMMYFUNCTION("""COMPUTED_VALUE"""),"PA")</f>
        <v>PA</v>
      </c>
      <c r="E515" s="8" t="str">
        <f>IFERROR(__xludf.DUMMYFUNCTION("""COMPUTED_VALUE"""),"USA")</f>
        <v>USA</v>
      </c>
      <c r="F515" s="8" t="str">
        <f>IFERROR(__xludf.DUMMYFUNCTION("""COMPUTED_VALUE"""),"Mens Doubles")</f>
        <v>Mens Doubles</v>
      </c>
      <c r="G515" s="8" t="str">
        <f>IFERROR(__xludf.DUMMYFUNCTION("""COMPUTED_VALUE"""),"3rd")</f>
        <v>3rd</v>
      </c>
      <c r="H515" s="8" t="str">
        <f>IFERROR(__xludf.DUMMYFUNCTION("""COMPUTED_VALUE"""),"PA Regional 33")</f>
        <v>PA Regional 33</v>
      </c>
      <c r="I515" s="10">
        <f>IFERROR(__xludf.DUMMYFUNCTION("""COMPUTED_VALUE"""),43252.0)</f>
        <v>43252</v>
      </c>
      <c r="J515" s="10">
        <f>IFERROR(__xludf.DUMMYFUNCTION("""COMPUTED_VALUE"""),44348.0)</f>
        <v>44348</v>
      </c>
      <c r="K515" s="11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9" t="str">
        <f>IFERROR(__xludf.DUMMYFUNCTION("""COMPUTED_VALUE"""),"McDine")</f>
        <v>McDine</v>
      </c>
      <c r="B516" s="8" t="str">
        <f>IFERROR(__xludf.DUMMYFUNCTION("""COMPUTED_VALUE"""),"Kevin")</f>
        <v>Kevin</v>
      </c>
      <c r="C516" s="8" t="str">
        <f>IFERROR(__xludf.DUMMYFUNCTION("""COMPUTED_VALUE"""),"")</f>
        <v/>
      </c>
      <c r="D516" s="8" t="str">
        <f>IFERROR(__xludf.DUMMYFUNCTION("""COMPUTED_VALUE"""),"UNK")</f>
        <v>UNK</v>
      </c>
      <c r="E516" s="8" t="str">
        <f>IFERROR(__xludf.DUMMYFUNCTION("""COMPUTED_VALUE"""),"England")</f>
        <v>England</v>
      </c>
      <c r="F516" s="8" t="str">
        <f>IFERROR(__xludf.DUMMYFUNCTION("""COMPUTED_VALUE"""),"PDC Merit Ranking")</f>
        <v>PDC Merit Ranking</v>
      </c>
      <c r="G516" s="8" t="str">
        <f>IFERROR(__xludf.DUMMYFUNCTION("""COMPUTED_VALUE"""),"100th")</f>
        <v>100th</v>
      </c>
      <c r="H516" s="8" t="str">
        <f>IFERROR(__xludf.DUMMYFUNCTION("""COMPUTED_VALUE"""),"PDC Merit Ranking")</f>
        <v>PDC Merit Ranking</v>
      </c>
      <c r="I516" s="10">
        <f>IFERROR(__xludf.DUMMYFUNCTION("""COMPUTED_VALUE"""),42401.0)</f>
        <v>42401</v>
      </c>
      <c r="J516" s="10">
        <f>IFERROR(__xludf.DUMMYFUNCTION("""COMPUTED_VALUE"""),44713.0)</f>
        <v>44713</v>
      </c>
      <c r="K516" s="11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9" t="str">
        <f>IFERROR(__xludf.DUMMYFUNCTION("""COMPUTED_VALUE"""),"McDowell")</f>
        <v>McDowell</v>
      </c>
      <c r="B517" s="8" t="str">
        <f>IFERROR(__xludf.DUMMYFUNCTION("""COMPUTED_VALUE"""),"Stephen")</f>
        <v>Stephen</v>
      </c>
      <c r="C517" s="8" t="str">
        <f>IFERROR(__xludf.DUMMYFUNCTION("""COMPUTED_VALUE"""),"Kissimmee")</f>
        <v>Kissimmee</v>
      </c>
      <c r="D517" s="8" t="str">
        <f>IFERROR(__xludf.DUMMYFUNCTION("""COMPUTED_VALUE"""),"FL")</f>
        <v>FL</v>
      </c>
      <c r="E517" s="8" t="str">
        <f>IFERROR(__xludf.DUMMYFUNCTION("""COMPUTED_VALUE"""),"USA")</f>
        <v>USA</v>
      </c>
      <c r="F517" s="8" t="str">
        <f>IFERROR(__xludf.DUMMYFUNCTION("""COMPUTED_VALUE"""),"Pro Doubles")</f>
        <v>Pro Doubles</v>
      </c>
      <c r="G517" s="8" t="str">
        <f>IFERROR(__xludf.DUMMYFUNCTION("""COMPUTED_VALUE"""),"2nd")</f>
        <v>2nd</v>
      </c>
      <c r="H517" s="8" t="str">
        <f>IFERROR(__xludf.DUMMYFUNCTION("""COMPUTED_VALUE"""),"GA Regional 32")</f>
        <v>GA Regional 32</v>
      </c>
      <c r="I517" s="10">
        <f>IFERROR(__xludf.DUMMYFUNCTION("""COMPUTED_VALUE"""),42887.0)</f>
        <v>42887</v>
      </c>
      <c r="J517" s="10">
        <f>IFERROR(__xludf.DUMMYFUNCTION("""COMPUTED_VALUE"""),43983.0)</f>
        <v>43983</v>
      </c>
      <c r="K517" s="11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9" t="str">
        <f>IFERROR(__xludf.DUMMYFUNCTION("""COMPUTED_VALUE"""),"McIntyre")</f>
        <v>McIntyre</v>
      </c>
      <c r="B518" s="8" t="str">
        <f>IFERROR(__xludf.DUMMYFUNCTION("""COMPUTED_VALUE"""),"Troy")</f>
        <v>Troy</v>
      </c>
      <c r="C518" s="8" t="str">
        <f>IFERROR(__xludf.DUMMYFUNCTION("""COMPUTED_VALUE"""),"Westminster")</f>
        <v>Westminster</v>
      </c>
      <c r="D518" s="8" t="str">
        <f>IFERROR(__xludf.DUMMYFUNCTION("""COMPUTED_VALUE"""),"CO")</f>
        <v>CO</v>
      </c>
      <c r="E518" s="8" t="str">
        <f>IFERROR(__xludf.DUMMYFUNCTION("""COMPUTED_VALUE"""),"USA")</f>
        <v>USA</v>
      </c>
      <c r="F518" s="8" t="str">
        <f>IFERROR(__xludf.DUMMYFUNCTION("""COMPUTED_VALUE"""),"Mens Cricket Doubles")</f>
        <v>Mens Cricket Doubles</v>
      </c>
      <c r="G518" s="8" t="str">
        <f>IFERROR(__xludf.DUMMYFUNCTION("""COMPUTED_VALUE"""),"3rd")</f>
        <v>3rd</v>
      </c>
      <c r="H518" s="8" t="str">
        <f>IFERROR(__xludf.DUMMYFUNCTION("""COMPUTED_VALUE"""),"SC Regional 33")</f>
        <v>SC Regional 33</v>
      </c>
      <c r="I518" s="10">
        <f>IFERROR(__xludf.DUMMYFUNCTION("""COMPUTED_VALUE"""),43252.0)</f>
        <v>43252</v>
      </c>
      <c r="J518" s="10">
        <f>IFERROR(__xludf.DUMMYFUNCTION("""COMPUTED_VALUE"""),44348.0)</f>
        <v>44348</v>
      </c>
      <c r="K518" s="11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9" t="str">
        <f>IFERROR(__xludf.DUMMYFUNCTION("""COMPUTED_VALUE"""),"McKenzie")</f>
        <v>McKenzie</v>
      </c>
      <c r="B519" s="8" t="str">
        <f>IFERROR(__xludf.DUMMYFUNCTION("""COMPUTED_VALUE"""),"Jason")</f>
        <v>Jason</v>
      </c>
      <c r="C519" s="8" t="str">
        <f>IFERROR(__xludf.DUMMYFUNCTION("""COMPUTED_VALUE"""),"Tonawanda")</f>
        <v>Tonawanda</v>
      </c>
      <c r="D519" s="8" t="str">
        <f>IFERROR(__xludf.DUMMYFUNCTION("""COMPUTED_VALUE"""),"NY")</f>
        <v>NY</v>
      </c>
      <c r="E519" s="8" t="str">
        <f>IFERROR(__xludf.DUMMYFUNCTION("""COMPUTED_VALUE"""),"USA")</f>
        <v>USA</v>
      </c>
      <c r="F519" s="8" t="str">
        <f>IFERROR(__xludf.DUMMYFUNCTION("""COMPUTED_VALUE"""),"Pro/Am Cricket")</f>
        <v>Pro/Am Cricket</v>
      </c>
      <c r="G519" s="8" t="str">
        <f>IFERROR(__xludf.DUMMYFUNCTION("""COMPUTED_VALUE"""),"3rd")</f>
        <v>3rd</v>
      </c>
      <c r="H519" s="8" t="str">
        <f>IFERROR(__xludf.DUMMYFUNCTION("""COMPUTED_VALUE"""),"NY Regional 32")</f>
        <v>NY Regional 32</v>
      </c>
      <c r="I519" s="10">
        <f>IFERROR(__xludf.DUMMYFUNCTION("""COMPUTED_VALUE"""),42887.0)</f>
        <v>42887</v>
      </c>
      <c r="J519" s="10">
        <f>IFERROR(__xludf.DUMMYFUNCTION("""COMPUTED_VALUE"""),43983.0)</f>
        <v>43983</v>
      </c>
      <c r="K519" s="11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9" t="str">
        <f>IFERROR(__xludf.DUMMYFUNCTION("""COMPUTED_VALUE"""),"McLaughlin")</f>
        <v>McLaughlin</v>
      </c>
      <c r="B520" s="8" t="str">
        <f>IFERROR(__xludf.DUMMYFUNCTION("""COMPUTED_VALUE"""),"Mark")</f>
        <v>Mark</v>
      </c>
      <c r="C520" s="8" t="str">
        <f>IFERROR(__xludf.DUMMYFUNCTION("""COMPUTED_VALUE"""),"Fleming Island")</f>
        <v>Fleming Island</v>
      </c>
      <c r="D520" s="8" t="str">
        <f>IFERROR(__xludf.DUMMYFUNCTION("""COMPUTED_VALUE"""),"FL")</f>
        <v>FL</v>
      </c>
      <c r="E520" s="8" t="str">
        <f>IFERROR(__xludf.DUMMYFUNCTION("""COMPUTED_VALUE"""),"USA")</f>
        <v>USA</v>
      </c>
      <c r="F520" s="8" t="str">
        <f>IFERROR(__xludf.DUMMYFUNCTION("""COMPUTED_VALUE"""),"Men Doubles 501")</f>
        <v>Men Doubles 501</v>
      </c>
      <c r="G520" s="8" t="str">
        <f>IFERROR(__xludf.DUMMYFUNCTION("""COMPUTED_VALUE"""),"3rd")</f>
        <v>3rd</v>
      </c>
      <c r="H520" s="8" t="str">
        <f>IFERROR(__xludf.DUMMYFUNCTION("""COMPUTED_VALUE"""),"Florida BS 34")</f>
        <v>Florida BS 34</v>
      </c>
      <c r="I520" s="10">
        <f>IFERROR(__xludf.DUMMYFUNCTION("""COMPUTED_VALUE"""),43617.0)</f>
        <v>43617</v>
      </c>
      <c r="J520" s="10">
        <f>IFERROR(__xludf.DUMMYFUNCTION("""COMPUTED_VALUE"""),44713.0)</f>
        <v>44713</v>
      </c>
      <c r="K520" s="11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9" t="str">
        <f>IFERROR(__xludf.DUMMYFUNCTION("""COMPUTED_VALUE"""),"McMaster")</f>
        <v>McMaster</v>
      </c>
      <c r="B521" s="8" t="str">
        <f>IFERROR(__xludf.DUMMYFUNCTION("""COMPUTED_VALUE"""),"Andrew")</f>
        <v>Andrew</v>
      </c>
      <c r="C521" s="8" t="str">
        <f>IFERROR(__xludf.DUMMYFUNCTION("""COMPUTED_VALUE"""),"Gettysburg")</f>
        <v>Gettysburg</v>
      </c>
      <c r="D521" s="8" t="str">
        <f>IFERROR(__xludf.DUMMYFUNCTION("""COMPUTED_VALUE"""),"PA")</f>
        <v>PA</v>
      </c>
      <c r="E521" s="8" t="str">
        <f>IFERROR(__xludf.DUMMYFUNCTION("""COMPUTED_VALUE"""),"USA")</f>
        <v>USA</v>
      </c>
      <c r="F521" s="8" t="str">
        <f>IFERROR(__xludf.DUMMYFUNCTION("""COMPUTED_VALUE"""),"Pro Doubles 501")</f>
        <v>Pro Doubles 501</v>
      </c>
      <c r="G521" s="8" t="str">
        <f>IFERROR(__xludf.DUMMYFUNCTION("""COMPUTED_VALUE"""),"1st")</f>
        <v>1st</v>
      </c>
      <c r="H521" s="8" t="str">
        <f>IFERROR(__xludf.DUMMYFUNCTION("""COMPUTED_VALUE"""),"Pennsylvania BS 34")</f>
        <v>Pennsylvania BS 34</v>
      </c>
      <c r="I521" s="10">
        <f>IFERROR(__xludf.DUMMYFUNCTION("""COMPUTED_VALUE"""),43617.0)</f>
        <v>43617</v>
      </c>
      <c r="J521" s="10">
        <f>IFERROR(__xludf.DUMMYFUNCTION("""COMPUTED_VALUE"""),44713.0)</f>
        <v>44713</v>
      </c>
      <c r="K521" s="11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9" t="str">
        <f>IFERROR(__xludf.DUMMYFUNCTION("""COMPUTED_VALUE"""),"Mecum")</f>
        <v>Mecum</v>
      </c>
      <c r="B522" s="8" t="str">
        <f>IFERROR(__xludf.DUMMYFUNCTION("""COMPUTED_VALUE"""),"Mike")</f>
        <v>Mike</v>
      </c>
      <c r="C522" s="8" t="str">
        <f>IFERROR(__xludf.DUMMYFUNCTION("""COMPUTED_VALUE"""),"Seattle")</f>
        <v>Seattle</v>
      </c>
      <c r="D522" s="8" t="str">
        <f>IFERROR(__xludf.DUMMYFUNCTION("""COMPUTED_VALUE"""),"WA")</f>
        <v>WA</v>
      </c>
      <c r="E522" s="8" t="str">
        <f>IFERROR(__xludf.DUMMYFUNCTION("""COMPUTED_VALUE"""),"USA")</f>
        <v>USA</v>
      </c>
      <c r="F522" s="8" t="str">
        <f>IFERROR(__xludf.DUMMYFUNCTION("""COMPUTED_VALUE"""),"Known Pro")</f>
        <v>Known Pro</v>
      </c>
      <c r="G522" s="8" t="str">
        <f>IFERROR(__xludf.DUMMYFUNCTION("""COMPUTED_VALUE"""),"")</f>
        <v/>
      </c>
      <c r="H522" s="8" t="str">
        <f>IFERROR(__xludf.DUMMYFUNCTION("""COMPUTED_VALUE"""),"Known Ability")</f>
        <v>Known Ability</v>
      </c>
      <c r="I522" s="10">
        <f>IFERROR(__xludf.DUMMYFUNCTION("""COMPUTED_VALUE"""),36892.0)</f>
        <v>36892</v>
      </c>
      <c r="J522" s="10">
        <f>IFERROR(__xludf.DUMMYFUNCTION("""COMPUTED_VALUE"""),45809.0)</f>
        <v>45809</v>
      </c>
      <c r="K522" s="11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9" t="str">
        <f>IFERROR(__xludf.DUMMYFUNCTION("""COMPUTED_VALUE"""),"Medley")</f>
        <v>Medley</v>
      </c>
      <c r="B523" s="8" t="str">
        <f>IFERROR(__xludf.DUMMYFUNCTION("""COMPUTED_VALUE"""),"Brandon")</f>
        <v>Brandon</v>
      </c>
      <c r="C523" s="8" t="str">
        <f>IFERROR(__xludf.DUMMYFUNCTION("""COMPUTED_VALUE"""),"Indianapolis")</f>
        <v>Indianapolis</v>
      </c>
      <c r="D523" s="8" t="str">
        <f>IFERROR(__xludf.DUMMYFUNCTION("""COMPUTED_VALUE"""),"IN")</f>
        <v>IN</v>
      </c>
      <c r="E523" s="8" t="str">
        <f>IFERROR(__xludf.DUMMYFUNCTION("""COMPUTED_VALUE"""),"USA")</f>
        <v>USA</v>
      </c>
      <c r="F523" s="8" t="str">
        <f>IFERROR(__xludf.DUMMYFUNCTION("""COMPUTED_VALUE"""),"Mens Doubles")</f>
        <v>Mens Doubles</v>
      </c>
      <c r="G523" s="8" t="str">
        <f>IFERROR(__xludf.DUMMYFUNCTION("""COMPUTED_VALUE"""),"2nd")</f>
        <v>2nd</v>
      </c>
      <c r="H523" s="8" t="str">
        <f>IFERROR(__xludf.DUMMYFUNCTION("""COMPUTED_VALUE"""),"IN Regional 33")</f>
        <v>IN Regional 33</v>
      </c>
      <c r="I523" s="10">
        <f>IFERROR(__xludf.DUMMYFUNCTION("""COMPUTED_VALUE"""),43252.0)</f>
        <v>43252</v>
      </c>
      <c r="J523" s="10">
        <f>IFERROR(__xludf.DUMMYFUNCTION("""COMPUTED_VALUE"""),44348.0)</f>
        <v>44348</v>
      </c>
      <c r="K523" s="11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9" t="str">
        <f>IFERROR(__xludf.DUMMYFUNCTION("""COMPUTED_VALUE"""),"Meeker")</f>
        <v>Meeker</v>
      </c>
      <c r="B524" s="8" t="str">
        <f>IFERROR(__xludf.DUMMYFUNCTION("""COMPUTED_VALUE"""),"James")</f>
        <v>James</v>
      </c>
      <c r="C524" s="8" t="str">
        <f>IFERROR(__xludf.DUMMYFUNCTION("""COMPUTED_VALUE"""),"Greenfield")</f>
        <v>Greenfield</v>
      </c>
      <c r="D524" s="8" t="str">
        <f>IFERROR(__xludf.DUMMYFUNCTION("""COMPUTED_VALUE"""),"WI")</f>
        <v>WI</v>
      </c>
      <c r="E524" s="8" t="str">
        <f>IFERROR(__xludf.DUMMYFUNCTION("""COMPUTED_VALUE"""),"USA")</f>
        <v>USA</v>
      </c>
      <c r="F524" s="8" t="str">
        <f>IFERROR(__xludf.DUMMYFUNCTION("""COMPUTED_VALUE"""),"Top Gun Mixed Triples")</f>
        <v>Top Gun Mixed Triples</v>
      </c>
      <c r="G524" s="8" t="str">
        <f>IFERROR(__xludf.DUMMYFUNCTION("""COMPUTED_VALUE"""),"2nd")</f>
        <v>2nd</v>
      </c>
      <c r="H524" s="8" t="str">
        <f>IFERROR(__xludf.DUMMYFUNCTION("""COMPUTED_VALUE"""),"BullShooter 32")</f>
        <v>BullShooter 32</v>
      </c>
      <c r="I524" s="10">
        <f>IFERROR(__xludf.DUMMYFUNCTION("""COMPUTED_VALUE"""),42887.0)</f>
        <v>42887</v>
      </c>
      <c r="J524" s="10">
        <f>IFERROR(__xludf.DUMMYFUNCTION("""COMPUTED_VALUE"""),43983.0)</f>
        <v>43983</v>
      </c>
      <c r="K524" s="11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9" t="str">
        <f>IFERROR(__xludf.DUMMYFUNCTION("""COMPUTED_VALUE"""),"Meininger")</f>
        <v>Meininger</v>
      </c>
      <c r="B525" s="8" t="str">
        <f>IFERROR(__xludf.DUMMYFUNCTION("""COMPUTED_VALUE"""),"Charles")</f>
        <v>Charles</v>
      </c>
      <c r="C525" s="8" t="str">
        <f>IFERROR(__xludf.DUMMYFUNCTION("""COMPUTED_VALUE"""),"Denver")</f>
        <v>Denver</v>
      </c>
      <c r="D525" s="8" t="str">
        <f>IFERROR(__xludf.DUMMYFUNCTION("""COMPUTED_VALUE"""),"CO")</f>
        <v>CO</v>
      </c>
      <c r="E525" s="8" t="str">
        <f>IFERROR(__xludf.DUMMYFUNCTION("""COMPUTED_VALUE"""),"USA")</f>
        <v>USA</v>
      </c>
      <c r="F525" s="8" t="str">
        <f>IFERROR(__xludf.DUMMYFUNCTION("""COMPUTED_VALUE"""),"Mixed Cricket Doubles")</f>
        <v>Mixed Cricket Doubles</v>
      </c>
      <c r="G525" s="8" t="str">
        <f>IFERROR(__xludf.DUMMYFUNCTION("""COMPUTED_VALUE"""),"2nd")</f>
        <v>2nd</v>
      </c>
      <c r="H525" s="8" t="str">
        <f>IFERROR(__xludf.DUMMYFUNCTION("""COMPUTED_VALUE"""),"BullShooter 34 Finals")</f>
        <v>BullShooter 34 Finals</v>
      </c>
      <c r="I525" s="10">
        <f>IFERROR(__xludf.DUMMYFUNCTION("""COMPUTED_VALUE"""),43617.0)</f>
        <v>43617</v>
      </c>
      <c r="J525" s="10">
        <f>IFERROR(__xludf.DUMMYFUNCTION("""COMPUTED_VALUE"""),44713.0)</f>
        <v>44713</v>
      </c>
      <c r="K525" s="11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9" t="str">
        <f>IFERROR(__xludf.DUMMYFUNCTION("""COMPUTED_VALUE"""),"Melo")</f>
        <v>Melo</v>
      </c>
      <c r="B526" s="8" t="str">
        <f>IFERROR(__xludf.DUMMYFUNCTION("""COMPUTED_VALUE"""),"Michael")</f>
        <v>Michael</v>
      </c>
      <c r="C526" s="8" t="str">
        <f>IFERROR(__xludf.DUMMYFUNCTION("""COMPUTED_VALUE"""),"Summerville")</f>
        <v>Summerville</v>
      </c>
      <c r="D526" s="8" t="str">
        <f>IFERROR(__xludf.DUMMYFUNCTION("""COMPUTED_VALUE"""),"SC")</f>
        <v>SC</v>
      </c>
      <c r="E526" s="8" t="str">
        <f>IFERROR(__xludf.DUMMYFUNCTION("""COMPUTED_VALUE"""),"USA")</f>
        <v>USA</v>
      </c>
      <c r="F526" s="8" t="str">
        <f>IFERROR(__xludf.DUMMYFUNCTION("""COMPUTED_VALUE"""),"Mens Doubles")</f>
        <v>Mens Doubles</v>
      </c>
      <c r="G526" s="8" t="str">
        <f>IFERROR(__xludf.DUMMYFUNCTION("""COMPUTED_VALUE"""),"2nd")</f>
        <v>2nd</v>
      </c>
      <c r="H526" s="8" t="str">
        <f>IFERROR(__xludf.DUMMYFUNCTION("""COMPUTED_VALUE"""),"SC Regional 33")</f>
        <v>SC Regional 33</v>
      </c>
      <c r="I526" s="10">
        <f>IFERROR(__xludf.DUMMYFUNCTION("""COMPUTED_VALUE"""),43252.0)</f>
        <v>43252</v>
      </c>
      <c r="J526" s="10">
        <f>IFERROR(__xludf.DUMMYFUNCTION("""COMPUTED_VALUE"""),44348.0)</f>
        <v>44348</v>
      </c>
      <c r="K526" s="11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9" t="str">
        <f>IFERROR(__xludf.DUMMYFUNCTION("""COMPUTED_VALUE"""),"Mestdagh")</f>
        <v>Mestdagh</v>
      </c>
      <c r="B527" s="8" t="str">
        <f>IFERROR(__xludf.DUMMYFUNCTION("""COMPUTED_VALUE"""),"Didier")</f>
        <v>Didier</v>
      </c>
      <c r="C527" s="8" t="str">
        <f>IFERROR(__xludf.DUMMYFUNCTION("""COMPUTED_VALUE"""),"")</f>
        <v/>
      </c>
      <c r="D527" s="8" t="str">
        <f>IFERROR(__xludf.DUMMYFUNCTION("""COMPUTED_VALUE"""),"UNK")</f>
        <v>UNK</v>
      </c>
      <c r="E527" s="8" t="str">
        <f>IFERROR(__xludf.DUMMYFUNCTION("""COMPUTED_VALUE"""),"Belgium")</f>
        <v>Belgium</v>
      </c>
      <c r="F527" s="8" t="str">
        <f>IFERROR(__xludf.DUMMYFUNCTION("""COMPUTED_VALUE"""),"Known Pro")</f>
        <v>Known Pro</v>
      </c>
      <c r="G527" s="8" t="str">
        <f>IFERROR(__xludf.DUMMYFUNCTION("""COMPUTED_VALUE"""),"")</f>
        <v/>
      </c>
      <c r="H527" s="8" t="str">
        <f>IFERROR(__xludf.DUMMYFUNCTION("""COMPUTED_VALUE"""),"Known Ability")</f>
        <v>Known Ability</v>
      </c>
      <c r="I527" s="10">
        <f>IFERROR(__xludf.DUMMYFUNCTION("""COMPUTED_VALUE"""),36892.0)</f>
        <v>36892</v>
      </c>
      <c r="J527" s="10">
        <f>IFERROR(__xludf.DUMMYFUNCTION("""COMPUTED_VALUE"""),45809.0)</f>
        <v>45809</v>
      </c>
      <c r="K527" s="11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9" t="str">
        <f>IFERROR(__xludf.DUMMYFUNCTION("""COMPUTED_VALUE"""),"Meurisse")</f>
        <v>Meurisse</v>
      </c>
      <c r="B528" s="8" t="str">
        <f>IFERROR(__xludf.DUMMYFUNCTION("""COMPUTED_VALUE"""),"Eric")</f>
        <v>Eric</v>
      </c>
      <c r="C528" s="8" t="str">
        <f>IFERROR(__xludf.DUMMYFUNCTION("""COMPUTED_VALUE"""),"")</f>
        <v/>
      </c>
      <c r="D528" s="8" t="str">
        <f>IFERROR(__xludf.DUMMYFUNCTION("""COMPUTED_VALUE"""),"UNK")</f>
        <v>UNK</v>
      </c>
      <c r="E528" s="8" t="str">
        <f>IFERROR(__xludf.DUMMYFUNCTION("""COMPUTED_VALUE"""),"Belgium")</f>
        <v>Belgium</v>
      </c>
      <c r="F528" s="8" t="str">
        <f>IFERROR(__xludf.DUMMYFUNCTION("""COMPUTED_VALUE"""),"Pro Cricket Singles")</f>
        <v>Pro Cricket Singles</v>
      </c>
      <c r="G528" s="8" t="str">
        <f>IFERROR(__xludf.DUMMYFUNCTION("""COMPUTED_VALUE"""),"3rd")</f>
        <v>3rd</v>
      </c>
      <c r="H528" s="8" t="str">
        <f>IFERROR(__xludf.DUMMYFUNCTION("""COMPUTED_VALUE"""),"Off AA List")</f>
        <v>Off AA List</v>
      </c>
      <c r="I528" s="10">
        <f>IFERROR(__xludf.DUMMYFUNCTION("""COMPUTED_VALUE"""),42887.0)</f>
        <v>42887</v>
      </c>
      <c r="J528" s="10">
        <f>IFERROR(__xludf.DUMMYFUNCTION("""COMPUTED_VALUE"""),43983.0)</f>
        <v>43983</v>
      </c>
      <c r="K528" s="11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9" t="str">
        <f>IFERROR(__xludf.DUMMYFUNCTION("""COMPUTED_VALUE"""),"Meyer Jr.")</f>
        <v>Meyer Jr.</v>
      </c>
      <c r="B529" s="8" t="str">
        <f>IFERROR(__xludf.DUMMYFUNCTION("""COMPUTED_VALUE"""),"Steven")</f>
        <v>Steven</v>
      </c>
      <c r="C529" s="8" t="str">
        <f>IFERROR(__xludf.DUMMYFUNCTION("""COMPUTED_VALUE"""),"Sumter")</f>
        <v>Sumter</v>
      </c>
      <c r="D529" s="8" t="str">
        <f>IFERROR(__xludf.DUMMYFUNCTION("""COMPUTED_VALUE"""),"SC")</f>
        <v>SC</v>
      </c>
      <c r="E529" s="8" t="str">
        <f>IFERROR(__xludf.DUMMYFUNCTION("""COMPUTED_VALUE"""),"USA")</f>
        <v>USA</v>
      </c>
      <c r="F529" s="8" t="str">
        <f>IFERROR(__xludf.DUMMYFUNCTION("""COMPUTED_VALUE"""),"Mens Doubles")</f>
        <v>Mens Doubles</v>
      </c>
      <c r="G529" s="8" t="str">
        <f>IFERROR(__xludf.DUMMYFUNCTION("""COMPUTED_VALUE"""),"1st")</f>
        <v>1st</v>
      </c>
      <c r="H529" s="8" t="str">
        <f>IFERROR(__xludf.DUMMYFUNCTION("""COMPUTED_VALUE"""),"SC Regional 33")</f>
        <v>SC Regional 33</v>
      </c>
      <c r="I529" s="10">
        <f>IFERROR(__xludf.DUMMYFUNCTION("""COMPUTED_VALUE"""),43252.0)</f>
        <v>43252</v>
      </c>
      <c r="J529" s="10">
        <f>IFERROR(__xludf.DUMMYFUNCTION("""COMPUTED_VALUE"""),44348.0)</f>
        <v>44348</v>
      </c>
      <c r="K529" s="11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9" t="str">
        <f>IFERROR(__xludf.DUMMYFUNCTION("""COMPUTED_VALUE"""),"Michael")</f>
        <v>Michael</v>
      </c>
      <c r="B530" s="8" t="str">
        <f>IFERROR(__xludf.DUMMYFUNCTION("""COMPUTED_VALUE"""),"John")</f>
        <v>John</v>
      </c>
      <c r="C530" s="8" t="str">
        <f>IFERROR(__xludf.DUMMYFUNCTION("""COMPUTED_VALUE"""),"")</f>
        <v/>
      </c>
      <c r="D530" s="8" t="str">
        <f>IFERROR(__xludf.DUMMYFUNCTION("""COMPUTED_VALUE"""),"UNK")</f>
        <v>UNK</v>
      </c>
      <c r="E530" s="8" t="str">
        <f>IFERROR(__xludf.DUMMYFUNCTION("""COMPUTED_VALUE"""),"Greece")</f>
        <v>Greece</v>
      </c>
      <c r="F530" s="8" t="str">
        <f>IFERROR(__xludf.DUMMYFUNCTION("""COMPUTED_VALUE"""),"PDC Merit Ranking")</f>
        <v>PDC Merit Ranking</v>
      </c>
      <c r="G530" s="8" t="str">
        <f>IFERROR(__xludf.DUMMYFUNCTION("""COMPUTED_VALUE"""),"95th")</f>
        <v>95th</v>
      </c>
      <c r="H530" s="8" t="str">
        <f>IFERROR(__xludf.DUMMYFUNCTION("""COMPUTED_VALUE"""),"PDC Merit Ranking")</f>
        <v>PDC Merit Ranking</v>
      </c>
      <c r="I530" s="10">
        <f>IFERROR(__xludf.DUMMYFUNCTION("""COMPUTED_VALUE"""),42401.0)</f>
        <v>42401</v>
      </c>
      <c r="J530" s="10">
        <f>IFERROR(__xludf.DUMMYFUNCTION("""COMPUTED_VALUE"""),44713.0)</f>
        <v>44713</v>
      </c>
      <c r="K530" s="11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9" t="str">
        <f>IFERROR(__xludf.DUMMYFUNCTION("""COMPUTED_VALUE"""),"Mihelsic")</f>
        <v>Mihelsic</v>
      </c>
      <c r="B531" s="8" t="str">
        <f>IFERROR(__xludf.DUMMYFUNCTION("""COMPUTED_VALUE"""),"David")</f>
        <v>David</v>
      </c>
      <c r="C531" s="8" t="str">
        <f>IFERROR(__xludf.DUMMYFUNCTION("""COMPUTED_VALUE"""),"Springfield")</f>
        <v>Springfield</v>
      </c>
      <c r="D531" s="8" t="str">
        <f>IFERROR(__xludf.DUMMYFUNCTION("""COMPUTED_VALUE"""),"IL")</f>
        <v>IL</v>
      </c>
      <c r="E531" s="8" t="str">
        <f>IFERROR(__xludf.DUMMYFUNCTION("""COMPUTED_VALUE"""),"USA")</f>
        <v>USA</v>
      </c>
      <c r="F531" s="8" t="str">
        <f>IFERROR(__xludf.DUMMYFUNCTION("""COMPUTED_VALUE"""),"Pro Doubles X01")</f>
        <v>Pro Doubles X01</v>
      </c>
      <c r="G531" s="8" t="str">
        <f>IFERROR(__xludf.DUMMYFUNCTION("""COMPUTED_VALUE"""),"2nd")</f>
        <v>2nd</v>
      </c>
      <c r="H531" s="8" t="str">
        <f>IFERROR(__xludf.DUMMYFUNCTION("""COMPUTED_VALUE"""),"Off AA List")</f>
        <v>Off AA List</v>
      </c>
      <c r="I531" s="10">
        <f>IFERROR(__xludf.DUMMYFUNCTION("""COMPUTED_VALUE"""),42887.0)</f>
        <v>42887</v>
      </c>
      <c r="J531" s="10">
        <f>IFERROR(__xludf.DUMMYFUNCTION("""COMPUTED_VALUE"""),43983.0)</f>
        <v>43983</v>
      </c>
      <c r="K531" s="11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9" t="str">
        <f>IFERROR(__xludf.DUMMYFUNCTION("""COMPUTED_VALUE"""),"Miller")</f>
        <v>Miller</v>
      </c>
      <c r="B532" s="8" t="str">
        <f>IFERROR(__xludf.DUMMYFUNCTION("""COMPUTED_VALUE"""),"Mark Jr.")</f>
        <v>Mark Jr.</v>
      </c>
      <c r="C532" s="8" t="str">
        <f>IFERROR(__xludf.DUMMYFUNCTION("""COMPUTED_VALUE"""),"East Moline")</f>
        <v>East Moline</v>
      </c>
      <c r="D532" s="8" t="str">
        <f>IFERROR(__xludf.DUMMYFUNCTION("""COMPUTED_VALUE"""),"IL")</f>
        <v>IL</v>
      </c>
      <c r="E532" s="8" t="str">
        <f>IFERROR(__xludf.DUMMYFUNCTION("""COMPUTED_VALUE"""),"USA")</f>
        <v>USA</v>
      </c>
      <c r="F532" s="8" t="str">
        <f>IFERROR(__xludf.DUMMYFUNCTION("""COMPUTED_VALUE"""),"Mens Cricket Doubles")</f>
        <v>Mens Cricket Doubles</v>
      </c>
      <c r="G532" s="8" t="str">
        <f>IFERROR(__xludf.DUMMYFUNCTION("""COMPUTED_VALUE"""),"1st")</f>
        <v>1st</v>
      </c>
      <c r="H532" s="8" t="str">
        <f>IFERROR(__xludf.DUMMYFUNCTION("""COMPUTED_VALUE"""),"BullShooter 32")</f>
        <v>BullShooter 32</v>
      </c>
      <c r="I532" s="10">
        <f>IFERROR(__xludf.DUMMYFUNCTION("""COMPUTED_VALUE"""),42887.0)</f>
        <v>42887</v>
      </c>
      <c r="J532" s="10">
        <f>IFERROR(__xludf.DUMMYFUNCTION("""COMPUTED_VALUE"""),43983.0)</f>
        <v>43983</v>
      </c>
      <c r="K532" s="11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9" t="str">
        <f>IFERROR(__xludf.DUMMYFUNCTION("""COMPUTED_VALUE"""),"Miller")</f>
        <v>Miller</v>
      </c>
      <c r="B533" s="8" t="str">
        <f>IFERROR(__xludf.DUMMYFUNCTION("""COMPUTED_VALUE"""),"Scott")</f>
        <v>Scott</v>
      </c>
      <c r="C533" s="8" t="str">
        <f>IFERROR(__xludf.DUMMYFUNCTION("""COMPUTED_VALUE"""),"Sycamore")</f>
        <v>Sycamore</v>
      </c>
      <c r="D533" s="8" t="str">
        <f>IFERROR(__xludf.DUMMYFUNCTION("""COMPUTED_VALUE"""),"IL")</f>
        <v>IL</v>
      </c>
      <c r="E533" s="8" t="str">
        <f>IFERROR(__xludf.DUMMYFUNCTION("""COMPUTED_VALUE"""),"USA")</f>
        <v>USA</v>
      </c>
      <c r="F533" s="8" t="str">
        <f>IFERROR(__xludf.DUMMYFUNCTION("""COMPUTED_VALUE"""),"Top Gun Pro/AA Triples")</f>
        <v>Top Gun Pro/AA Triples</v>
      </c>
      <c r="G533" s="8" t="str">
        <f>IFERROR(__xludf.DUMMYFUNCTION("""COMPUTED_VALUE"""),"3rd")</f>
        <v>3rd</v>
      </c>
      <c r="H533" s="8" t="str">
        <f>IFERROR(__xludf.DUMMYFUNCTION("""COMPUTED_VALUE"""),"Off AA List")</f>
        <v>Off AA List</v>
      </c>
      <c r="I533" s="10">
        <f>IFERROR(__xludf.DUMMYFUNCTION("""COMPUTED_VALUE"""),42887.0)</f>
        <v>42887</v>
      </c>
      <c r="J533" s="10">
        <f>IFERROR(__xludf.DUMMYFUNCTION("""COMPUTED_VALUE"""),43983.0)</f>
        <v>43983</v>
      </c>
      <c r="K533" s="11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9" t="str">
        <f>IFERROR(__xludf.DUMMYFUNCTION("""COMPUTED_VALUE"""),"Millich")</f>
        <v>Millich</v>
      </c>
      <c r="B534" s="8" t="str">
        <f>IFERROR(__xludf.DUMMYFUNCTION("""COMPUTED_VALUE"""),"Brian")</f>
        <v>Brian</v>
      </c>
      <c r="C534" s="8" t="str">
        <f>IFERROR(__xludf.DUMMYFUNCTION("""COMPUTED_VALUE"""),"Boonville")</f>
        <v>Boonville</v>
      </c>
      <c r="D534" s="8" t="str">
        <f>IFERROR(__xludf.DUMMYFUNCTION("""COMPUTED_VALUE"""),"NY")</f>
        <v>NY</v>
      </c>
      <c r="E534" s="8" t="str">
        <f>IFERROR(__xludf.DUMMYFUNCTION("""COMPUTED_VALUE"""),"USA")</f>
        <v>USA</v>
      </c>
      <c r="F534" s="8" t="str">
        <f>IFERROR(__xludf.DUMMYFUNCTION("""COMPUTED_VALUE"""),"Men Doubles 501")</f>
        <v>Men Doubles 501</v>
      </c>
      <c r="G534" s="8" t="str">
        <f>IFERROR(__xludf.DUMMYFUNCTION("""COMPUTED_VALUE"""),"3rd")</f>
        <v>3rd</v>
      </c>
      <c r="H534" s="8" t="str">
        <f>IFERROR(__xludf.DUMMYFUNCTION("""COMPUTED_VALUE"""),"New York BS 34")</f>
        <v>New York BS 34</v>
      </c>
      <c r="I534" s="10">
        <f>IFERROR(__xludf.DUMMYFUNCTION("""COMPUTED_VALUE"""),43617.0)</f>
        <v>43617</v>
      </c>
      <c r="J534" s="10">
        <f>IFERROR(__xludf.DUMMYFUNCTION("""COMPUTED_VALUE"""),44713.0)</f>
        <v>44713</v>
      </c>
      <c r="K534" s="11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9" t="str">
        <f>IFERROR(__xludf.DUMMYFUNCTION("""COMPUTED_VALUE"""),"Mitchell")</f>
        <v>Mitchell</v>
      </c>
      <c r="B535" s="8" t="str">
        <f>IFERROR(__xludf.DUMMYFUNCTION("""COMPUTED_VALUE"""),"Curtis")</f>
        <v>Curtis</v>
      </c>
      <c r="C535" s="8" t="str">
        <f>IFERROR(__xludf.DUMMYFUNCTION("""COMPUTED_VALUE"""),"St. Louis")</f>
        <v>St. Louis</v>
      </c>
      <c r="D535" s="8" t="str">
        <f>IFERROR(__xludf.DUMMYFUNCTION("""COMPUTED_VALUE"""),"MO")</f>
        <v>MO</v>
      </c>
      <c r="E535" s="8" t="str">
        <f>IFERROR(__xludf.DUMMYFUNCTION("""COMPUTED_VALUE"""),"USA")</f>
        <v>USA</v>
      </c>
      <c r="F535" s="8" t="str">
        <f>IFERROR(__xludf.DUMMYFUNCTION("""COMPUTED_VALUE"""),"Men Doubles 501")</f>
        <v>Men Doubles 501</v>
      </c>
      <c r="G535" s="8" t="str">
        <f>IFERROR(__xludf.DUMMYFUNCTION("""COMPUTED_VALUE"""),"1st")</f>
        <v>1st</v>
      </c>
      <c r="H535" s="8" t="str">
        <f>IFERROR(__xludf.DUMMYFUNCTION("""COMPUTED_VALUE"""),"Wisconsin BS 34")</f>
        <v>Wisconsin BS 34</v>
      </c>
      <c r="I535" s="10">
        <f>IFERROR(__xludf.DUMMYFUNCTION("""COMPUTED_VALUE"""),43617.0)</f>
        <v>43617</v>
      </c>
      <c r="J535" s="10">
        <f>IFERROR(__xludf.DUMMYFUNCTION("""COMPUTED_VALUE"""),44713.0)</f>
        <v>44713</v>
      </c>
      <c r="K535" s="11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9" t="str">
        <f>IFERROR(__xludf.DUMMYFUNCTION("""COMPUTED_VALUE"""),"Mitchell")</f>
        <v>Mitchell</v>
      </c>
      <c r="B536" s="8" t="str">
        <f>IFERROR(__xludf.DUMMYFUNCTION("""COMPUTED_VALUE"""),"Robert")</f>
        <v>Robert</v>
      </c>
      <c r="C536" s="8" t="str">
        <f>IFERROR(__xludf.DUMMYFUNCTION("""COMPUTED_VALUE"""),"Tampa")</f>
        <v>Tampa</v>
      </c>
      <c r="D536" s="8" t="str">
        <f>IFERROR(__xludf.DUMMYFUNCTION("""COMPUTED_VALUE"""),"FL")</f>
        <v>FL</v>
      </c>
      <c r="E536" s="8" t="str">
        <f>IFERROR(__xludf.DUMMYFUNCTION("""COMPUTED_VALUE"""),"USA")</f>
        <v>USA</v>
      </c>
      <c r="F536" s="8" t="str">
        <f>IFERROR(__xludf.DUMMYFUNCTION("""COMPUTED_VALUE"""),"Mens Singles")</f>
        <v>Mens Singles</v>
      </c>
      <c r="G536" s="8" t="str">
        <f>IFERROR(__xludf.DUMMYFUNCTION("""COMPUTED_VALUE"""),"3rd")</f>
        <v>3rd</v>
      </c>
      <c r="H536" s="8" t="str">
        <f>IFERROR(__xludf.DUMMYFUNCTION("""COMPUTED_VALUE"""),"TN Regional 33")</f>
        <v>TN Regional 33</v>
      </c>
      <c r="I536" s="10">
        <f>IFERROR(__xludf.DUMMYFUNCTION("""COMPUTED_VALUE"""),43252.0)</f>
        <v>43252</v>
      </c>
      <c r="J536" s="10">
        <f>IFERROR(__xludf.DUMMYFUNCTION("""COMPUTED_VALUE"""),44348.0)</f>
        <v>44348</v>
      </c>
      <c r="K536" s="11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9" t="str">
        <f>IFERROR(__xludf.DUMMYFUNCTION("""COMPUTED_VALUE"""),"Mitchell")</f>
        <v>Mitchell</v>
      </c>
      <c r="B537" s="8" t="str">
        <f>IFERROR(__xludf.DUMMYFUNCTION("""COMPUTED_VALUE"""),"Scott")</f>
        <v>Scott</v>
      </c>
      <c r="C537" s="8" t="str">
        <f>IFERROR(__xludf.DUMMYFUNCTION("""COMPUTED_VALUE"""),"")</f>
        <v/>
      </c>
      <c r="D537" s="8" t="str">
        <f>IFERROR(__xludf.DUMMYFUNCTION("""COMPUTED_VALUE"""),"UNK")</f>
        <v>UNK</v>
      </c>
      <c r="E537" s="8" t="str">
        <f>IFERROR(__xludf.DUMMYFUNCTION("""COMPUTED_VALUE"""),"England")</f>
        <v>England</v>
      </c>
      <c r="F537" s="8" t="str">
        <f>IFERROR(__xludf.DUMMYFUNCTION("""COMPUTED_VALUE"""),"PDC Merit Ranking")</f>
        <v>PDC Merit Ranking</v>
      </c>
      <c r="G537" s="8" t="str">
        <f>IFERROR(__xludf.DUMMYFUNCTION("""COMPUTED_VALUE"""),"25th")</f>
        <v>25th</v>
      </c>
      <c r="H537" s="8" t="str">
        <f>IFERROR(__xludf.DUMMYFUNCTION("""COMPUTED_VALUE"""),"PDC Merit Ranking")</f>
        <v>PDC Merit Ranking</v>
      </c>
      <c r="I537" s="10">
        <f>IFERROR(__xludf.DUMMYFUNCTION("""COMPUTED_VALUE"""),42401.0)</f>
        <v>42401</v>
      </c>
      <c r="J537" s="10">
        <f>IFERROR(__xludf.DUMMYFUNCTION("""COMPUTED_VALUE"""),44713.0)</f>
        <v>44713</v>
      </c>
      <c r="K537" s="11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9" t="str">
        <f>IFERROR(__xludf.DUMMYFUNCTION("""COMPUTED_VALUE"""),"Moles")</f>
        <v>Moles</v>
      </c>
      <c r="B538" s="8" t="str">
        <f>IFERROR(__xludf.DUMMYFUNCTION("""COMPUTED_VALUE"""),"Jeffery")</f>
        <v>Jeffery</v>
      </c>
      <c r="C538" s="8" t="str">
        <f>IFERROR(__xludf.DUMMYFUNCTION("""COMPUTED_VALUE"""),"Elkhart")</f>
        <v>Elkhart</v>
      </c>
      <c r="D538" s="8" t="str">
        <f>IFERROR(__xludf.DUMMYFUNCTION("""COMPUTED_VALUE"""),"IN")</f>
        <v>IN</v>
      </c>
      <c r="E538" s="8" t="str">
        <f>IFERROR(__xludf.DUMMYFUNCTION("""COMPUTED_VALUE"""),"USA")</f>
        <v>USA</v>
      </c>
      <c r="F538" s="8" t="str">
        <f>IFERROR(__xludf.DUMMYFUNCTION("""COMPUTED_VALUE"""),"")</f>
        <v/>
      </c>
      <c r="G538" s="8" t="str">
        <f>IFERROR(__xludf.DUMMYFUNCTION("""COMPUTED_VALUE"""),"")</f>
        <v/>
      </c>
      <c r="H538" s="8" t="str">
        <f>IFERROR(__xludf.DUMMYFUNCTION("""COMPUTED_VALUE"""),"BS 30 Finals")</f>
        <v>BS 30 Finals</v>
      </c>
      <c r="I538" s="10">
        <f>IFERROR(__xludf.DUMMYFUNCTION("""COMPUTED_VALUE"""),43252.0)</f>
        <v>43252</v>
      </c>
      <c r="J538" s="10">
        <f>IFERROR(__xludf.DUMMYFUNCTION("""COMPUTED_VALUE"""),44348.0)</f>
        <v>44348</v>
      </c>
      <c r="K538" s="11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9" t="str">
        <f>IFERROR(__xludf.DUMMYFUNCTION("""COMPUTED_VALUE"""),"Monk")</f>
        <v>Monk</v>
      </c>
      <c r="B539" s="8" t="str">
        <f>IFERROR(__xludf.DUMMYFUNCTION("""COMPUTED_VALUE"""),"Aaron")</f>
        <v>Aaron</v>
      </c>
      <c r="C539" s="8" t="str">
        <f>IFERROR(__xludf.DUMMYFUNCTION("""COMPUTED_VALUE"""),"")</f>
        <v/>
      </c>
      <c r="D539" s="8" t="str">
        <f>IFERROR(__xludf.DUMMYFUNCTION("""COMPUTED_VALUE"""),"UNK")</f>
        <v>UNK</v>
      </c>
      <c r="E539" s="8" t="str">
        <f>IFERROR(__xludf.DUMMYFUNCTION("""COMPUTED_VALUE"""),"England")</f>
        <v>England</v>
      </c>
      <c r="F539" s="8" t="str">
        <f>IFERROR(__xludf.DUMMYFUNCTION("""COMPUTED_VALUE"""),"PDC Merit Ranking")</f>
        <v>PDC Merit Ranking</v>
      </c>
      <c r="G539" s="8" t="str">
        <f>IFERROR(__xludf.DUMMYFUNCTION("""COMPUTED_VALUE"""),"41st")</f>
        <v>41st</v>
      </c>
      <c r="H539" s="8" t="str">
        <f>IFERROR(__xludf.DUMMYFUNCTION("""COMPUTED_VALUE"""),"Off AA List")</f>
        <v>Off AA List</v>
      </c>
      <c r="I539" s="10">
        <f>IFERROR(__xludf.DUMMYFUNCTION("""COMPUTED_VALUE"""),42887.0)</f>
        <v>42887</v>
      </c>
      <c r="J539" s="10">
        <f>IFERROR(__xludf.DUMMYFUNCTION("""COMPUTED_VALUE"""),43983.0)</f>
        <v>43983</v>
      </c>
      <c r="K539" s="11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9" t="str">
        <f>IFERROR(__xludf.DUMMYFUNCTION("""COMPUTED_VALUE"""),"Montgomery")</f>
        <v>Montgomery</v>
      </c>
      <c r="B540" s="8" t="str">
        <f>IFERROR(__xludf.DUMMYFUNCTION("""COMPUTED_VALUE"""),"Brian")</f>
        <v>Brian</v>
      </c>
      <c r="C540" s="8" t="str">
        <f>IFERROR(__xludf.DUMMYFUNCTION("""COMPUTED_VALUE"""),"Indianapolis")</f>
        <v>Indianapolis</v>
      </c>
      <c r="D540" s="8" t="str">
        <f>IFERROR(__xludf.DUMMYFUNCTION("""COMPUTED_VALUE"""),"IN")</f>
        <v>IN</v>
      </c>
      <c r="E540" s="8" t="str">
        <f>IFERROR(__xludf.DUMMYFUNCTION("""COMPUTED_VALUE"""),"USA")</f>
        <v>USA</v>
      </c>
      <c r="F540" s="8" t="str">
        <f>IFERROR(__xludf.DUMMYFUNCTION("""COMPUTED_VALUE"""),"Mens Doubles")</f>
        <v>Mens Doubles</v>
      </c>
      <c r="G540" s="8" t="str">
        <f>IFERROR(__xludf.DUMMYFUNCTION("""COMPUTED_VALUE"""),"3rd")</f>
        <v>3rd</v>
      </c>
      <c r="H540" s="8" t="str">
        <f>IFERROR(__xludf.DUMMYFUNCTION("""COMPUTED_VALUE"""),"Florida Regional 32")</f>
        <v>Florida Regional 32</v>
      </c>
      <c r="I540" s="10">
        <f>IFERROR(__xludf.DUMMYFUNCTION("""COMPUTED_VALUE"""),42887.0)</f>
        <v>42887</v>
      </c>
      <c r="J540" s="10">
        <f>IFERROR(__xludf.DUMMYFUNCTION("""COMPUTED_VALUE"""),43983.0)</f>
        <v>43983</v>
      </c>
      <c r="K540" s="11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9" t="str">
        <f>IFERROR(__xludf.DUMMYFUNCTION("""COMPUTED_VALUE"""),"Montgomery")</f>
        <v>Montgomery</v>
      </c>
      <c r="B541" s="8" t="str">
        <f>IFERROR(__xludf.DUMMYFUNCTION("""COMPUTED_VALUE"""),"Ross")</f>
        <v>Ross</v>
      </c>
      <c r="C541" s="8" t="str">
        <f>IFERROR(__xludf.DUMMYFUNCTION("""COMPUTED_VALUE"""),"")</f>
        <v/>
      </c>
      <c r="D541" s="8" t="str">
        <f>IFERROR(__xludf.DUMMYFUNCTION("""COMPUTED_VALUE"""),"UNK")</f>
        <v>UNK</v>
      </c>
      <c r="E541" s="8" t="str">
        <f>IFERROR(__xludf.DUMMYFUNCTION("""COMPUTED_VALUE"""),"Scotland")</f>
        <v>Scotland</v>
      </c>
      <c r="F541" s="8" t="str">
        <f>IFERROR(__xludf.DUMMYFUNCTION("""COMPUTED_VALUE"""),"PDC Merit Ranking")</f>
        <v>PDC Merit Ranking</v>
      </c>
      <c r="G541" s="8" t="str">
        <f>IFERROR(__xludf.DUMMYFUNCTION("""COMPUTED_VALUE"""),"81st")</f>
        <v>81st</v>
      </c>
      <c r="H541" s="8" t="str">
        <f>IFERROR(__xludf.DUMMYFUNCTION("""COMPUTED_VALUE"""),"PDC Merit Ranking")</f>
        <v>PDC Merit Ranking</v>
      </c>
      <c r="I541" s="10">
        <f>IFERROR(__xludf.DUMMYFUNCTION("""COMPUTED_VALUE"""),42401.0)</f>
        <v>42401</v>
      </c>
      <c r="J541" s="10">
        <f>IFERROR(__xludf.DUMMYFUNCTION("""COMPUTED_VALUE"""),44713.0)</f>
        <v>44713</v>
      </c>
      <c r="K541" s="11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9" t="str">
        <f>IFERROR(__xludf.DUMMYFUNCTION("""COMPUTED_VALUE"""),"Montgomery")</f>
        <v>Montgomery</v>
      </c>
      <c r="B542" s="8" t="str">
        <f>IFERROR(__xludf.DUMMYFUNCTION("""COMPUTED_VALUE"""),"Tyler")</f>
        <v>Tyler</v>
      </c>
      <c r="C542" s="8" t="str">
        <f>IFERROR(__xludf.DUMMYFUNCTION("""COMPUTED_VALUE"""),"Vincennes")</f>
        <v>Vincennes</v>
      </c>
      <c r="D542" s="8" t="str">
        <f>IFERROR(__xludf.DUMMYFUNCTION("""COMPUTED_VALUE"""),"IN")</f>
        <v>IN</v>
      </c>
      <c r="E542" s="8" t="str">
        <f>IFERROR(__xludf.DUMMYFUNCTION("""COMPUTED_VALUE"""),"USA")</f>
        <v>USA</v>
      </c>
      <c r="F542" s="8" t="str">
        <f>IFERROR(__xludf.DUMMYFUNCTION("""COMPUTED_VALUE"""),"Mens Cricket Doubles")</f>
        <v>Mens Cricket Doubles</v>
      </c>
      <c r="G542" s="8" t="str">
        <f>IFERROR(__xludf.DUMMYFUNCTION("""COMPUTED_VALUE"""),"3rd")</f>
        <v>3rd</v>
      </c>
      <c r="H542" s="8" t="str">
        <f>IFERROR(__xludf.DUMMYFUNCTION("""COMPUTED_VALUE"""),"IN Regional 33")</f>
        <v>IN Regional 33</v>
      </c>
      <c r="I542" s="10">
        <f>IFERROR(__xludf.DUMMYFUNCTION("""COMPUTED_VALUE"""),43252.0)</f>
        <v>43252</v>
      </c>
      <c r="J542" s="10">
        <f>IFERROR(__xludf.DUMMYFUNCTION("""COMPUTED_VALUE"""),44348.0)</f>
        <v>44348</v>
      </c>
      <c r="K542" s="11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9" t="str">
        <f>IFERROR(__xludf.DUMMYFUNCTION("""COMPUTED_VALUE"""),"Moore")</f>
        <v>Moore</v>
      </c>
      <c r="B543" s="8" t="str">
        <f>IFERROR(__xludf.DUMMYFUNCTION("""COMPUTED_VALUE"""),"William")</f>
        <v>William</v>
      </c>
      <c r="C543" s="8" t="str">
        <f>IFERROR(__xludf.DUMMYFUNCTION("""COMPUTED_VALUE"""),"Bloomington")</f>
        <v>Bloomington</v>
      </c>
      <c r="D543" s="8" t="str">
        <f>IFERROR(__xludf.DUMMYFUNCTION("""COMPUTED_VALUE"""),"IL")</f>
        <v>IL</v>
      </c>
      <c r="E543" s="8" t="str">
        <f>IFERROR(__xludf.DUMMYFUNCTION("""COMPUTED_VALUE"""),"USA")</f>
        <v>USA</v>
      </c>
      <c r="F543" s="8" t="str">
        <f>IFERROR(__xludf.DUMMYFUNCTION("""COMPUTED_VALUE"""),"Pro Doubles")</f>
        <v>Pro Doubles</v>
      </c>
      <c r="G543" s="8" t="str">
        <f>IFERROR(__xludf.DUMMYFUNCTION("""COMPUTED_VALUE"""),"1st")</f>
        <v>1st</v>
      </c>
      <c r="H543" s="8" t="str">
        <f>IFERROR(__xludf.DUMMYFUNCTION("""COMPUTED_VALUE"""),"Florida Regional 32")</f>
        <v>Florida Regional 32</v>
      </c>
      <c r="I543" s="10">
        <f>IFERROR(__xludf.DUMMYFUNCTION("""COMPUTED_VALUE"""),42887.0)</f>
        <v>42887</v>
      </c>
      <c r="J543" s="10">
        <f>IFERROR(__xludf.DUMMYFUNCTION("""COMPUTED_VALUE"""),43983.0)</f>
        <v>43983</v>
      </c>
      <c r="K543" s="11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9" t="str">
        <f>IFERROR(__xludf.DUMMYFUNCTION("""COMPUTED_VALUE"""),"Morales")</f>
        <v>Morales</v>
      </c>
      <c r="B544" s="8" t="str">
        <f>IFERROR(__xludf.DUMMYFUNCTION("""COMPUTED_VALUE"""),"Domingo")</f>
        <v>Domingo</v>
      </c>
      <c r="C544" s="8" t="str">
        <f>IFERROR(__xludf.DUMMYFUNCTION("""COMPUTED_VALUE"""),"Santa Fe")</f>
        <v>Santa Fe</v>
      </c>
      <c r="D544" s="8" t="str">
        <f>IFERROR(__xludf.DUMMYFUNCTION("""COMPUTED_VALUE"""),"TX")</f>
        <v>TX</v>
      </c>
      <c r="E544" s="8" t="str">
        <f>IFERROR(__xludf.DUMMYFUNCTION("""COMPUTED_VALUE"""),"USA")</f>
        <v>USA</v>
      </c>
      <c r="F544" s="8" t="str">
        <f>IFERROR(__xludf.DUMMYFUNCTION("""COMPUTED_VALUE"""),"Mens Cricket Doubles")</f>
        <v>Mens Cricket Doubles</v>
      </c>
      <c r="G544" s="8" t="str">
        <f>IFERROR(__xludf.DUMMYFUNCTION("""COMPUTED_VALUE"""),"2nd")</f>
        <v>2nd</v>
      </c>
      <c r="H544" s="8" t="str">
        <f>IFERROR(__xludf.DUMMYFUNCTION("""COMPUTED_VALUE"""),"TX Regional 32")</f>
        <v>TX Regional 32</v>
      </c>
      <c r="I544" s="10">
        <f>IFERROR(__xludf.DUMMYFUNCTION("""COMPUTED_VALUE"""),42522.0)</f>
        <v>42522</v>
      </c>
      <c r="J544" s="10">
        <f>IFERROR(__xludf.DUMMYFUNCTION("""COMPUTED_VALUE"""),43983.0)</f>
        <v>43983</v>
      </c>
      <c r="K544" s="11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9" t="str">
        <f>IFERROR(__xludf.DUMMYFUNCTION("""COMPUTED_VALUE"""),"Morrill")</f>
        <v>Morrill</v>
      </c>
      <c r="B545" s="8" t="str">
        <f>IFERROR(__xludf.DUMMYFUNCTION("""COMPUTED_VALUE"""),"Dan")</f>
        <v>Dan</v>
      </c>
      <c r="C545" s="8" t="str">
        <f>IFERROR(__xludf.DUMMYFUNCTION("""COMPUTED_VALUE"""),"Clinton")</f>
        <v>Clinton</v>
      </c>
      <c r="D545" s="8" t="str">
        <f>IFERROR(__xludf.DUMMYFUNCTION("""COMPUTED_VALUE"""),"MN")</f>
        <v>MN</v>
      </c>
      <c r="E545" s="8" t="str">
        <f>IFERROR(__xludf.DUMMYFUNCTION("""COMPUTED_VALUE"""),"USA")</f>
        <v>USA</v>
      </c>
      <c r="F545" s="8" t="str">
        <f>IFERROR(__xludf.DUMMYFUNCTION("""COMPUTED_VALUE"""),"")</f>
        <v/>
      </c>
      <c r="G545" s="8" t="str">
        <f>IFERROR(__xludf.DUMMYFUNCTION("""COMPUTED_VALUE"""),"")</f>
        <v/>
      </c>
      <c r="H545" s="8" t="str">
        <f>IFERROR(__xludf.DUMMYFUNCTION("""COMPUTED_VALUE"""),"BS 30 Finals")</f>
        <v>BS 30 Finals</v>
      </c>
      <c r="I545" s="10">
        <f>IFERROR(__xludf.DUMMYFUNCTION("""COMPUTED_VALUE"""),43252.0)</f>
        <v>43252</v>
      </c>
      <c r="J545" s="10">
        <f>IFERROR(__xludf.DUMMYFUNCTION("""COMPUTED_VALUE"""),44348.0)</f>
        <v>44348</v>
      </c>
      <c r="K545" s="11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9" t="str">
        <f>IFERROR(__xludf.DUMMYFUNCTION("""COMPUTED_VALUE"""),"Morris")</f>
        <v>Morris</v>
      </c>
      <c r="B546" s="8" t="str">
        <f>IFERROR(__xludf.DUMMYFUNCTION("""COMPUTED_VALUE"""),"Jeffrey")</f>
        <v>Jeffrey</v>
      </c>
      <c r="C546" s="8" t="str">
        <f>IFERROR(__xludf.DUMMYFUNCTION("""COMPUTED_VALUE"""),"Roselle")</f>
        <v>Roselle</v>
      </c>
      <c r="D546" s="8" t="str">
        <f>IFERROR(__xludf.DUMMYFUNCTION("""COMPUTED_VALUE"""),"IL")</f>
        <v>IL</v>
      </c>
      <c r="E546" s="8" t="str">
        <f>IFERROR(__xludf.DUMMYFUNCTION("""COMPUTED_VALUE"""),"USA")</f>
        <v>USA</v>
      </c>
      <c r="F546" s="8" t="str">
        <f>IFERROR(__xludf.DUMMYFUNCTION("""COMPUTED_VALUE"""),"")</f>
        <v/>
      </c>
      <c r="G546" s="8" t="str">
        <f>IFERROR(__xludf.DUMMYFUNCTION("""COMPUTED_VALUE"""),"")</f>
        <v/>
      </c>
      <c r="H546" s="8" t="str">
        <f>IFERROR(__xludf.DUMMYFUNCTION("""COMPUTED_VALUE"""),"BS 30 Finals")</f>
        <v>BS 30 Finals</v>
      </c>
      <c r="I546" s="10">
        <f>IFERROR(__xludf.DUMMYFUNCTION("""COMPUTED_VALUE"""),43252.0)</f>
        <v>43252</v>
      </c>
      <c r="J546" s="10">
        <f>IFERROR(__xludf.DUMMYFUNCTION("""COMPUTED_VALUE"""),44348.0)</f>
        <v>44348</v>
      </c>
      <c r="K546" s="11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9" t="str">
        <f>IFERROR(__xludf.DUMMYFUNCTION("""COMPUTED_VALUE"""),"Morris")</f>
        <v>Morris</v>
      </c>
      <c r="B547" s="8" t="str">
        <f>IFERROR(__xludf.DUMMYFUNCTION("""COMPUTED_VALUE"""),"Randy")</f>
        <v>Randy</v>
      </c>
      <c r="C547" s="8" t="str">
        <f>IFERROR(__xludf.DUMMYFUNCTION("""COMPUTED_VALUE"""),"Lafayette")</f>
        <v>Lafayette</v>
      </c>
      <c r="D547" s="8" t="str">
        <f>IFERROR(__xludf.DUMMYFUNCTION("""COMPUTED_VALUE"""),"IN")</f>
        <v>IN</v>
      </c>
      <c r="E547" s="8" t="str">
        <f>IFERROR(__xludf.DUMMYFUNCTION("""COMPUTED_VALUE"""),"USA")</f>
        <v>USA</v>
      </c>
      <c r="F547" s="8" t="str">
        <f>IFERROR(__xludf.DUMMYFUNCTION("""COMPUTED_VALUE"""),"Mens Doubles")</f>
        <v>Mens Doubles</v>
      </c>
      <c r="G547" s="8" t="str">
        <f>IFERROR(__xludf.DUMMYFUNCTION("""COMPUTED_VALUE"""),"1st")</f>
        <v>1st</v>
      </c>
      <c r="H547" s="8" t="str">
        <f>IFERROR(__xludf.DUMMYFUNCTION("""COMPUTED_VALUE"""),"TN Regional 33")</f>
        <v>TN Regional 33</v>
      </c>
      <c r="I547" s="10">
        <f>IFERROR(__xludf.DUMMYFUNCTION("""COMPUTED_VALUE"""),43252.0)</f>
        <v>43252</v>
      </c>
      <c r="J547" s="10">
        <f>IFERROR(__xludf.DUMMYFUNCTION("""COMPUTED_VALUE"""),44348.0)</f>
        <v>44348</v>
      </c>
      <c r="K547" s="11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9" t="str">
        <f>IFERROR(__xludf.DUMMYFUNCTION("""COMPUTED_VALUE"""),"Moser")</f>
        <v>Moser</v>
      </c>
      <c r="B548" s="8" t="str">
        <f>IFERROR(__xludf.DUMMYFUNCTION("""COMPUTED_VALUE"""),"Michael")</f>
        <v>Michael</v>
      </c>
      <c r="C548" s="8" t="str">
        <f>IFERROR(__xludf.DUMMYFUNCTION("""COMPUTED_VALUE"""),"Janesville")</f>
        <v>Janesville</v>
      </c>
      <c r="D548" s="8" t="str">
        <f>IFERROR(__xludf.DUMMYFUNCTION("""COMPUTED_VALUE"""),"WI")</f>
        <v>WI</v>
      </c>
      <c r="E548" s="8" t="str">
        <f>IFERROR(__xludf.DUMMYFUNCTION("""COMPUTED_VALUE"""),"USA")</f>
        <v>USA</v>
      </c>
      <c r="F548" s="8" t="str">
        <f>IFERROR(__xludf.DUMMYFUNCTION("""COMPUTED_VALUE"""),"Mens Cricket Doubles")</f>
        <v>Mens Cricket Doubles</v>
      </c>
      <c r="G548" s="8" t="str">
        <f>IFERROR(__xludf.DUMMYFUNCTION("""COMPUTED_VALUE"""),"2nd")</f>
        <v>2nd</v>
      </c>
      <c r="H548" s="8" t="str">
        <f>IFERROR(__xludf.DUMMYFUNCTION("""COMPUTED_VALUE"""),"WI Regional 32")</f>
        <v>WI Regional 32</v>
      </c>
      <c r="I548" s="10">
        <f>IFERROR(__xludf.DUMMYFUNCTION("""COMPUTED_VALUE"""),42887.0)</f>
        <v>42887</v>
      </c>
      <c r="J548" s="10">
        <f>IFERROR(__xludf.DUMMYFUNCTION("""COMPUTED_VALUE"""),43983.0)</f>
        <v>43983</v>
      </c>
      <c r="K548" s="11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9" t="str">
        <f>IFERROR(__xludf.DUMMYFUNCTION("""COMPUTED_VALUE"""),"Mottmiller")</f>
        <v>Mottmiller</v>
      </c>
      <c r="B549" s="8" t="str">
        <f>IFERROR(__xludf.DUMMYFUNCTION("""COMPUTED_VALUE"""),"Joseph")</f>
        <v>Joseph</v>
      </c>
      <c r="C549" s="8" t="str">
        <f>IFERROR(__xludf.DUMMYFUNCTION("""COMPUTED_VALUE"""),"Perrysburgh")</f>
        <v>Perrysburgh</v>
      </c>
      <c r="D549" s="8" t="str">
        <f>IFERROR(__xludf.DUMMYFUNCTION("""COMPUTED_VALUE"""),"OH")</f>
        <v>OH</v>
      </c>
      <c r="E549" s="8" t="str">
        <f>IFERROR(__xludf.DUMMYFUNCTION("""COMPUTED_VALUE"""),"USA")</f>
        <v>USA</v>
      </c>
      <c r="F549" s="8" t="str">
        <f>IFERROR(__xludf.DUMMYFUNCTION("""COMPUTED_VALUE"""),"Men 501 Singles")</f>
        <v>Men 501 Singles</v>
      </c>
      <c r="G549" s="8" t="str">
        <f>IFERROR(__xludf.DUMMYFUNCTION("""COMPUTED_VALUE"""),"3rd")</f>
        <v>3rd</v>
      </c>
      <c r="H549" s="8" t="str">
        <f>IFERROR(__xludf.DUMMYFUNCTION("""COMPUTED_VALUE"""),"BullShooter 34 Finals")</f>
        <v>BullShooter 34 Finals</v>
      </c>
      <c r="I549" s="10">
        <f>IFERROR(__xludf.DUMMYFUNCTION("""COMPUTED_VALUE"""),43617.0)</f>
        <v>43617</v>
      </c>
      <c r="J549" s="10">
        <f>IFERROR(__xludf.DUMMYFUNCTION("""COMPUTED_VALUE"""),44713.0)</f>
        <v>44713</v>
      </c>
      <c r="K549" s="11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9" t="str">
        <f>IFERROR(__xludf.DUMMYFUNCTION("""COMPUTED_VALUE"""),"Mowery")</f>
        <v>Mowery</v>
      </c>
      <c r="B550" s="8" t="str">
        <f>IFERROR(__xludf.DUMMYFUNCTION("""COMPUTED_VALUE"""),"Scott")</f>
        <v>Scott</v>
      </c>
      <c r="C550" s="8" t="str">
        <f>IFERROR(__xludf.DUMMYFUNCTION("""COMPUTED_VALUE"""),"Howard")</f>
        <v>Howard</v>
      </c>
      <c r="D550" s="8" t="str">
        <f>IFERROR(__xludf.DUMMYFUNCTION("""COMPUTED_VALUE"""),"OH")</f>
        <v>OH</v>
      </c>
      <c r="E550" s="8" t="str">
        <f>IFERROR(__xludf.DUMMYFUNCTION("""COMPUTED_VALUE"""),"USA")</f>
        <v>USA</v>
      </c>
      <c r="F550" s="8" t="str">
        <f>IFERROR(__xludf.DUMMYFUNCTION("""COMPUTED_VALUE"""),"Mens Doubles")</f>
        <v>Mens Doubles</v>
      </c>
      <c r="G550" s="8" t="str">
        <f>IFERROR(__xludf.DUMMYFUNCTION("""COMPUTED_VALUE"""),"1st")</f>
        <v>1st</v>
      </c>
      <c r="H550" s="8" t="str">
        <f>IFERROR(__xludf.DUMMYFUNCTION("""COMPUTED_VALUE"""),"PA Regional 33")</f>
        <v>PA Regional 33</v>
      </c>
      <c r="I550" s="10">
        <f>IFERROR(__xludf.DUMMYFUNCTION("""COMPUTED_VALUE"""),43252.0)</f>
        <v>43252</v>
      </c>
      <c r="J550" s="10">
        <f>IFERROR(__xludf.DUMMYFUNCTION("""COMPUTED_VALUE"""),44348.0)</f>
        <v>44348</v>
      </c>
      <c r="K550" s="11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9" t="str">
        <f>IFERROR(__xludf.DUMMYFUNCTION("""COMPUTED_VALUE"""),"Murphy")</f>
        <v>Murphy</v>
      </c>
      <c r="B551" s="8" t="str">
        <f>IFERROR(__xludf.DUMMYFUNCTION("""COMPUTED_VALUE"""),"Randy")</f>
        <v>Randy</v>
      </c>
      <c r="C551" s="8" t="str">
        <f>IFERROR(__xludf.DUMMYFUNCTION("""COMPUTED_VALUE"""),"Iowa city")</f>
        <v>Iowa city</v>
      </c>
      <c r="D551" s="8" t="str">
        <f>IFERROR(__xludf.DUMMYFUNCTION("""COMPUTED_VALUE"""),"IA")</f>
        <v>IA</v>
      </c>
      <c r="E551" s="8" t="str">
        <f>IFERROR(__xludf.DUMMYFUNCTION("""COMPUTED_VALUE"""),"USA")</f>
        <v>USA</v>
      </c>
      <c r="F551" s="8" t="str">
        <f>IFERROR(__xludf.DUMMYFUNCTION("""COMPUTED_VALUE"""),"Mixed 701 Triples")</f>
        <v>Mixed 701 Triples</v>
      </c>
      <c r="G551" s="8" t="str">
        <f>IFERROR(__xludf.DUMMYFUNCTION("""COMPUTED_VALUE"""),"3rd")</f>
        <v>3rd</v>
      </c>
      <c r="H551" s="8" t="str">
        <f>IFERROR(__xludf.DUMMYFUNCTION("""COMPUTED_VALUE"""),"BullShooter 34 Finals")</f>
        <v>BullShooter 34 Finals</v>
      </c>
      <c r="I551" s="10">
        <f>IFERROR(__xludf.DUMMYFUNCTION("""COMPUTED_VALUE"""),43617.0)</f>
        <v>43617</v>
      </c>
      <c r="J551" s="10">
        <f>IFERROR(__xludf.DUMMYFUNCTION("""COMPUTED_VALUE"""),44713.0)</f>
        <v>44713</v>
      </c>
      <c r="K551" s="11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9" t="str">
        <f>IFERROR(__xludf.DUMMYFUNCTION("""COMPUTED_VALUE"""),"Musch")</f>
        <v>Musch</v>
      </c>
      <c r="B552" s="8" t="str">
        <f>IFERROR(__xludf.DUMMYFUNCTION("""COMPUTED_VALUE"""),"Drew")</f>
        <v>Drew</v>
      </c>
      <c r="C552" s="8" t="str">
        <f>IFERROR(__xludf.DUMMYFUNCTION("""COMPUTED_VALUE"""),"Spring")</f>
        <v>Spring</v>
      </c>
      <c r="D552" s="8" t="str">
        <f>IFERROR(__xludf.DUMMYFUNCTION("""COMPUTED_VALUE"""),"TX")</f>
        <v>TX</v>
      </c>
      <c r="E552" s="8" t="str">
        <f>IFERROR(__xludf.DUMMYFUNCTION("""COMPUTED_VALUE"""),"USA")</f>
        <v>USA</v>
      </c>
      <c r="F552" s="8" t="str">
        <f>IFERROR(__xludf.DUMMYFUNCTION("""COMPUTED_VALUE"""),"Mens Cricket Doubles")</f>
        <v>Mens Cricket Doubles</v>
      </c>
      <c r="G552" s="8" t="str">
        <f>IFERROR(__xludf.DUMMYFUNCTION("""COMPUTED_VALUE"""),"1st")</f>
        <v>1st</v>
      </c>
      <c r="H552" s="8" t="str">
        <f>IFERROR(__xludf.DUMMYFUNCTION("""COMPUTED_VALUE"""),"TX Regional 33")</f>
        <v>TX Regional 33</v>
      </c>
      <c r="I552" s="10">
        <f>IFERROR(__xludf.DUMMYFUNCTION("""COMPUTED_VALUE"""),43252.0)</f>
        <v>43252</v>
      </c>
      <c r="J552" s="10">
        <f>IFERROR(__xludf.DUMMYFUNCTION("""COMPUTED_VALUE"""),44348.0)</f>
        <v>44348</v>
      </c>
      <c r="K552" s="11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9" t="str">
        <f>IFERROR(__xludf.DUMMYFUNCTION("""COMPUTED_VALUE"""),"Mutton")</f>
        <v>Mutton</v>
      </c>
      <c r="B553" s="8" t="str">
        <f>IFERROR(__xludf.DUMMYFUNCTION("""COMPUTED_VALUE"""),"Terry")</f>
        <v>Terry</v>
      </c>
      <c r="C553" s="8" t="str">
        <f>IFERROR(__xludf.DUMMYFUNCTION("""COMPUTED_VALUE"""),"Peoria")</f>
        <v>Peoria</v>
      </c>
      <c r="D553" s="8" t="str">
        <f>IFERROR(__xludf.DUMMYFUNCTION("""COMPUTED_VALUE"""),"IL")</f>
        <v>IL</v>
      </c>
      <c r="E553" s="8" t="str">
        <f>IFERROR(__xludf.DUMMYFUNCTION("""COMPUTED_VALUE"""),"USA")</f>
        <v>USA</v>
      </c>
      <c r="F553" s="8" t="str">
        <f>IFERROR(__xludf.DUMMYFUNCTION("""COMPUTED_VALUE"""),"Known Pro")</f>
        <v>Known Pro</v>
      </c>
      <c r="G553" s="8" t="str">
        <f>IFERROR(__xludf.DUMMYFUNCTION("""COMPUTED_VALUE"""),"")</f>
        <v/>
      </c>
      <c r="H553" s="8" t="str">
        <f>IFERROR(__xludf.DUMMYFUNCTION("""COMPUTED_VALUE"""),"Known Ability")</f>
        <v>Known Ability</v>
      </c>
      <c r="I553" s="10">
        <f>IFERROR(__xludf.DUMMYFUNCTION("""COMPUTED_VALUE"""),36892.0)</f>
        <v>36892</v>
      </c>
      <c r="J553" s="10">
        <f>IFERROR(__xludf.DUMMYFUNCTION("""COMPUTED_VALUE"""),45809.0)</f>
        <v>45809</v>
      </c>
      <c r="K553" s="11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9" t="str">
        <f>IFERROR(__xludf.DUMMYFUNCTION("""COMPUTED_VALUE"""),"Nakata")</f>
        <v>Nakata</v>
      </c>
      <c r="B554" s="8" t="str">
        <f>IFERROR(__xludf.DUMMYFUNCTION("""COMPUTED_VALUE"""),"Yu")</f>
        <v>Yu</v>
      </c>
      <c r="C554" s="8" t="str">
        <f>IFERROR(__xludf.DUMMYFUNCTION("""COMPUTED_VALUE"""),"")</f>
        <v/>
      </c>
      <c r="D554" s="8" t="str">
        <f>IFERROR(__xludf.DUMMYFUNCTION("""COMPUTED_VALUE"""),"UNK")</f>
        <v>UNK</v>
      </c>
      <c r="E554" s="8" t="str">
        <f>IFERROR(__xludf.DUMMYFUNCTION("""COMPUTED_VALUE"""),"Japan")</f>
        <v>Japan</v>
      </c>
      <c r="F554" s="8" t="str">
        <f>IFERROR(__xludf.DUMMYFUNCTION("""COMPUTED_VALUE"""),"DL")</f>
        <v>DL</v>
      </c>
      <c r="G554" s="8" t="str">
        <f>IFERROR(__xludf.DUMMYFUNCTION("""COMPUTED_VALUE"""),"23rd")</f>
        <v>23rd</v>
      </c>
      <c r="H554" s="8" t="str">
        <f>IFERROR(__xludf.DUMMYFUNCTION("""COMPUTED_VALUE"""),"DL")</f>
        <v>DL</v>
      </c>
      <c r="I554" s="10">
        <f>IFERROR(__xludf.DUMMYFUNCTION("""COMPUTED_VALUE"""),42401.0)</f>
        <v>42401</v>
      </c>
      <c r="J554" s="10">
        <f>IFERROR(__xludf.DUMMYFUNCTION("""COMPUTED_VALUE"""),44713.0)</f>
        <v>44713</v>
      </c>
      <c r="K554" s="11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9" t="str">
        <f>IFERROR(__xludf.DUMMYFUNCTION("""COMPUTED_VALUE"""),"Namaka")</f>
        <v>Namaka</v>
      </c>
      <c r="B555" s="8" t="str">
        <f>IFERROR(__xludf.DUMMYFUNCTION("""COMPUTED_VALUE"""),"Heath")</f>
        <v>Heath</v>
      </c>
      <c r="C555" s="8" t="str">
        <f>IFERROR(__xludf.DUMMYFUNCTION("""COMPUTED_VALUE"""),"Parish")</f>
        <v>Parish</v>
      </c>
      <c r="D555" s="8" t="str">
        <f>IFERROR(__xludf.DUMMYFUNCTION("""COMPUTED_VALUE"""),"FL")</f>
        <v>FL</v>
      </c>
      <c r="E555" s="8" t="str">
        <f>IFERROR(__xludf.DUMMYFUNCTION("""COMPUTED_VALUE"""),"USA")</f>
        <v>USA</v>
      </c>
      <c r="F555" s="8" t="str">
        <f>IFERROR(__xludf.DUMMYFUNCTION("""COMPUTED_VALUE"""),"Mixed Triples 701")</f>
        <v>Mixed Triples 701</v>
      </c>
      <c r="G555" s="8" t="str">
        <f>IFERROR(__xludf.DUMMYFUNCTION("""COMPUTED_VALUE"""),"1st")</f>
        <v>1st</v>
      </c>
      <c r="H555" s="8" t="str">
        <f>IFERROR(__xludf.DUMMYFUNCTION("""COMPUTED_VALUE"""),"Florida BS 34")</f>
        <v>Florida BS 34</v>
      </c>
      <c r="I555" s="10">
        <f>IFERROR(__xludf.DUMMYFUNCTION("""COMPUTED_VALUE"""),43617.0)</f>
        <v>43617</v>
      </c>
      <c r="J555" s="10">
        <f>IFERROR(__xludf.DUMMYFUNCTION("""COMPUTED_VALUE"""),44713.0)</f>
        <v>44713</v>
      </c>
      <c r="K555" s="11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9" t="str">
        <f>IFERROR(__xludf.DUMMYFUNCTION("""COMPUTED_VALUE"""),"Nanbu")</f>
        <v>Nanbu</v>
      </c>
      <c r="B556" s="8" t="str">
        <f>IFERROR(__xludf.DUMMYFUNCTION("""COMPUTED_VALUE"""),"Tomoyuki")</f>
        <v>Tomoyuki</v>
      </c>
      <c r="C556" s="8" t="str">
        <f>IFERROR(__xludf.DUMMYFUNCTION("""COMPUTED_VALUE"""),"")</f>
        <v/>
      </c>
      <c r="D556" s="8" t="str">
        <f>IFERROR(__xludf.DUMMYFUNCTION("""COMPUTED_VALUE"""),"UNK")</f>
        <v>UNK</v>
      </c>
      <c r="E556" s="8" t="str">
        <f>IFERROR(__xludf.DUMMYFUNCTION("""COMPUTED_VALUE"""),"Japan")</f>
        <v>Japan</v>
      </c>
      <c r="F556" s="8" t="str">
        <f>IFERROR(__xludf.DUMMYFUNCTION("""COMPUTED_VALUE"""),"DL")</f>
        <v>DL</v>
      </c>
      <c r="G556" s="8" t="str">
        <f>IFERROR(__xludf.DUMMYFUNCTION("""COMPUTED_VALUE"""),"68th")</f>
        <v>68th</v>
      </c>
      <c r="H556" s="8" t="str">
        <f>IFERROR(__xludf.DUMMYFUNCTION("""COMPUTED_VALUE"""),"DL")</f>
        <v>DL</v>
      </c>
      <c r="I556" s="10">
        <f>IFERROR(__xludf.DUMMYFUNCTION("""COMPUTED_VALUE"""),42401.0)</f>
        <v>42401</v>
      </c>
      <c r="J556" s="10">
        <f>IFERROR(__xludf.DUMMYFUNCTION("""COMPUTED_VALUE"""),44713.0)</f>
        <v>44713</v>
      </c>
      <c r="K556" s="11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9" t="str">
        <f>IFERROR(__xludf.DUMMYFUNCTION("""COMPUTED_VALUE"""),"Nankwenya")</f>
        <v>Nankwenya</v>
      </c>
      <c r="B557" s="8" t="str">
        <f>IFERROR(__xludf.DUMMYFUNCTION("""COMPUTED_VALUE"""),"Andrew")</f>
        <v>Andrew</v>
      </c>
      <c r="C557" s="8" t="str">
        <f>IFERROR(__xludf.DUMMYFUNCTION("""COMPUTED_VALUE"""),"Louisville")</f>
        <v>Louisville</v>
      </c>
      <c r="D557" s="8" t="str">
        <f>IFERROR(__xludf.DUMMYFUNCTION("""COMPUTED_VALUE"""),"KY")</f>
        <v>KY</v>
      </c>
      <c r="E557" s="8" t="str">
        <f>IFERROR(__xludf.DUMMYFUNCTION("""COMPUTED_VALUE"""),"USA")</f>
        <v>USA</v>
      </c>
      <c r="F557" s="8" t="str">
        <f>IFERROR(__xludf.DUMMYFUNCTION("""COMPUTED_VALUE"""),"Mens Singles")</f>
        <v>Mens Singles</v>
      </c>
      <c r="G557" s="8" t="str">
        <f>IFERROR(__xludf.DUMMYFUNCTION("""COMPUTED_VALUE"""),"2nd")</f>
        <v>2nd</v>
      </c>
      <c r="H557" s="8" t="str">
        <f>IFERROR(__xludf.DUMMYFUNCTION("""COMPUTED_VALUE"""),"OH Regional 33")</f>
        <v>OH Regional 33</v>
      </c>
      <c r="I557" s="10">
        <f>IFERROR(__xludf.DUMMYFUNCTION("""COMPUTED_VALUE"""),43252.0)</f>
        <v>43252</v>
      </c>
      <c r="J557" s="10">
        <f>IFERROR(__xludf.DUMMYFUNCTION("""COMPUTED_VALUE"""),44348.0)</f>
        <v>44348</v>
      </c>
      <c r="K557" s="11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9" t="str">
        <f>IFERROR(__xludf.DUMMYFUNCTION("""COMPUTED_VALUE"""),"Naylor")</f>
        <v>Naylor</v>
      </c>
      <c r="B558" s="8" t="str">
        <f>IFERROR(__xludf.DUMMYFUNCTION("""COMPUTED_VALUE"""),"Dan")</f>
        <v>Dan</v>
      </c>
      <c r="C558" s="8" t="str">
        <f>IFERROR(__xludf.DUMMYFUNCTION("""COMPUTED_VALUE"""),"Rocky Point")</f>
        <v>Rocky Point</v>
      </c>
      <c r="D558" s="8" t="str">
        <f>IFERROR(__xludf.DUMMYFUNCTION("""COMPUTED_VALUE"""),"NC")</f>
        <v>NC</v>
      </c>
      <c r="E558" s="8" t="str">
        <f>IFERROR(__xludf.DUMMYFUNCTION("""COMPUTED_VALUE"""),"USA")</f>
        <v>USA</v>
      </c>
      <c r="F558" s="8" t="str">
        <f>IFERROR(__xludf.DUMMYFUNCTION("""COMPUTED_VALUE"""),"Pro Singles")</f>
        <v>Pro Singles</v>
      </c>
      <c r="G558" s="8" t="str">
        <f>IFERROR(__xludf.DUMMYFUNCTION("""COMPUTED_VALUE"""),"1st")</f>
        <v>1st</v>
      </c>
      <c r="H558" s="8" t="str">
        <f>IFERROR(__xludf.DUMMYFUNCTION("""COMPUTED_VALUE"""),"OFF AA IN 20")</f>
        <v>OFF AA IN 20</v>
      </c>
      <c r="I558" s="10">
        <f>IFERROR(__xludf.DUMMYFUNCTION("""COMPUTED_VALUE"""),43252.0)</f>
        <v>43252</v>
      </c>
      <c r="J558" s="10">
        <f>IFERROR(__xludf.DUMMYFUNCTION("""COMPUTED_VALUE"""),44348.0)</f>
        <v>44348</v>
      </c>
      <c r="K558" s="11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9" t="str">
        <f>IFERROR(__xludf.DUMMYFUNCTION("""COMPUTED_VALUE"""),"Neal")</f>
        <v>Neal</v>
      </c>
      <c r="B559" s="8" t="str">
        <f>IFERROR(__xludf.DUMMYFUNCTION("""COMPUTED_VALUE"""),"Brandon")</f>
        <v>Brandon</v>
      </c>
      <c r="C559" s="8" t="str">
        <f>IFERROR(__xludf.DUMMYFUNCTION("""COMPUTED_VALUE"""),"Omaha")</f>
        <v>Omaha</v>
      </c>
      <c r="D559" s="8" t="str">
        <f>IFERROR(__xludf.DUMMYFUNCTION("""COMPUTED_VALUE"""),"NE")</f>
        <v>NE</v>
      </c>
      <c r="E559" s="8" t="str">
        <f>IFERROR(__xludf.DUMMYFUNCTION("""COMPUTED_VALUE"""),"USA")</f>
        <v>USA</v>
      </c>
      <c r="F559" s="8" t="str">
        <f>IFERROR(__xludf.DUMMYFUNCTION("""COMPUTED_VALUE"""),"Pro Doubles 501")</f>
        <v>Pro Doubles 501</v>
      </c>
      <c r="G559" s="8" t="str">
        <f>IFERROR(__xludf.DUMMYFUNCTION("""COMPUTED_VALUE"""),"1st")</f>
        <v>1st</v>
      </c>
      <c r="H559" s="8" t="str">
        <f>IFERROR(__xludf.DUMMYFUNCTION("""COMPUTED_VALUE"""),"Nebraska BS 34")</f>
        <v>Nebraska BS 34</v>
      </c>
      <c r="I559" s="10">
        <f>IFERROR(__xludf.DUMMYFUNCTION("""COMPUTED_VALUE"""),43617.0)</f>
        <v>43617</v>
      </c>
      <c r="J559" s="10">
        <f>IFERROR(__xludf.DUMMYFUNCTION("""COMPUTED_VALUE"""),44713.0)</f>
        <v>44713</v>
      </c>
      <c r="K559" s="11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9" t="str">
        <f>IFERROR(__xludf.DUMMYFUNCTION("""COMPUTED_VALUE"""),"Neal")</f>
        <v>Neal</v>
      </c>
      <c r="B560" s="8" t="str">
        <f>IFERROR(__xludf.DUMMYFUNCTION("""COMPUTED_VALUE"""),"Timothy")</f>
        <v>Timothy</v>
      </c>
      <c r="C560" s="8" t="str">
        <f>IFERROR(__xludf.DUMMYFUNCTION("""COMPUTED_VALUE"""),"Greenwood")</f>
        <v>Greenwood</v>
      </c>
      <c r="D560" s="8" t="str">
        <f>IFERROR(__xludf.DUMMYFUNCTION("""COMPUTED_VALUE"""),"IN")</f>
        <v>IN</v>
      </c>
      <c r="E560" s="8" t="str">
        <f>IFERROR(__xludf.DUMMYFUNCTION("""COMPUTED_VALUE"""),"USA")</f>
        <v>USA</v>
      </c>
      <c r="F560" s="8" t="str">
        <f>IFERROR(__xludf.DUMMYFUNCTION("""COMPUTED_VALUE"""),"Mens Singles Cricket")</f>
        <v>Mens Singles Cricket</v>
      </c>
      <c r="G560" s="8" t="str">
        <f>IFERROR(__xludf.DUMMYFUNCTION("""COMPUTED_VALUE"""),"3rd")</f>
        <v>3rd</v>
      </c>
      <c r="H560" s="8" t="str">
        <f>IFERROR(__xludf.DUMMYFUNCTION("""COMPUTED_VALUE"""),"IN Regional 32")</f>
        <v>IN Regional 32</v>
      </c>
      <c r="I560" s="10">
        <f>IFERROR(__xludf.DUMMYFUNCTION("""COMPUTED_VALUE"""),42887.0)</f>
        <v>42887</v>
      </c>
      <c r="J560" s="10">
        <f>IFERROR(__xludf.DUMMYFUNCTION("""COMPUTED_VALUE"""),43983.0)</f>
        <v>43983</v>
      </c>
      <c r="K560" s="11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9" t="str">
        <f>IFERROR(__xludf.DUMMYFUNCTION("""COMPUTED_VALUE"""),"Nelson")</f>
        <v>Nelson</v>
      </c>
      <c r="B561" s="8" t="str">
        <f>IFERROR(__xludf.DUMMYFUNCTION("""COMPUTED_VALUE"""),"Kevin")</f>
        <v>Kevin</v>
      </c>
      <c r="C561" s="8" t="str">
        <f>IFERROR(__xludf.DUMMYFUNCTION("""COMPUTED_VALUE"""),"Walls")</f>
        <v>Walls</v>
      </c>
      <c r="D561" s="8" t="str">
        <f>IFERROR(__xludf.DUMMYFUNCTION("""COMPUTED_VALUE"""),"MS")</f>
        <v>MS</v>
      </c>
      <c r="E561" s="8" t="str">
        <f>IFERROR(__xludf.DUMMYFUNCTION("""COMPUTED_VALUE"""),"USA")</f>
        <v>USA</v>
      </c>
      <c r="F561" s="8" t="str">
        <f>IFERROR(__xludf.DUMMYFUNCTION("""COMPUTED_VALUE"""),"Men Doubles 501")</f>
        <v>Men Doubles 501</v>
      </c>
      <c r="G561" s="8" t="str">
        <f>IFERROR(__xludf.DUMMYFUNCTION("""COMPUTED_VALUE"""),"1st")</f>
        <v>1st</v>
      </c>
      <c r="H561" s="8" t="str">
        <f>IFERROR(__xludf.DUMMYFUNCTION("""COMPUTED_VALUE"""),"Georgia BS 34")</f>
        <v>Georgia BS 34</v>
      </c>
      <c r="I561" s="10">
        <f>IFERROR(__xludf.DUMMYFUNCTION("""COMPUTED_VALUE"""),43617.0)</f>
        <v>43617</v>
      </c>
      <c r="J561" s="10">
        <f>IFERROR(__xludf.DUMMYFUNCTION("""COMPUTED_VALUE"""),44713.0)</f>
        <v>44713</v>
      </c>
      <c r="K561" s="11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9" t="str">
        <f>IFERROR(__xludf.DUMMYFUNCTION("""COMPUTED_VALUE"""),"Newberry")</f>
        <v>Newberry</v>
      </c>
      <c r="B562" s="8" t="str">
        <f>IFERROR(__xludf.DUMMYFUNCTION("""COMPUTED_VALUE"""),"Lucky")</f>
        <v>Lucky</v>
      </c>
      <c r="C562" s="8" t="str">
        <f>IFERROR(__xludf.DUMMYFUNCTION("""COMPUTED_VALUE"""),"Phoenix")</f>
        <v>Phoenix</v>
      </c>
      <c r="D562" s="8" t="str">
        <f>IFERROR(__xludf.DUMMYFUNCTION("""COMPUTED_VALUE"""),"AZ")</f>
        <v>AZ</v>
      </c>
      <c r="E562" s="8" t="str">
        <f>IFERROR(__xludf.DUMMYFUNCTION("""COMPUTED_VALUE"""),"USA")</f>
        <v>USA</v>
      </c>
      <c r="F562" s="8" t="str">
        <f>IFERROR(__xludf.DUMMYFUNCTION("""COMPUTED_VALUE"""),"Known Pro")</f>
        <v>Known Pro</v>
      </c>
      <c r="G562" s="8" t="str">
        <f>IFERROR(__xludf.DUMMYFUNCTION("""COMPUTED_VALUE"""),"")</f>
        <v/>
      </c>
      <c r="H562" s="8" t="str">
        <f>IFERROR(__xludf.DUMMYFUNCTION("""COMPUTED_VALUE"""),"Known Ability")</f>
        <v>Known Ability</v>
      </c>
      <c r="I562" s="10">
        <f>IFERROR(__xludf.DUMMYFUNCTION("""COMPUTED_VALUE"""),38124.0)</f>
        <v>38124</v>
      </c>
      <c r="J562" s="10">
        <f>IFERROR(__xludf.DUMMYFUNCTION("""COMPUTED_VALUE"""),45809.0)</f>
        <v>45809</v>
      </c>
      <c r="K562" s="11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9" t="str">
        <f>IFERROR(__xludf.DUMMYFUNCTION("""COMPUTED_VALUE"""),"Newcomer")</f>
        <v>Newcomer</v>
      </c>
      <c r="B563" s="8" t="str">
        <f>IFERROR(__xludf.DUMMYFUNCTION("""COMPUTED_VALUE"""),"Curtis")</f>
        <v>Curtis</v>
      </c>
      <c r="C563" s="8" t="str">
        <f>IFERROR(__xludf.DUMMYFUNCTION("""COMPUTED_VALUE"""),"Pasadena")</f>
        <v>Pasadena</v>
      </c>
      <c r="D563" s="8" t="str">
        <f>IFERROR(__xludf.DUMMYFUNCTION("""COMPUTED_VALUE"""),"TX")</f>
        <v>TX</v>
      </c>
      <c r="E563" s="8" t="str">
        <f>IFERROR(__xludf.DUMMYFUNCTION("""COMPUTED_VALUE"""),"USA")</f>
        <v>USA</v>
      </c>
      <c r="F563" s="8" t="str">
        <f>IFERROR(__xludf.DUMMYFUNCTION("""COMPUTED_VALUE"""),"Pro Doubles 501")</f>
        <v>Pro Doubles 501</v>
      </c>
      <c r="G563" s="8" t="str">
        <f>IFERROR(__xludf.DUMMYFUNCTION("""COMPUTED_VALUE"""),"2nd")</f>
        <v>2nd</v>
      </c>
      <c r="H563" s="8" t="str">
        <f>IFERROR(__xludf.DUMMYFUNCTION("""COMPUTED_VALUE"""),"Texas BS 34")</f>
        <v>Texas BS 34</v>
      </c>
      <c r="I563" s="10">
        <f>IFERROR(__xludf.DUMMYFUNCTION("""COMPUTED_VALUE"""),43617.0)</f>
        <v>43617</v>
      </c>
      <c r="J563" s="10">
        <f>IFERROR(__xludf.DUMMYFUNCTION("""COMPUTED_VALUE"""),44713.0)</f>
        <v>44713</v>
      </c>
      <c r="K563" s="11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9" t="str">
        <f>IFERROR(__xludf.DUMMYFUNCTION("""COMPUTED_VALUE"""),"Newton")</f>
        <v>Newton</v>
      </c>
      <c r="B564" s="8" t="str">
        <f>IFERROR(__xludf.DUMMYFUNCTION("""COMPUTED_VALUE"""),"Wesley")</f>
        <v>Wesley</v>
      </c>
      <c r="C564" s="8" t="str">
        <f>IFERROR(__xludf.DUMMYFUNCTION("""COMPUTED_VALUE"""),"ENG")</f>
        <v>ENG</v>
      </c>
      <c r="D564" s="8" t="str">
        <f>IFERROR(__xludf.DUMMYFUNCTION("""COMPUTED_VALUE"""),"UNK")</f>
        <v>UNK</v>
      </c>
      <c r="E564" s="8" t="str">
        <f>IFERROR(__xludf.DUMMYFUNCTION("""COMPUTED_VALUE"""),"England")</f>
        <v>England</v>
      </c>
      <c r="F564" s="8" t="str">
        <f>IFERROR(__xludf.DUMMYFUNCTION("""COMPUTED_VALUE"""),"PDC Merit Ranking")</f>
        <v>PDC Merit Ranking</v>
      </c>
      <c r="G564" s="8" t="str">
        <f>IFERROR(__xludf.DUMMYFUNCTION("""COMPUTED_VALUE"""),"24th")</f>
        <v>24th</v>
      </c>
      <c r="H564" s="8" t="str">
        <f>IFERROR(__xludf.DUMMYFUNCTION("""COMPUTED_VALUE"""),"PDC Merit Ranking")</f>
        <v>PDC Merit Ranking</v>
      </c>
      <c r="I564" s="10">
        <f>IFERROR(__xludf.DUMMYFUNCTION("""COMPUTED_VALUE"""),42401.0)</f>
        <v>42401</v>
      </c>
      <c r="J564" s="10">
        <f>IFERROR(__xludf.DUMMYFUNCTION("""COMPUTED_VALUE"""),44713.0)</f>
        <v>44713</v>
      </c>
      <c r="K564" s="11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9" t="str">
        <f>IFERROR(__xludf.DUMMYFUNCTION("""COMPUTED_VALUE"""),"Nichols")</f>
        <v>Nichols</v>
      </c>
      <c r="B565" s="8" t="str">
        <f>IFERROR(__xludf.DUMMYFUNCTION("""COMPUTED_VALUE"""),"Jack")</f>
        <v>Jack</v>
      </c>
      <c r="C565" s="8" t="str">
        <f>IFERROR(__xludf.DUMMYFUNCTION("""COMPUTED_VALUE"""),"Canonsburg")</f>
        <v>Canonsburg</v>
      </c>
      <c r="D565" s="8" t="str">
        <f>IFERROR(__xludf.DUMMYFUNCTION("""COMPUTED_VALUE"""),"PA")</f>
        <v>PA</v>
      </c>
      <c r="E565" s="8" t="str">
        <f>IFERROR(__xludf.DUMMYFUNCTION("""COMPUTED_VALUE"""),"USA")</f>
        <v>USA</v>
      </c>
      <c r="F565" s="8" t="str">
        <f>IFERROR(__xludf.DUMMYFUNCTION("""COMPUTED_VALUE"""),"Mens Doubles")</f>
        <v>Mens Doubles</v>
      </c>
      <c r="G565" s="8" t="str">
        <f>IFERROR(__xludf.DUMMYFUNCTION("""COMPUTED_VALUE"""),"3rd")</f>
        <v>3rd</v>
      </c>
      <c r="H565" s="8" t="str">
        <f>IFERROR(__xludf.DUMMYFUNCTION("""COMPUTED_VALUE"""),"NY Regional 33")</f>
        <v>NY Regional 33</v>
      </c>
      <c r="I565" s="10">
        <f>IFERROR(__xludf.DUMMYFUNCTION("""COMPUTED_VALUE"""),43252.0)</f>
        <v>43252</v>
      </c>
      <c r="J565" s="10">
        <f>IFERROR(__xludf.DUMMYFUNCTION("""COMPUTED_VALUE"""),44348.0)</f>
        <v>44348</v>
      </c>
      <c r="K565" s="11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9" t="str">
        <f>IFERROR(__xludf.DUMMYFUNCTION("""COMPUTED_VALUE"""),"Nichols")</f>
        <v>Nichols</v>
      </c>
      <c r="B566" s="8" t="str">
        <f>IFERROR(__xludf.DUMMYFUNCTION("""COMPUTED_VALUE"""),"Mike")</f>
        <v>Mike</v>
      </c>
      <c r="C566" s="8" t="str">
        <f>IFERROR(__xludf.DUMMYFUNCTION("""COMPUTED_VALUE"""),"Anaheim")</f>
        <v>Anaheim</v>
      </c>
      <c r="D566" s="8" t="str">
        <f>IFERROR(__xludf.DUMMYFUNCTION("""COMPUTED_VALUE"""),"CA")</f>
        <v>CA</v>
      </c>
      <c r="E566" s="8" t="str">
        <f>IFERROR(__xludf.DUMMYFUNCTION("""COMPUTED_VALUE"""),"USA")</f>
        <v>USA</v>
      </c>
      <c r="F566" s="8" t="str">
        <f>IFERROR(__xludf.DUMMYFUNCTION("""COMPUTED_VALUE"""),"Mens Cricket Doubles")</f>
        <v>Mens Cricket Doubles</v>
      </c>
      <c r="G566" s="8" t="str">
        <f>IFERROR(__xludf.DUMMYFUNCTION("""COMPUTED_VALUE"""),"2nd")</f>
        <v>2nd</v>
      </c>
      <c r="H566" s="8" t="str">
        <f>IFERROR(__xludf.DUMMYFUNCTION("""COMPUTED_VALUE"""),"NV Regional 32")</f>
        <v>NV Regional 32</v>
      </c>
      <c r="I566" s="10">
        <f>IFERROR(__xludf.DUMMYFUNCTION("""COMPUTED_VALUE"""),42887.0)</f>
        <v>42887</v>
      </c>
      <c r="J566" s="10">
        <f>IFERROR(__xludf.DUMMYFUNCTION("""COMPUTED_VALUE"""),43983.0)</f>
        <v>43983</v>
      </c>
      <c r="K566" s="11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9" t="str">
        <f>IFERROR(__xludf.DUMMYFUNCTION("""COMPUTED_VALUE"""),"Nicholson")</f>
        <v>Nicholson</v>
      </c>
      <c r="B567" s="8" t="str">
        <f>IFERROR(__xludf.DUMMYFUNCTION("""COMPUTED_VALUE"""),"Paul")</f>
        <v>Paul</v>
      </c>
      <c r="C567" s="8" t="str">
        <f>IFERROR(__xludf.DUMMYFUNCTION("""COMPUTED_VALUE"""),"")</f>
        <v/>
      </c>
      <c r="D567" s="8" t="str">
        <f>IFERROR(__xludf.DUMMYFUNCTION("""COMPUTED_VALUE"""),"UNK")</f>
        <v>UNK</v>
      </c>
      <c r="E567" s="8" t="str">
        <f>IFERROR(__xludf.DUMMYFUNCTION("""COMPUTED_VALUE"""),"Australia")</f>
        <v>Australia</v>
      </c>
      <c r="F567" s="8" t="str">
        <f>IFERROR(__xludf.DUMMYFUNCTION("""COMPUTED_VALUE"""),"PDC Merit Ranking")</f>
        <v>PDC Merit Ranking</v>
      </c>
      <c r="G567" s="8" t="str">
        <f>IFERROR(__xludf.DUMMYFUNCTION("""COMPUTED_VALUE"""),"54th")</f>
        <v>54th</v>
      </c>
      <c r="H567" s="8" t="str">
        <f>IFERROR(__xludf.DUMMYFUNCTION("""COMPUTED_VALUE"""),"PDC Merit Ranking")</f>
        <v>PDC Merit Ranking</v>
      </c>
      <c r="I567" s="10">
        <f>IFERROR(__xludf.DUMMYFUNCTION("""COMPUTED_VALUE"""),42401.0)</f>
        <v>42401</v>
      </c>
      <c r="J567" s="10">
        <f>IFERROR(__xludf.DUMMYFUNCTION("""COMPUTED_VALUE"""),44713.0)</f>
        <v>44713</v>
      </c>
      <c r="K567" s="11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9" t="str">
        <f>IFERROR(__xludf.DUMMYFUNCTION("""COMPUTED_VALUE"""),"Nippert")</f>
        <v>Nippert</v>
      </c>
      <c r="B568" s="8" t="str">
        <f>IFERROR(__xludf.DUMMYFUNCTION("""COMPUTED_VALUE"""),"Donnie")</f>
        <v>Donnie</v>
      </c>
      <c r="C568" s="8" t="str">
        <f>IFERROR(__xludf.DUMMYFUNCTION("""COMPUTED_VALUE"""),"Harlan")</f>
        <v>Harlan</v>
      </c>
      <c r="D568" s="8" t="str">
        <f>IFERROR(__xludf.DUMMYFUNCTION("""COMPUTED_VALUE"""),"IA")</f>
        <v>IA</v>
      </c>
      <c r="E568" s="8" t="str">
        <f>IFERROR(__xludf.DUMMYFUNCTION("""COMPUTED_VALUE"""),"USA")</f>
        <v>USA</v>
      </c>
      <c r="F568" s="8" t="str">
        <f>IFERROR(__xludf.DUMMYFUNCTION("""COMPUTED_VALUE"""),"Mixed Triples")</f>
        <v>Mixed Triples</v>
      </c>
      <c r="G568" s="8" t="str">
        <f>IFERROR(__xludf.DUMMYFUNCTION("""COMPUTED_VALUE"""),"1st")</f>
        <v>1st</v>
      </c>
      <c r="H568" s="8" t="str">
        <f>IFERROR(__xludf.DUMMYFUNCTION("""COMPUTED_VALUE"""),"NE Regional 32")</f>
        <v>NE Regional 32</v>
      </c>
      <c r="I568" s="10">
        <f>IFERROR(__xludf.DUMMYFUNCTION("""COMPUTED_VALUE"""),42887.0)</f>
        <v>42887</v>
      </c>
      <c r="J568" s="10">
        <f>IFERROR(__xludf.DUMMYFUNCTION("""COMPUTED_VALUE"""),43983.0)</f>
        <v>43983</v>
      </c>
      <c r="K568" s="11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9" t="str">
        <f>IFERROR(__xludf.DUMMYFUNCTION("""COMPUTED_VALUE"""),"Noguera Perea")</f>
        <v>Noguera Perea</v>
      </c>
      <c r="B569" s="8" t="str">
        <f>IFERROR(__xludf.DUMMYFUNCTION("""COMPUTED_VALUE"""),"Jesus")</f>
        <v>Jesus</v>
      </c>
      <c r="C569" s="8" t="str">
        <f>IFERROR(__xludf.DUMMYFUNCTION("""COMPUTED_VALUE"""),"")</f>
        <v/>
      </c>
      <c r="D569" s="8" t="str">
        <f>IFERROR(__xludf.DUMMYFUNCTION("""COMPUTED_VALUE"""),"UNK")</f>
        <v>UNK</v>
      </c>
      <c r="E569" s="8" t="str">
        <f>IFERROR(__xludf.DUMMYFUNCTION("""COMPUTED_VALUE"""),"Spain")</f>
        <v>Spain</v>
      </c>
      <c r="F569" s="8" t="str">
        <f>IFERROR(__xludf.DUMMYFUNCTION("""COMPUTED_VALUE"""),"Pro AA Doubles")</f>
        <v>Pro AA Doubles</v>
      </c>
      <c r="G569" s="8" t="str">
        <f>IFERROR(__xludf.DUMMYFUNCTION("""COMPUTED_VALUE"""),"2nd")</f>
        <v>2nd</v>
      </c>
      <c r="H569" s="8" t="str">
        <f>IFERROR(__xludf.DUMMYFUNCTION("""COMPUTED_VALUE"""),"BullShooter 31")</f>
        <v>BullShooter 31</v>
      </c>
      <c r="I569" s="10">
        <f>IFERROR(__xludf.DUMMYFUNCTION("""COMPUTED_VALUE"""),42522.0)</f>
        <v>42522</v>
      </c>
      <c r="J569" s="10">
        <f>IFERROR(__xludf.DUMMYFUNCTION("""COMPUTED_VALUE"""),44713.0)</f>
        <v>44713</v>
      </c>
      <c r="K569" s="11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9" t="str">
        <f>IFERROR(__xludf.DUMMYFUNCTION("""COMPUTED_VALUE"""),"Nolte Jr")</f>
        <v>Nolte Jr</v>
      </c>
      <c r="B570" s="8" t="str">
        <f>IFERROR(__xludf.DUMMYFUNCTION("""COMPUTED_VALUE"""),"James")</f>
        <v>James</v>
      </c>
      <c r="C570" s="8" t="str">
        <f>IFERROR(__xludf.DUMMYFUNCTION("""COMPUTED_VALUE"""),"Lake City")</f>
        <v>Lake City</v>
      </c>
      <c r="D570" s="8" t="str">
        <f>IFERROR(__xludf.DUMMYFUNCTION("""COMPUTED_VALUE"""),"FL")</f>
        <v>FL</v>
      </c>
      <c r="E570" s="8" t="str">
        <f>IFERROR(__xludf.DUMMYFUNCTION("""COMPUTED_VALUE"""),"USA")</f>
        <v>USA</v>
      </c>
      <c r="F570" s="8" t="str">
        <f>IFERROR(__xludf.DUMMYFUNCTION("""COMPUTED_VALUE"""),"Mixed Cricket")</f>
        <v>Mixed Cricket</v>
      </c>
      <c r="G570" s="8" t="str">
        <f>IFERROR(__xludf.DUMMYFUNCTION("""COMPUTED_VALUE"""),"2nd")</f>
        <v>2nd</v>
      </c>
      <c r="H570" s="8" t="str">
        <f>IFERROR(__xludf.DUMMYFUNCTION("""COMPUTED_VALUE"""),"BS 33 Finals")</f>
        <v>BS 33 Finals</v>
      </c>
      <c r="I570" s="10">
        <f>IFERROR(__xludf.DUMMYFUNCTION("""COMPUTED_VALUE"""),43252.0)</f>
        <v>43252</v>
      </c>
      <c r="J570" s="10">
        <f>IFERROR(__xludf.DUMMYFUNCTION("""COMPUTED_VALUE"""),44348.0)</f>
        <v>44348</v>
      </c>
      <c r="K570" s="11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9" t="str">
        <f>IFERROR(__xludf.DUMMYFUNCTION("""COMPUTED_VALUE"""),"Norhisame")</f>
        <v>Norhisame</v>
      </c>
      <c r="B571" s="8" t="str">
        <f>IFERROR(__xludf.DUMMYFUNCTION("""COMPUTED_VALUE"""),"")</f>
        <v/>
      </c>
      <c r="C571" s="8" t="str">
        <f>IFERROR(__xludf.DUMMYFUNCTION("""COMPUTED_VALUE"""),"")</f>
        <v/>
      </c>
      <c r="D571" s="8" t="str">
        <f>IFERROR(__xludf.DUMMYFUNCTION("""COMPUTED_VALUE"""),"UNK")</f>
        <v>UNK</v>
      </c>
      <c r="E571" s="8" t="str">
        <f>IFERROR(__xludf.DUMMYFUNCTION("""COMPUTED_VALUE"""),"Malaysia")</f>
        <v>Malaysia</v>
      </c>
      <c r="F571" s="8" t="str">
        <f>IFERROR(__xludf.DUMMYFUNCTION("""COMPUTED_VALUE"""),"DL")</f>
        <v>DL</v>
      </c>
      <c r="G571" s="8" t="str">
        <f>IFERROR(__xludf.DUMMYFUNCTION("""COMPUTED_VALUE"""),"14th")</f>
        <v>14th</v>
      </c>
      <c r="H571" s="8" t="str">
        <f>IFERROR(__xludf.DUMMYFUNCTION("""COMPUTED_VALUE"""),"DL")</f>
        <v>DL</v>
      </c>
      <c r="I571" s="10">
        <f>IFERROR(__xludf.DUMMYFUNCTION("""COMPUTED_VALUE"""),42401.0)</f>
        <v>42401</v>
      </c>
      <c r="J571" s="10">
        <f>IFERROR(__xludf.DUMMYFUNCTION("""COMPUTED_VALUE"""),44713.0)</f>
        <v>44713</v>
      </c>
      <c r="K571" s="11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9" t="str">
        <f>IFERROR(__xludf.DUMMYFUNCTION("""COMPUTED_VALUE"""),"Norris")</f>
        <v>Norris</v>
      </c>
      <c r="B572" s="8" t="str">
        <f>IFERROR(__xludf.DUMMYFUNCTION("""COMPUTED_VALUE"""),"Christopher")</f>
        <v>Christopher</v>
      </c>
      <c r="C572" s="8" t="str">
        <f>IFERROR(__xludf.DUMMYFUNCTION("""COMPUTED_VALUE"""),"Tampa")</f>
        <v>Tampa</v>
      </c>
      <c r="D572" s="8" t="str">
        <f>IFERROR(__xludf.DUMMYFUNCTION("""COMPUTED_VALUE"""),"FL")</f>
        <v>FL</v>
      </c>
      <c r="E572" s="8" t="str">
        <f>IFERROR(__xludf.DUMMYFUNCTION("""COMPUTED_VALUE"""),"USA")</f>
        <v>USA</v>
      </c>
      <c r="F572" s="8" t="str">
        <f>IFERROR(__xludf.DUMMYFUNCTION("""COMPUTED_VALUE"""),"Mens Singles")</f>
        <v>Mens Singles</v>
      </c>
      <c r="G572" s="8" t="str">
        <f>IFERROR(__xludf.DUMMYFUNCTION("""COMPUTED_VALUE"""),"1st")</f>
        <v>1st</v>
      </c>
      <c r="H572" s="8" t="str">
        <f>IFERROR(__xludf.DUMMYFUNCTION("""COMPUTED_VALUE"""),"Florida Regional 32")</f>
        <v>Florida Regional 32</v>
      </c>
      <c r="I572" s="10">
        <f>IFERROR(__xludf.DUMMYFUNCTION("""COMPUTED_VALUE"""),42887.0)</f>
        <v>42887</v>
      </c>
      <c r="J572" s="10">
        <f>IFERROR(__xludf.DUMMYFUNCTION("""COMPUTED_VALUE"""),43983.0)</f>
        <v>43983</v>
      </c>
      <c r="K572" s="11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9" t="str">
        <f>IFERROR(__xludf.DUMMYFUNCTION("""COMPUTED_VALUE"""),"Novak")</f>
        <v>Novak</v>
      </c>
      <c r="B573" s="8" t="str">
        <f>IFERROR(__xludf.DUMMYFUNCTION("""COMPUTED_VALUE"""),"Albert")</f>
        <v>Albert</v>
      </c>
      <c r="C573" s="8" t="str">
        <f>IFERROR(__xludf.DUMMYFUNCTION("""COMPUTED_VALUE"""),"Kenosha")</f>
        <v>Kenosha</v>
      </c>
      <c r="D573" s="8" t="str">
        <f>IFERROR(__xludf.DUMMYFUNCTION("""COMPUTED_VALUE"""),"WI")</f>
        <v>WI</v>
      </c>
      <c r="E573" s="8" t="str">
        <f>IFERROR(__xludf.DUMMYFUNCTION("""COMPUTED_VALUE"""),"USA")</f>
        <v>USA</v>
      </c>
      <c r="F573" s="8" t="str">
        <f>IFERROR(__xludf.DUMMYFUNCTION("""COMPUTED_VALUE"""),"Pro Doubles")</f>
        <v>Pro Doubles</v>
      </c>
      <c r="G573" s="8" t="str">
        <f>IFERROR(__xludf.DUMMYFUNCTION("""COMPUTED_VALUE"""),"4th")</f>
        <v>4th</v>
      </c>
      <c r="H573" s="8" t="str">
        <f>IFERROR(__xludf.DUMMYFUNCTION("""COMPUTED_VALUE"""),"BullShooter 31")</f>
        <v>BullShooter 31</v>
      </c>
      <c r="I573" s="10">
        <f>IFERROR(__xludf.DUMMYFUNCTION("""COMPUTED_VALUE"""),42522.0)</f>
        <v>42522</v>
      </c>
      <c r="J573" s="10">
        <f>IFERROR(__xludf.DUMMYFUNCTION("""COMPUTED_VALUE"""),44713.0)</f>
        <v>44713</v>
      </c>
      <c r="K573" s="11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9" t="str">
        <f>IFERROR(__xludf.DUMMYFUNCTION("""COMPUTED_VALUE"""),"Novo")</f>
        <v>Novo</v>
      </c>
      <c r="B574" s="8" t="str">
        <f>IFERROR(__xludf.DUMMYFUNCTION("""COMPUTED_VALUE"""),"Michel")</f>
        <v>Michel</v>
      </c>
      <c r="C574" s="8" t="str">
        <f>IFERROR(__xludf.DUMMYFUNCTION("""COMPUTED_VALUE"""),"")</f>
        <v/>
      </c>
      <c r="D574" s="8" t="str">
        <f>IFERROR(__xludf.DUMMYFUNCTION("""COMPUTED_VALUE"""),"UNK")</f>
        <v>UNK</v>
      </c>
      <c r="E574" s="8" t="str">
        <f>IFERROR(__xludf.DUMMYFUNCTION("""COMPUTED_VALUE"""),"Belgium")</f>
        <v>Belgium</v>
      </c>
      <c r="F574" s="8" t="str">
        <f>IFERROR(__xludf.DUMMYFUNCTION("""COMPUTED_VALUE"""),"Known Pro")</f>
        <v>Known Pro</v>
      </c>
      <c r="G574" s="8" t="str">
        <f>IFERROR(__xludf.DUMMYFUNCTION("""COMPUTED_VALUE"""),"")</f>
        <v/>
      </c>
      <c r="H574" s="8" t="str">
        <f>IFERROR(__xludf.DUMMYFUNCTION("""COMPUTED_VALUE"""),"Known Ability")</f>
        <v>Known Ability</v>
      </c>
      <c r="I574" s="10">
        <f>IFERROR(__xludf.DUMMYFUNCTION("""COMPUTED_VALUE"""),36892.0)</f>
        <v>36892</v>
      </c>
      <c r="J574" s="10">
        <f>IFERROR(__xludf.DUMMYFUNCTION("""COMPUTED_VALUE"""),45809.0)</f>
        <v>45809</v>
      </c>
      <c r="K574" s="11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9" t="str">
        <f>IFERROR(__xludf.DUMMYFUNCTION("""COMPUTED_VALUE"""),"Nutter")</f>
        <v>Nutter</v>
      </c>
      <c r="B575" s="8" t="str">
        <f>IFERROR(__xludf.DUMMYFUNCTION("""COMPUTED_VALUE"""),"Allan")</f>
        <v>Allan</v>
      </c>
      <c r="C575" s="8" t="str">
        <f>IFERROR(__xludf.DUMMYFUNCTION("""COMPUTED_VALUE"""),"")</f>
        <v/>
      </c>
      <c r="D575" s="8" t="str">
        <f>IFERROR(__xludf.DUMMYFUNCTION("""COMPUTED_VALUE"""),"CA")</f>
        <v>CA</v>
      </c>
      <c r="E575" s="8" t="str">
        <f>IFERROR(__xludf.DUMMYFUNCTION("""COMPUTED_VALUE"""),"USA")</f>
        <v>USA</v>
      </c>
      <c r="F575" s="8" t="str">
        <f>IFERROR(__xludf.DUMMYFUNCTION("""COMPUTED_VALUE"""),"Mens Doubles")</f>
        <v>Mens Doubles</v>
      </c>
      <c r="G575" s="8" t="str">
        <f>IFERROR(__xludf.DUMMYFUNCTION("""COMPUTED_VALUE"""),"3rd")</f>
        <v>3rd</v>
      </c>
      <c r="H575" s="8" t="str">
        <f>IFERROR(__xludf.DUMMYFUNCTION("""COMPUTED_VALUE"""),"CA Regional 33")</f>
        <v>CA Regional 33</v>
      </c>
      <c r="I575" s="10">
        <f>IFERROR(__xludf.DUMMYFUNCTION("""COMPUTED_VALUE"""),43252.0)</f>
        <v>43252</v>
      </c>
      <c r="J575" s="10">
        <f>IFERROR(__xludf.DUMMYFUNCTION("""COMPUTED_VALUE"""),44348.0)</f>
        <v>44348</v>
      </c>
      <c r="K575" s="11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9" t="str">
        <f>IFERROR(__xludf.DUMMYFUNCTION("""COMPUTED_VALUE"""),"O'Brien")</f>
        <v>O'Brien</v>
      </c>
      <c r="B576" s="8" t="str">
        <f>IFERROR(__xludf.DUMMYFUNCTION("""COMPUTED_VALUE"""),"Chris")</f>
        <v>Chris</v>
      </c>
      <c r="C576" s="8" t="str">
        <f>IFERROR(__xludf.DUMMYFUNCTION("""COMPUTED_VALUE"""),"Indianapolis")</f>
        <v>Indianapolis</v>
      </c>
      <c r="D576" s="8" t="str">
        <f>IFERROR(__xludf.DUMMYFUNCTION("""COMPUTED_VALUE"""),"IN")</f>
        <v>IN</v>
      </c>
      <c r="E576" s="8" t="str">
        <f>IFERROR(__xludf.DUMMYFUNCTION("""COMPUTED_VALUE"""),"USA")</f>
        <v>USA</v>
      </c>
      <c r="F576" s="8" t="str">
        <f>IFERROR(__xludf.DUMMYFUNCTION("""COMPUTED_VALUE"""),"Mens Cricket Doubles")</f>
        <v>Mens Cricket Doubles</v>
      </c>
      <c r="G576" s="8" t="str">
        <f>IFERROR(__xludf.DUMMYFUNCTION("""COMPUTED_VALUE"""),"3rd")</f>
        <v>3rd</v>
      </c>
      <c r="H576" s="8" t="str">
        <f>IFERROR(__xludf.DUMMYFUNCTION("""COMPUTED_VALUE"""),"OH Regional 33")</f>
        <v>OH Regional 33</v>
      </c>
      <c r="I576" s="10">
        <f>IFERROR(__xludf.DUMMYFUNCTION("""COMPUTED_VALUE"""),43252.0)</f>
        <v>43252</v>
      </c>
      <c r="J576" s="10">
        <f>IFERROR(__xludf.DUMMYFUNCTION("""COMPUTED_VALUE"""),44348.0)</f>
        <v>44348</v>
      </c>
      <c r="K576" s="11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9" t="str">
        <f>IFERROR(__xludf.DUMMYFUNCTION("""COMPUTED_VALUE"""),"O'Neill")</f>
        <v>O'Neill</v>
      </c>
      <c r="B577" s="8" t="str">
        <f>IFERROR(__xludf.DUMMYFUNCTION("""COMPUTED_VALUE"""),"Joseph")</f>
        <v>Joseph</v>
      </c>
      <c r="C577" s="8" t="str">
        <f>IFERROR(__xludf.DUMMYFUNCTION("""COMPUTED_VALUE"""),"Leeds")</f>
        <v>Leeds</v>
      </c>
      <c r="D577" s="8" t="str">
        <f>IFERROR(__xludf.DUMMYFUNCTION("""COMPUTED_VALUE"""),"AL")</f>
        <v>AL</v>
      </c>
      <c r="E577" s="8" t="str">
        <f>IFERROR(__xludf.DUMMYFUNCTION("""COMPUTED_VALUE"""),"USA")</f>
        <v>USA</v>
      </c>
      <c r="F577" s="8" t="str">
        <f>IFERROR(__xludf.DUMMYFUNCTION("""COMPUTED_VALUE"""),"Mens Cricket Doubles")</f>
        <v>Mens Cricket Doubles</v>
      </c>
      <c r="G577" s="8" t="str">
        <f>IFERROR(__xludf.DUMMYFUNCTION("""COMPUTED_VALUE"""),"2nd")</f>
        <v>2nd</v>
      </c>
      <c r="H577" s="8" t="str">
        <f>IFERROR(__xludf.DUMMYFUNCTION("""COMPUTED_VALUE"""),"TN Regional 33")</f>
        <v>TN Regional 33</v>
      </c>
      <c r="I577" s="10">
        <f>IFERROR(__xludf.DUMMYFUNCTION("""COMPUTED_VALUE"""),43252.0)</f>
        <v>43252</v>
      </c>
      <c r="J577" s="10">
        <f>IFERROR(__xludf.DUMMYFUNCTION("""COMPUTED_VALUE"""),44348.0)</f>
        <v>44348</v>
      </c>
      <c r="K577" s="11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9" t="str">
        <f>IFERROR(__xludf.DUMMYFUNCTION("""COMPUTED_VALUE"""),"Obrecht")</f>
        <v>Obrecht</v>
      </c>
      <c r="B578" s="8" t="str">
        <f>IFERROR(__xludf.DUMMYFUNCTION("""COMPUTED_VALUE"""),"Brian")</f>
        <v>Brian</v>
      </c>
      <c r="C578" s="8" t="str">
        <f>IFERROR(__xludf.DUMMYFUNCTION("""COMPUTED_VALUE"""),"Winfield")</f>
        <v>Winfield</v>
      </c>
      <c r="D578" s="8" t="str">
        <f>IFERROR(__xludf.DUMMYFUNCTION("""COMPUTED_VALUE"""),"MO")</f>
        <v>MO</v>
      </c>
      <c r="E578" s="8" t="str">
        <f>IFERROR(__xludf.DUMMYFUNCTION("""COMPUTED_VALUE"""),"USA")</f>
        <v>USA</v>
      </c>
      <c r="F578" s="8" t="str">
        <f>IFERROR(__xludf.DUMMYFUNCTION("""COMPUTED_VALUE"""),"Mens Doubles")</f>
        <v>Mens Doubles</v>
      </c>
      <c r="G578" s="8" t="str">
        <f>IFERROR(__xludf.DUMMYFUNCTION("""COMPUTED_VALUE"""),"2nd")</f>
        <v>2nd</v>
      </c>
      <c r="H578" s="8" t="str">
        <f>IFERROR(__xludf.DUMMYFUNCTION("""COMPUTED_VALUE"""),"TN Regional 32")</f>
        <v>TN Regional 32</v>
      </c>
      <c r="I578" s="10">
        <f>IFERROR(__xludf.DUMMYFUNCTION("""COMPUTED_VALUE"""),42887.0)</f>
        <v>42887</v>
      </c>
      <c r="J578" s="10">
        <f>IFERROR(__xludf.DUMMYFUNCTION("""COMPUTED_VALUE"""),43983.0)</f>
        <v>43983</v>
      </c>
      <c r="K578" s="11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9" t="str">
        <f>IFERROR(__xludf.DUMMYFUNCTION("""COMPUTED_VALUE"""),"OConnor")</f>
        <v>OConnor</v>
      </c>
      <c r="B579" s="8" t="str">
        <f>IFERROR(__xludf.DUMMYFUNCTION("""COMPUTED_VALUE"""),"William")</f>
        <v>William</v>
      </c>
      <c r="C579" s="8" t="str">
        <f>IFERROR(__xludf.DUMMYFUNCTION("""COMPUTED_VALUE"""),"")</f>
        <v/>
      </c>
      <c r="D579" s="8" t="str">
        <f>IFERROR(__xludf.DUMMYFUNCTION("""COMPUTED_VALUE"""),"UNK")</f>
        <v>UNK</v>
      </c>
      <c r="E579" s="8" t="str">
        <f>IFERROR(__xludf.DUMMYFUNCTION("""COMPUTED_VALUE"""),"Ireland")</f>
        <v>Ireland</v>
      </c>
      <c r="F579" s="8" t="str">
        <f>IFERROR(__xludf.DUMMYFUNCTION("""COMPUTED_VALUE"""),"PDC Merit Ranking")</f>
        <v>PDC Merit Ranking</v>
      </c>
      <c r="G579" s="8" t="str">
        <f>IFERROR(__xludf.DUMMYFUNCTION("""COMPUTED_VALUE"""),"67th")</f>
        <v>67th</v>
      </c>
      <c r="H579" s="8" t="str">
        <f>IFERROR(__xludf.DUMMYFUNCTION("""COMPUTED_VALUE"""),"PDC Merit Ranking")</f>
        <v>PDC Merit Ranking</v>
      </c>
      <c r="I579" s="10">
        <f>IFERROR(__xludf.DUMMYFUNCTION("""COMPUTED_VALUE"""),42401.0)</f>
        <v>42401</v>
      </c>
      <c r="J579" s="10">
        <f>IFERROR(__xludf.DUMMYFUNCTION("""COMPUTED_VALUE"""),44713.0)</f>
        <v>44713</v>
      </c>
      <c r="K579" s="11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9" t="str">
        <f>IFERROR(__xludf.DUMMYFUNCTION("""COMPUTED_VALUE"""),"Odell")</f>
        <v>Odell</v>
      </c>
      <c r="B580" s="8" t="str">
        <f>IFERROR(__xludf.DUMMYFUNCTION("""COMPUTED_VALUE"""),"Shaler")</f>
        <v>Shaler</v>
      </c>
      <c r="C580" s="8" t="str">
        <f>IFERROR(__xludf.DUMMYFUNCTION("""COMPUTED_VALUE"""),"New Carlislle")</f>
        <v>New Carlislle</v>
      </c>
      <c r="D580" s="8" t="str">
        <f>IFERROR(__xludf.DUMMYFUNCTION("""COMPUTED_VALUE"""),"OH")</f>
        <v>OH</v>
      </c>
      <c r="E580" s="8" t="str">
        <f>IFERROR(__xludf.DUMMYFUNCTION("""COMPUTED_VALUE"""),"USA")</f>
        <v>USA</v>
      </c>
      <c r="F580" s="8" t="str">
        <f>IFERROR(__xludf.DUMMYFUNCTION("""COMPUTED_VALUE"""),"Men Doubles 501")</f>
        <v>Men Doubles 501</v>
      </c>
      <c r="G580" s="8" t="str">
        <f>IFERROR(__xludf.DUMMYFUNCTION("""COMPUTED_VALUE"""),"2nd")</f>
        <v>2nd</v>
      </c>
      <c r="H580" s="8" t="str">
        <f>IFERROR(__xludf.DUMMYFUNCTION("""COMPUTED_VALUE"""),"Ohio BS 34")</f>
        <v>Ohio BS 34</v>
      </c>
      <c r="I580" s="10">
        <f>IFERROR(__xludf.DUMMYFUNCTION("""COMPUTED_VALUE"""),43617.0)</f>
        <v>43617</v>
      </c>
      <c r="J580" s="10">
        <f>IFERROR(__xludf.DUMMYFUNCTION("""COMPUTED_VALUE"""),44713.0)</f>
        <v>44713</v>
      </c>
      <c r="K580" s="11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9" t="str">
        <f>IFERROR(__xludf.DUMMYFUNCTION("""COMPUTED_VALUE"""),"OGorman")</f>
        <v>OGorman</v>
      </c>
      <c r="B581" s="8" t="str">
        <f>IFERROR(__xludf.DUMMYFUNCTION("""COMPUTED_VALUE"""),"Tim")</f>
        <v>Tim</v>
      </c>
      <c r="C581" s="8" t="str">
        <f>IFERROR(__xludf.DUMMYFUNCTION("""COMPUTED_VALUE"""),"")</f>
        <v/>
      </c>
      <c r="D581" s="8" t="str">
        <f>IFERROR(__xludf.DUMMYFUNCTION("""COMPUTED_VALUE"""),"NY")</f>
        <v>NY</v>
      </c>
      <c r="E581" s="8" t="str">
        <f>IFERROR(__xludf.DUMMYFUNCTION("""COMPUTED_VALUE"""),"USA")</f>
        <v>USA</v>
      </c>
      <c r="F581" s="8" t="str">
        <f>IFERROR(__xludf.DUMMYFUNCTION("""COMPUTED_VALUE"""),"ADO 2014")</f>
        <v>ADO 2014</v>
      </c>
      <c r="G581" s="8" t="str">
        <f>IFERROR(__xludf.DUMMYFUNCTION("""COMPUTED_VALUE"""),"44th")</f>
        <v>44th</v>
      </c>
      <c r="H581" s="8" t="str">
        <f>IFERROR(__xludf.DUMMYFUNCTION("""COMPUTED_VALUE"""),"Off AA List")</f>
        <v>Off AA List</v>
      </c>
      <c r="I581" s="10">
        <f>IFERROR(__xludf.DUMMYFUNCTION("""COMPUTED_VALUE"""),42887.0)</f>
        <v>42887</v>
      </c>
      <c r="J581" s="10">
        <f>IFERROR(__xludf.DUMMYFUNCTION("""COMPUTED_VALUE"""),43983.0)</f>
        <v>43983</v>
      </c>
      <c r="K581" s="11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9" t="str">
        <f>IFERROR(__xludf.DUMMYFUNCTION("""COMPUTED_VALUE"""),"Ohlsen")</f>
        <v>Ohlsen</v>
      </c>
      <c r="B582" s="8" t="str">
        <f>IFERROR(__xludf.DUMMYFUNCTION("""COMPUTED_VALUE"""),"Dylan")</f>
        <v>Dylan</v>
      </c>
      <c r="C582" s="8" t="str">
        <f>IFERROR(__xludf.DUMMYFUNCTION("""COMPUTED_VALUE"""),"Brookings")</f>
        <v>Brookings</v>
      </c>
      <c r="D582" s="8" t="str">
        <f>IFERROR(__xludf.DUMMYFUNCTION("""COMPUTED_VALUE"""),"SD")</f>
        <v>SD</v>
      </c>
      <c r="E582" s="8" t="str">
        <f>IFERROR(__xludf.DUMMYFUNCTION("""COMPUTED_VALUE"""),"USA")</f>
        <v>USA</v>
      </c>
      <c r="F582" s="8" t="str">
        <f>IFERROR(__xludf.DUMMYFUNCTION("""COMPUTED_VALUE"""),"Mens Doubles")</f>
        <v>Mens Doubles</v>
      </c>
      <c r="G582" s="8" t="str">
        <f>IFERROR(__xludf.DUMMYFUNCTION("""COMPUTED_VALUE"""),"3rd")</f>
        <v>3rd</v>
      </c>
      <c r="H582" s="8" t="str">
        <f>IFERROR(__xludf.DUMMYFUNCTION("""COMPUTED_VALUE"""),"NE Regional 33")</f>
        <v>NE Regional 33</v>
      </c>
      <c r="I582" s="10">
        <f>IFERROR(__xludf.DUMMYFUNCTION("""COMPUTED_VALUE"""),43252.0)</f>
        <v>43252</v>
      </c>
      <c r="J582" s="10">
        <f>IFERROR(__xludf.DUMMYFUNCTION("""COMPUTED_VALUE"""),44348.0)</f>
        <v>44348</v>
      </c>
      <c r="K582" s="11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9" t="str">
        <f>IFERROR(__xludf.DUMMYFUNCTION("""COMPUTED_VALUE"""),"Olic")</f>
        <v>Olic</v>
      </c>
      <c r="B583" s="8" t="str">
        <f>IFERROR(__xludf.DUMMYFUNCTION("""COMPUTED_VALUE"""),"Andrew")</f>
        <v>Andrew</v>
      </c>
      <c r="C583" s="8" t="str">
        <f>IFERROR(__xludf.DUMMYFUNCTION("""COMPUTED_VALUE"""),"Lorain")</f>
        <v>Lorain</v>
      </c>
      <c r="D583" s="8" t="str">
        <f>IFERROR(__xludf.DUMMYFUNCTION("""COMPUTED_VALUE"""),"OH")</f>
        <v>OH</v>
      </c>
      <c r="E583" s="8" t="str">
        <f>IFERROR(__xludf.DUMMYFUNCTION("""COMPUTED_VALUE"""),"USA")</f>
        <v>USA</v>
      </c>
      <c r="F583" s="8" t="str">
        <f>IFERROR(__xludf.DUMMYFUNCTION("""COMPUTED_VALUE"""),"Pro Doubles 501")</f>
        <v>Pro Doubles 501</v>
      </c>
      <c r="G583" s="8" t="str">
        <f>IFERROR(__xludf.DUMMYFUNCTION("""COMPUTED_VALUE"""),"3rd")</f>
        <v>3rd</v>
      </c>
      <c r="H583" s="8" t="str">
        <f>IFERROR(__xludf.DUMMYFUNCTION("""COMPUTED_VALUE"""),"Ohio BS 34")</f>
        <v>Ohio BS 34</v>
      </c>
      <c r="I583" s="10">
        <f>IFERROR(__xludf.DUMMYFUNCTION("""COMPUTED_VALUE"""),43617.0)</f>
        <v>43617</v>
      </c>
      <c r="J583" s="10">
        <f>IFERROR(__xludf.DUMMYFUNCTION("""COMPUTED_VALUE"""),44713.0)</f>
        <v>44713</v>
      </c>
      <c r="K583" s="11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9" t="str">
        <f>IFERROR(__xludf.DUMMYFUNCTION("""COMPUTED_VALUE"""),"Olson")</f>
        <v>Olson</v>
      </c>
      <c r="B584" s="8" t="str">
        <f>IFERROR(__xludf.DUMMYFUNCTION("""COMPUTED_VALUE"""),"John")</f>
        <v>John</v>
      </c>
      <c r="C584" s="8" t="str">
        <f>IFERROR(__xludf.DUMMYFUNCTION("""COMPUTED_VALUE"""),"Rhinelander")</f>
        <v>Rhinelander</v>
      </c>
      <c r="D584" s="8" t="str">
        <f>IFERROR(__xludf.DUMMYFUNCTION("""COMPUTED_VALUE"""),"WI")</f>
        <v>WI</v>
      </c>
      <c r="E584" s="8" t="str">
        <f>IFERROR(__xludf.DUMMYFUNCTION("""COMPUTED_VALUE"""),"USA")</f>
        <v>USA</v>
      </c>
      <c r="F584" s="8" t="str">
        <f>IFERROR(__xludf.DUMMYFUNCTION("""COMPUTED_VALUE"""),"TopGun Men Singles")</f>
        <v>TopGun Men Singles</v>
      </c>
      <c r="G584" s="8" t="str">
        <f>IFERROR(__xludf.DUMMYFUNCTION("""COMPUTED_VALUE"""),"3rd")</f>
        <v>3rd</v>
      </c>
      <c r="H584" s="8" t="str">
        <f>IFERROR(__xludf.DUMMYFUNCTION("""COMPUTED_VALUE"""),"BullShooter 34 Finals")</f>
        <v>BullShooter 34 Finals</v>
      </c>
      <c r="I584" s="10">
        <f>IFERROR(__xludf.DUMMYFUNCTION("""COMPUTED_VALUE"""),43617.0)</f>
        <v>43617</v>
      </c>
      <c r="J584" s="10">
        <f>IFERROR(__xludf.DUMMYFUNCTION("""COMPUTED_VALUE"""),44713.0)</f>
        <v>44713</v>
      </c>
      <c r="K584" s="11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9" t="str">
        <f>IFERROR(__xludf.DUMMYFUNCTION("""COMPUTED_VALUE"""),"Orders")</f>
        <v>Orders</v>
      </c>
      <c r="B585" s="8" t="str">
        <f>IFERROR(__xludf.DUMMYFUNCTION("""COMPUTED_VALUE"""),"Kevin")</f>
        <v>Kevin</v>
      </c>
      <c r="C585" s="8" t="str">
        <f>IFERROR(__xludf.DUMMYFUNCTION("""COMPUTED_VALUE"""),"Grove City")</f>
        <v>Grove City</v>
      </c>
      <c r="D585" s="8" t="str">
        <f>IFERROR(__xludf.DUMMYFUNCTION("""COMPUTED_VALUE"""),"OH")</f>
        <v>OH</v>
      </c>
      <c r="E585" s="8" t="str">
        <f>IFERROR(__xludf.DUMMYFUNCTION("""COMPUTED_VALUE"""),"USA")</f>
        <v>USA</v>
      </c>
      <c r="F585" s="8" t="str">
        <f>IFERROR(__xludf.DUMMYFUNCTION("""COMPUTED_VALUE"""),"Mens Doubles")</f>
        <v>Mens Doubles</v>
      </c>
      <c r="G585" s="8" t="str">
        <f>IFERROR(__xludf.DUMMYFUNCTION("""COMPUTED_VALUE"""),"1st")</f>
        <v>1st</v>
      </c>
      <c r="H585" s="8" t="str">
        <f>IFERROR(__xludf.DUMMYFUNCTION("""COMPUTED_VALUE"""),"OH Regional 32")</f>
        <v>OH Regional 32</v>
      </c>
      <c r="I585" s="10">
        <f>IFERROR(__xludf.DUMMYFUNCTION("""COMPUTED_VALUE"""),42887.0)</f>
        <v>42887</v>
      </c>
      <c r="J585" s="10">
        <f>IFERROR(__xludf.DUMMYFUNCTION("""COMPUTED_VALUE"""),43983.0)</f>
        <v>43983</v>
      </c>
      <c r="K585" s="11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9" t="str">
        <f>IFERROR(__xludf.DUMMYFUNCTION("""COMPUTED_VALUE"""),"Osborne")</f>
        <v>Osborne</v>
      </c>
      <c r="B586" s="8" t="str">
        <f>IFERROR(__xludf.DUMMYFUNCTION("""COMPUTED_VALUE"""),"Colin")</f>
        <v>Colin</v>
      </c>
      <c r="C586" s="8" t="str">
        <f>IFERROR(__xludf.DUMMYFUNCTION("""COMPUTED_VALUE"""),"")</f>
        <v/>
      </c>
      <c r="D586" s="8" t="str">
        <f>IFERROR(__xludf.DUMMYFUNCTION("""COMPUTED_VALUE"""),"UNK")</f>
        <v>UNK</v>
      </c>
      <c r="E586" s="8" t="str">
        <f>IFERROR(__xludf.DUMMYFUNCTION("""COMPUTED_VALUE"""),"England")</f>
        <v>England</v>
      </c>
      <c r="F586" s="8" t="str">
        <f>IFERROR(__xludf.DUMMYFUNCTION("""COMPUTED_VALUE"""),"PDC Merit Ranking")</f>
        <v>PDC Merit Ranking</v>
      </c>
      <c r="G586" s="8" t="str">
        <f>IFERROR(__xludf.DUMMYFUNCTION("""COMPUTED_VALUE"""),"36th")</f>
        <v>36th</v>
      </c>
      <c r="H586" s="8" t="str">
        <f>IFERROR(__xludf.DUMMYFUNCTION("""COMPUTED_VALUE"""),"Off AA List")</f>
        <v>Off AA List</v>
      </c>
      <c r="I586" s="10">
        <f>IFERROR(__xludf.DUMMYFUNCTION("""COMPUTED_VALUE"""),42887.0)</f>
        <v>42887</v>
      </c>
      <c r="J586" s="10">
        <f>IFERROR(__xludf.DUMMYFUNCTION("""COMPUTED_VALUE"""),43983.0)</f>
        <v>43983</v>
      </c>
      <c r="K586" s="11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9" t="str">
        <f>IFERROR(__xludf.DUMMYFUNCTION("""COMPUTED_VALUE"""),"Ovens")</f>
        <v>Ovens</v>
      </c>
      <c r="B587" s="8" t="str">
        <f>IFERROR(__xludf.DUMMYFUNCTION("""COMPUTED_VALUE"""),"Denis")</f>
        <v>Denis</v>
      </c>
      <c r="C587" s="8" t="str">
        <f>IFERROR(__xludf.DUMMYFUNCTION("""COMPUTED_VALUE"""),"")</f>
        <v/>
      </c>
      <c r="D587" s="8" t="str">
        <f>IFERROR(__xludf.DUMMYFUNCTION("""COMPUTED_VALUE"""),"UNK")</f>
        <v>UNK</v>
      </c>
      <c r="E587" s="8" t="str">
        <f>IFERROR(__xludf.DUMMYFUNCTION("""COMPUTED_VALUE"""),"USA")</f>
        <v>USA</v>
      </c>
      <c r="F587" s="8" t="str">
        <f>IFERROR(__xludf.DUMMYFUNCTION("""COMPUTED_VALUE"""),"PDC Merit Ranking")</f>
        <v>PDC Merit Ranking</v>
      </c>
      <c r="G587" s="8" t="str">
        <f>IFERROR(__xludf.DUMMYFUNCTION("""COMPUTED_VALUE"""),"50th")</f>
        <v>50th</v>
      </c>
      <c r="H587" s="8" t="str">
        <f>IFERROR(__xludf.DUMMYFUNCTION("""COMPUTED_VALUE"""),"Off AA List")</f>
        <v>Off AA List</v>
      </c>
      <c r="I587" s="10">
        <f>IFERROR(__xludf.DUMMYFUNCTION("""COMPUTED_VALUE"""),42887.0)</f>
        <v>42887</v>
      </c>
      <c r="J587" s="10">
        <f>IFERROR(__xludf.DUMMYFUNCTION("""COMPUTED_VALUE"""),43983.0)</f>
        <v>43983</v>
      </c>
      <c r="K587" s="11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9" t="str">
        <f>IFERROR(__xludf.DUMMYFUNCTION("""COMPUTED_VALUE"""),"Owen")</f>
        <v>Owen</v>
      </c>
      <c r="B588" s="8" t="str">
        <f>IFERROR(__xludf.DUMMYFUNCTION("""COMPUTED_VALUE"""),"Naomi")</f>
        <v>Naomi</v>
      </c>
      <c r="C588" s="8" t="str">
        <f>IFERROR(__xludf.DUMMYFUNCTION("""COMPUTED_VALUE"""),"")</f>
        <v/>
      </c>
      <c r="D588" s="8" t="str">
        <f>IFERROR(__xludf.DUMMYFUNCTION("""COMPUTED_VALUE"""),"UNK")</f>
        <v>UNK</v>
      </c>
      <c r="E588" s="8" t="str">
        <f>IFERROR(__xludf.DUMMYFUNCTION("""COMPUTED_VALUE"""),"Japan")</f>
        <v>Japan</v>
      </c>
      <c r="F588" s="8" t="str">
        <f>IFERROR(__xludf.DUMMYFUNCTION("""COMPUTED_VALUE"""),"DL")</f>
        <v>DL</v>
      </c>
      <c r="G588" s="8" t="str">
        <f>IFERROR(__xludf.DUMMYFUNCTION("""COMPUTED_VALUE"""),"68th")</f>
        <v>68th</v>
      </c>
      <c r="H588" s="8" t="str">
        <f>IFERROR(__xludf.DUMMYFUNCTION("""COMPUTED_VALUE"""),"DL")</f>
        <v>DL</v>
      </c>
      <c r="I588" s="10">
        <f>IFERROR(__xludf.DUMMYFUNCTION("""COMPUTED_VALUE"""),42401.0)</f>
        <v>42401</v>
      </c>
      <c r="J588" s="10">
        <f>IFERROR(__xludf.DUMMYFUNCTION("""COMPUTED_VALUE"""),44713.0)</f>
        <v>44713</v>
      </c>
      <c r="K588" s="11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9" t="str">
        <f>IFERROR(__xludf.DUMMYFUNCTION("""COMPUTED_VALUE"""),"Owens")</f>
        <v>Owens</v>
      </c>
      <c r="B589" s="8" t="str">
        <f>IFERROR(__xludf.DUMMYFUNCTION("""COMPUTED_VALUE"""),"Bob")</f>
        <v>Bob</v>
      </c>
      <c r="C589" s="8" t="str">
        <f>IFERROR(__xludf.DUMMYFUNCTION("""COMPUTED_VALUE"""),"Cypress")</f>
        <v>Cypress</v>
      </c>
      <c r="D589" s="8" t="str">
        <f>IFERROR(__xludf.DUMMYFUNCTION("""COMPUTED_VALUE"""),"TX")</f>
        <v>TX</v>
      </c>
      <c r="E589" s="8" t="str">
        <f>IFERROR(__xludf.DUMMYFUNCTION("""COMPUTED_VALUE"""),"USA")</f>
        <v>USA</v>
      </c>
      <c r="F589" s="8" t="str">
        <f>IFERROR(__xludf.DUMMYFUNCTION("""COMPUTED_VALUE"""),"Mens Doubles")</f>
        <v>Mens Doubles</v>
      </c>
      <c r="G589" s="8" t="str">
        <f>IFERROR(__xludf.DUMMYFUNCTION("""COMPUTED_VALUE"""),"3rd")</f>
        <v>3rd</v>
      </c>
      <c r="H589" s="8" t="str">
        <f>IFERROR(__xludf.DUMMYFUNCTION("""COMPUTED_VALUE"""),"TX Regional 33")</f>
        <v>TX Regional 33</v>
      </c>
      <c r="I589" s="10">
        <f>IFERROR(__xludf.DUMMYFUNCTION("""COMPUTED_VALUE"""),43252.0)</f>
        <v>43252</v>
      </c>
      <c r="J589" s="10">
        <f>IFERROR(__xludf.DUMMYFUNCTION("""COMPUTED_VALUE"""),44348.0)</f>
        <v>44348</v>
      </c>
      <c r="K589" s="11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9" t="str">
        <f>IFERROR(__xludf.DUMMYFUNCTION("""COMPUTED_VALUE"""),"Pace")</f>
        <v>Pace</v>
      </c>
      <c r="B590" s="8" t="str">
        <f>IFERROR(__xludf.DUMMYFUNCTION("""COMPUTED_VALUE"""),"Tom")</f>
        <v>Tom</v>
      </c>
      <c r="C590" s="8" t="str">
        <f>IFERROR(__xludf.DUMMYFUNCTION("""COMPUTED_VALUE"""),"Nashville")</f>
        <v>Nashville</v>
      </c>
      <c r="D590" s="8" t="str">
        <f>IFERROR(__xludf.DUMMYFUNCTION("""COMPUTED_VALUE"""),"TN")</f>
        <v>TN</v>
      </c>
      <c r="E590" s="8" t="str">
        <f>IFERROR(__xludf.DUMMYFUNCTION("""COMPUTED_VALUE"""),"USA")</f>
        <v>USA</v>
      </c>
      <c r="F590" s="8" t="str">
        <f>IFERROR(__xludf.DUMMYFUNCTION("""COMPUTED_VALUE"""),"Known Pro")</f>
        <v>Known Pro</v>
      </c>
      <c r="G590" s="8" t="str">
        <f>IFERROR(__xludf.DUMMYFUNCTION("""COMPUTED_VALUE"""),"")</f>
        <v/>
      </c>
      <c r="H590" s="8" t="str">
        <f>IFERROR(__xludf.DUMMYFUNCTION("""COMPUTED_VALUE"""),"Known Ability")</f>
        <v>Known Ability</v>
      </c>
      <c r="I590" s="10">
        <f>IFERROR(__xludf.DUMMYFUNCTION("""COMPUTED_VALUE"""),36892.0)</f>
        <v>36892</v>
      </c>
      <c r="J590" s="10">
        <f>IFERROR(__xludf.DUMMYFUNCTION("""COMPUTED_VALUE"""),45809.0)</f>
        <v>45809</v>
      </c>
      <c r="K590" s="11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9" t="str">
        <f>IFERROR(__xludf.DUMMYFUNCTION("""COMPUTED_VALUE"""),"Paiz")</f>
        <v>Paiz</v>
      </c>
      <c r="B591" s="8" t="str">
        <f>IFERROR(__xludf.DUMMYFUNCTION("""COMPUTED_VALUE"""),"Fidel")</f>
        <v>Fidel</v>
      </c>
      <c r="C591" s="8" t="str">
        <f>IFERROR(__xludf.DUMMYFUNCTION("""COMPUTED_VALUE"""),"San Antonio")</f>
        <v>San Antonio</v>
      </c>
      <c r="D591" s="8" t="str">
        <f>IFERROR(__xludf.DUMMYFUNCTION("""COMPUTED_VALUE"""),"TX")</f>
        <v>TX</v>
      </c>
      <c r="E591" s="8" t="str">
        <f>IFERROR(__xludf.DUMMYFUNCTION("""COMPUTED_VALUE"""),"USA")</f>
        <v>USA</v>
      </c>
      <c r="F591" s="8" t="str">
        <f>IFERROR(__xludf.DUMMYFUNCTION("""COMPUTED_VALUE"""),"Mens Cricket Doubles")</f>
        <v>Mens Cricket Doubles</v>
      </c>
      <c r="G591" s="8" t="str">
        <f>IFERROR(__xludf.DUMMYFUNCTION("""COMPUTED_VALUE"""),"1st")</f>
        <v>1st</v>
      </c>
      <c r="H591" s="8" t="str">
        <f>IFERROR(__xludf.DUMMYFUNCTION("""COMPUTED_VALUE"""),"TX Regional 32")</f>
        <v>TX Regional 32</v>
      </c>
      <c r="I591" s="10">
        <f>IFERROR(__xludf.DUMMYFUNCTION("""COMPUTED_VALUE"""),42887.0)</f>
        <v>42887</v>
      </c>
      <c r="J591" s="10">
        <f>IFERROR(__xludf.DUMMYFUNCTION("""COMPUTED_VALUE"""),43983.0)</f>
        <v>43983</v>
      </c>
      <c r="K591" s="11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9" t="str">
        <f>IFERROR(__xludf.DUMMYFUNCTION("""COMPUTED_VALUE"""),"Pallett")</f>
        <v>Pallett</v>
      </c>
      <c r="B592" s="8" t="str">
        <f>IFERROR(__xludf.DUMMYFUNCTION("""COMPUTED_VALUE"""),"David")</f>
        <v>David</v>
      </c>
      <c r="C592" s="8" t="str">
        <f>IFERROR(__xludf.DUMMYFUNCTION("""COMPUTED_VALUE"""),"")</f>
        <v/>
      </c>
      <c r="D592" s="8" t="str">
        <f>IFERROR(__xludf.DUMMYFUNCTION("""COMPUTED_VALUE"""),"UNK")</f>
        <v>UNK</v>
      </c>
      <c r="E592" s="8" t="str">
        <f>IFERROR(__xludf.DUMMYFUNCTION("""COMPUTED_VALUE"""),"England")</f>
        <v>England</v>
      </c>
      <c r="F592" s="8" t="str">
        <f>IFERROR(__xludf.DUMMYFUNCTION("""COMPUTED_VALUE"""),"PDC Merit Ranking")</f>
        <v>PDC Merit Ranking</v>
      </c>
      <c r="G592" s="8" t="str">
        <f>IFERROR(__xludf.DUMMYFUNCTION("""COMPUTED_VALUE"""),"51st")</f>
        <v>51st</v>
      </c>
      <c r="H592" s="8" t="str">
        <f>IFERROR(__xludf.DUMMYFUNCTION("""COMPUTED_VALUE"""),"PDC Merit Ranking")</f>
        <v>PDC Merit Ranking</v>
      </c>
      <c r="I592" s="10">
        <f>IFERROR(__xludf.DUMMYFUNCTION("""COMPUTED_VALUE"""),42401.0)</f>
        <v>42401</v>
      </c>
      <c r="J592" s="10">
        <f>IFERROR(__xludf.DUMMYFUNCTION("""COMPUTED_VALUE"""),44713.0)</f>
        <v>44713</v>
      </c>
      <c r="K592" s="11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9" t="str">
        <f>IFERROR(__xludf.DUMMYFUNCTION("""COMPUTED_VALUE"""),"Palumbi")</f>
        <v>Palumbi</v>
      </c>
      <c r="B593" s="8" t="str">
        <f>IFERROR(__xludf.DUMMYFUNCTION("""COMPUTED_VALUE"""),"Lucas")</f>
        <v>Lucas</v>
      </c>
      <c r="C593" s="8" t="str">
        <f>IFERROR(__xludf.DUMMYFUNCTION("""COMPUTED_VALUE"""),"Pittsburgh")</f>
        <v>Pittsburgh</v>
      </c>
      <c r="D593" s="8" t="str">
        <f>IFERROR(__xludf.DUMMYFUNCTION("""COMPUTED_VALUE"""),"PA")</f>
        <v>PA</v>
      </c>
      <c r="E593" s="8" t="str">
        <f>IFERROR(__xludf.DUMMYFUNCTION("""COMPUTED_VALUE"""),"USA")</f>
        <v>USA</v>
      </c>
      <c r="F593" s="8" t="str">
        <f>IFERROR(__xludf.DUMMYFUNCTION("""COMPUTED_VALUE"""),"Mixed Triples")</f>
        <v>Mixed Triples</v>
      </c>
      <c r="G593" s="8" t="str">
        <f>IFERROR(__xludf.DUMMYFUNCTION("""COMPUTED_VALUE"""),"1st")</f>
        <v>1st</v>
      </c>
      <c r="H593" s="8" t="str">
        <f>IFERROR(__xludf.DUMMYFUNCTION("""COMPUTED_VALUE"""),"SC Regional 33")</f>
        <v>SC Regional 33</v>
      </c>
      <c r="I593" s="10">
        <f>IFERROR(__xludf.DUMMYFUNCTION("""COMPUTED_VALUE"""),43252.0)</f>
        <v>43252</v>
      </c>
      <c r="J593" s="10">
        <f>IFERROR(__xludf.DUMMYFUNCTION("""COMPUTED_VALUE"""),44348.0)</f>
        <v>44348</v>
      </c>
      <c r="K593" s="11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9" t="str">
        <f>IFERROR(__xludf.DUMMYFUNCTION("""COMPUTED_VALUE"""),"Pardo Sanz")</f>
        <v>Pardo Sanz</v>
      </c>
      <c r="B594" s="8" t="str">
        <f>IFERROR(__xludf.DUMMYFUNCTION("""COMPUTED_VALUE"""),"Julio")</f>
        <v>Julio</v>
      </c>
      <c r="C594" s="8" t="str">
        <f>IFERROR(__xludf.DUMMYFUNCTION("""COMPUTED_VALUE"""),"")</f>
        <v/>
      </c>
      <c r="D594" s="8" t="str">
        <f>IFERROR(__xludf.DUMMYFUNCTION("""COMPUTED_VALUE"""),"")</f>
        <v/>
      </c>
      <c r="E594" s="8" t="str">
        <f>IFERROR(__xludf.DUMMYFUNCTION("""COMPUTED_VALUE"""),"Spain")</f>
        <v>Spain</v>
      </c>
      <c r="F594" s="8" t="str">
        <f>IFERROR(__xludf.DUMMYFUNCTION("""COMPUTED_VALUE"""),"Team Cricket Pro")</f>
        <v>Team Cricket Pro</v>
      </c>
      <c r="G594" s="8" t="str">
        <f>IFERROR(__xludf.DUMMYFUNCTION("""COMPUTED_VALUE"""),"2nd")</f>
        <v>2nd</v>
      </c>
      <c r="H594" s="8" t="str">
        <f>IFERROR(__xludf.DUMMYFUNCTION("""COMPUTED_VALUE"""),"Off AA List")</f>
        <v>Off AA List</v>
      </c>
      <c r="I594" s="10">
        <f>IFERROR(__xludf.DUMMYFUNCTION("""COMPUTED_VALUE"""),42887.0)</f>
        <v>42887</v>
      </c>
      <c r="J594" s="10">
        <f>IFERROR(__xludf.DUMMYFUNCTION("""COMPUTED_VALUE"""),43983.0)</f>
        <v>43983</v>
      </c>
      <c r="K594" s="11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9" t="str">
        <f>IFERROR(__xludf.DUMMYFUNCTION("""COMPUTED_VALUE"""),"Parent")</f>
        <v>Parent</v>
      </c>
      <c r="B595" s="8" t="str">
        <f>IFERROR(__xludf.DUMMYFUNCTION("""COMPUTED_VALUE"""),"Chris")</f>
        <v>Chris</v>
      </c>
      <c r="C595" s="8" t="str">
        <f>IFERROR(__xludf.DUMMYFUNCTION("""COMPUTED_VALUE"""),"West Chazy")</f>
        <v>West Chazy</v>
      </c>
      <c r="D595" s="8" t="str">
        <f>IFERROR(__xludf.DUMMYFUNCTION("""COMPUTED_VALUE"""),"NY")</f>
        <v>NY</v>
      </c>
      <c r="E595" s="8" t="str">
        <f>IFERROR(__xludf.DUMMYFUNCTION("""COMPUTED_VALUE"""),"USA")</f>
        <v>USA</v>
      </c>
      <c r="F595" s="8" t="str">
        <f>IFERROR(__xludf.DUMMYFUNCTION("""COMPUTED_VALUE"""),"Mens Doubles")</f>
        <v>Mens Doubles</v>
      </c>
      <c r="G595" s="8" t="str">
        <f>IFERROR(__xludf.DUMMYFUNCTION("""COMPUTED_VALUE"""),"1st")</f>
        <v>1st</v>
      </c>
      <c r="H595" s="8" t="str">
        <f>IFERROR(__xludf.DUMMYFUNCTION("""COMPUTED_VALUE"""),"NY Regional 32")</f>
        <v>NY Regional 32</v>
      </c>
      <c r="I595" s="10">
        <f>IFERROR(__xludf.DUMMYFUNCTION("""COMPUTED_VALUE"""),42887.0)</f>
        <v>42887</v>
      </c>
      <c r="J595" s="10">
        <f>IFERROR(__xludf.DUMMYFUNCTION("""COMPUTED_VALUE"""),43983.0)</f>
        <v>43983</v>
      </c>
      <c r="K595" s="11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9" t="str">
        <f>IFERROR(__xludf.DUMMYFUNCTION("""COMPUTED_VALUE"""),"Parker")</f>
        <v>Parker</v>
      </c>
      <c r="B596" s="8" t="str">
        <f>IFERROR(__xludf.DUMMYFUNCTION("""COMPUTED_VALUE"""),"Kenny")</f>
        <v>Kenny</v>
      </c>
      <c r="C596" s="8" t="str">
        <f>IFERROR(__xludf.DUMMYFUNCTION("""COMPUTED_VALUE"""),"")</f>
        <v/>
      </c>
      <c r="D596" s="8" t="str">
        <f>IFERROR(__xludf.DUMMYFUNCTION("""COMPUTED_VALUE"""),"")</f>
        <v/>
      </c>
      <c r="E596" s="8" t="str">
        <f>IFERROR(__xludf.DUMMYFUNCTION("""COMPUTED_VALUE"""),"UNK")</f>
        <v>UNK</v>
      </c>
      <c r="F596" s="8" t="str">
        <f>IFERROR(__xludf.DUMMYFUNCTION("""COMPUTED_VALUE"""),"ADO 2014")</f>
        <v>ADO 2014</v>
      </c>
      <c r="G596" s="8" t="str">
        <f>IFERROR(__xludf.DUMMYFUNCTION("""COMPUTED_VALUE"""),"48th")</f>
        <v>48th</v>
      </c>
      <c r="H596" s="8" t="str">
        <f>IFERROR(__xludf.DUMMYFUNCTION("""COMPUTED_VALUE"""),"Off AA List")</f>
        <v>Off AA List</v>
      </c>
      <c r="I596" s="10">
        <f>IFERROR(__xludf.DUMMYFUNCTION("""COMPUTED_VALUE"""),42887.0)</f>
        <v>42887</v>
      </c>
      <c r="J596" s="10">
        <f>IFERROR(__xludf.DUMMYFUNCTION("""COMPUTED_VALUE"""),43983.0)</f>
        <v>43983</v>
      </c>
      <c r="K596" s="11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9" t="str">
        <f>IFERROR(__xludf.DUMMYFUNCTION("""COMPUTED_VALUE"""),"Parker")</f>
        <v>Parker</v>
      </c>
      <c r="B597" s="8" t="str">
        <f>IFERROR(__xludf.DUMMYFUNCTION("""COMPUTED_VALUE"""),"Terry")</f>
        <v>Terry</v>
      </c>
      <c r="C597" s="8" t="str">
        <f>IFERROR(__xludf.DUMMYFUNCTION("""COMPUTED_VALUE"""),"Winter Springs")</f>
        <v>Winter Springs</v>
      </c>
      <c r="D597" s="8" t="str">
        <f>IFERROR(__xludf.DUMMYFUNCTION("""COMPUTED_VALUE"""),"FL")</f>
        <v>FL</v>
      </c>
      <c r="E597" s="8" t="str">
        <f>IFERROR(__xludf.DUMMYFUNCTION("""COMPUTED_VALUE"""),"USA")</f>
        <v>USA</v>
      </c>
      <c r="F597" s="8" t="str">
        <f>IFERROR(__xludf.DUMMYFUNCTION("""COMPUTED_VALUE"""),"Cricket Doubles")</f>
        <v>Cricket Doubles</v>
      </c>
      <c r="G597" s="8" t="str">
        <f>IFERROR(__xludf.DUMMYFUNCTION("""COMPUTED_VALUE"""),"3rd")</f>
        <v>3rd</v>
      </c>
      <c r="H597" s="8" t="str">
        <f>IFERROR(__xludf.DUMMYFUNCTION("""COMPUTED_VALUE"""),"BS 33 Finals")</f>
        <v>BS 33 Finals</v>
      </c>
      <c r="I597" s="10">
        <f>IFERROR(__xludf.DUMMYFUNCTION("""COMPUTED_VALUE"""),43252.0)</f>
        <v>43252</v>
      </c>
      <c r="J597" s="10">
        <f>IFERROR(__xludf.DUMMYFUNCTION("""COMPUTED_VALUE"""),44348.0)</f>
        <v>44348</v>
      </c>
      <c r="K597" s="11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9" t="str">
        <f>IFERROR(__xludf.DUMMYFUNCTION("""COMPUTED_VALUE"""),"Parks")</f>
        <v>Parks</v>
      </c>
      <c r="B598" s="8" t="str">
        <f>IFERROR(__xludf.DUMMYFUNCTION("""COMPUTED_VALUE"""),"Christopher")</f>
        <v>Christopher</v>
      </c>
      <c r="C598" s="8" t="str">
        <f>IFERROR(__xludf.DUMMYFUNCTION("""COMPUTED_VALUE"""),"Kenosha")</f>
        <v>Kenosha</v>
      </c>
      <c r="D598" s="8" t="str">
        <f>IFERROR(__xludf.DUMMYFUNCTION("""COMPUTED_VALUE"""),"WI")</f>
        <v>WI</v>
      </c>
      <c r="E598" s="8" t="str">
        <f>IFERROR(__xludf.DUMMYFUNCTION("""COMPUTED_VALUE"""),"USA")</f>
        <v>USA</v>
      </c>
      <c r="F598" s="8" t="str">
        <f>IFERROR(__xludf.DUMMYFUNCTION("""COMPUTED_VALUE"""),"Pro Doubles")</f>
        <v>Pro Doubles</v>
      </c>
      <c r="G598" s="8" t="str">
        <f>IFERROR(__xludf.DUMMYFUNCTION("""COMPUTED_VALUE"""),"4th")</f>
        <v>4th</v>
      </c>
      <c r="H598" s="8" t="str">
        <f>IFERROR(__xludf.DUMMYFUNCTION("""COMPUTED_VALUE"""),"BullShooter 31")</f>
        <v>BullShooter 31</v>
      </c>
      <c r="I598" s="10">
        <f>IFERROR(__xludf.DUMMYFUNCTION("""COMPUTED_VALUE"""),42522.0)</f>
        <v>42522</v>
      </c>
      <c r="J598" s="10">
        <f>IFERROR(__xludf.DUMMYFUNCTION("""COMPUTED_VALUE"""),44713.0)</f>
        <v>44713</v>
      </c>
      <c r="K598" s="11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9" t="str">
        <f>IFERROR(__xludf.DUMMYFUNCTION("""COMPUTED_VALUE"""),"Parr")</f>
        <v>Parr</v>
      </c>
      <c r="B599" s="8" t="str">
        <f>IFERROR(__xludf.DUMMYFUNCTION("""COMPUTED_VALUE"""),"Kevin")</f>
        <v>Kevin</v>
      </c>
      <c r="C599" s="8" t="str">
        <f>IFERROR(__xludf.DUMMYFUNCTION("""COMPUTED_VALUE"""),"")</f>
        <v/>
      </c>
      <c r="D599" s="8" t="str">
        <f>IFERROR(__xludf.DUMMYFUNCTION("""COMPUTED_VALUE"""),"")</f>
        <v/>
      </c>
      <c r="E599" s="8" t="str">
        <f>IFERROR(__xludf.DUMMYFUNCTION("""COMPUTED_VALUE"""),"Canada")</f>
        <v>Canada</v>
      </c>
      <c r="F599" s="8" t="str">
        <f>IFERROR(__xludf.DUMMYFUNCTION("""COMPUTED_VALUE"""),"Pro Doubles")</f>
        <v>Pro Doubles</v>
      </c>
      <c r="G599" s="8" t="str">
        <f>IFERROR(__xludf.DUMMYFUNCTION("""COMPUTED_VALUE"""),"3rd")</f>
        <v>3rd</v>
      </c>
      <c r="H599" s="8" t="str">
        <f>IFERROR(__xludf.DUMMYFUNCTION("""COMPUTED_VALUE"""),"NY Regional 33")</f>
        <v>NY Regional 33</v>
      </c>
      <c r="I599" s="10">
        <f>IFERROR(__xludf.DUMMYFUNCTION("""COMPUTED_VALUE"""),43252.0)</f>
        <v>43252</v>
      </c>
      <c r="J599" s="10">
        <f>IFERROR(__xludf.DUMMYFUNCTION("""COMPUTED_VALUE"""),44348.0)</f>
        <v>44348</v>
      </c>
      <c r="K599" s="11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9" t="str">
        <f>IFERROR(__xludf.DUMMYFUNCTION("""COMPUTED_VALUE"""),"Parrish")</f>
        <v>Parrish</v>
      </c>
      <c r="B600" s="8" t="str">
        <f>IFERROR(__xludf.DUMMYFUNCTION("""COMPUTED_VALUE"""),"Richard")</f>
        <v>Richard</v>
      </c>
      <c r="C600" s="8" t="str">
        <f>IFERROR(__xludf.DUMMYFUNCTION("""COMPUTED_VALUE"""),"Daleville")</f>
        <v>Daleville</v>
      </c>
      <c r="D600" s="8" t="str">
        <f>IFERROR(__xludf.DUMMYFUNCTION("""COMPUTED_VALUE"""),"AL")</f>
        <v>AL</v>
      </c>
      <c r="E600" s="8" t="str">
        <f>IFERROR(__xludf.DUMMYFUNCTION("""COMPUTED_VALUE"""),"USA")</f>
        <v>USA</v>
      </c>
      <c r="F600" s="8" t="str">
        <f>IFERROR(__xludf.DUMMYFUNCTION("""COMPUTED_VALUE"""),"Mens Singles Cricket")</f>
        <v>Mens Singles Cricket</v>
      </c>
      <c r="G600" s="8" t="str">
        <f>IFERROR(__xludf.DUMMYFUNCTION("""COMPUTED_VALUE"""),"3rd")</f>
        <v>3rd</v>
      </c>
      <c r="H600" s="8" t="str">
        <f>IFERROR(__xludf.DUMMYFUNCTION("""COMPUTED_VALUE"""),"GA Regional 32")</f>
        <v>GA Regional 32</v>
      </c>
      <c r="I600" s="10">
        <f>IFERROR(__xludf.DUMMYFUNCTION("""COMPUTED_VALUE"""),42887.0)</f>
        <v>42887</v>
      </c>
      <c r="J600" s="10">
        <f>IFERROR(__xludf.DUMMYFUNCTION("""COMPUTED_VALUE"""),43983.0)</f>
        <v>43983</v>
      </c>
      <c r="K600" s="11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9" t="str">
        <f>IFERROR(__xludf.DUMMYFUNCTION("""COMPUTED_VALUE"""),"Parsley")</f>
        <v>Parsley</v>
      </c>
      <c r="B601" s="8" t="str">
        <f>IFERROR(__xludf.DUMMYFUNCTION("""COMPUTED_VALUE"""),"Carl")</f>
        <v>Carl</v>
      </c>
      <c r="C601" s="8" t="str">
        <f>IFERROR(__xludf.DUMMYFUNCTION("""COMPUTED_VALUE"""),"Hixson")</f>
        <v>Hixson</v>
      </c>
      <c r="D601" s="8" t="str">
        <f>IFERROR(__xludf.DUMMYFUNCTION("""COMPUTED_VALUE"""),"TN")</f>
        <v>TN</v>
      </c>
      <c r="E601" s="8" t="str">
        <f>IFERROR(__xludf.DUMMYFUNCTION("""COMPUTED_VALUE"""),"USA")</f>
        <v>USA</v>
      </c>
      <c r="F601" s="8" t="str">
        <f>IFERROR(__xludf.DUMMYFUNCTION("""COMPUTED_VALUE"""),"Known Pro")</f>
        <v>Known Pro</v>
      </c>
      <c r="G601" s="8" t="str">
        <f>IFERROR(__xludf.DUMMYFUNCTION("""COMPUTED_VALUE"""),"")</f>
        <v/>
      </c>
      <c r="H601" s="8" t="str">
        <f>IFERROR(__xludf.DUMMYFUNCTION("""COMPUTED_VALUE"""),"Known Ability")</f>
        <v>Known Ability</v>
      </c>
      <c r="I601" s="10">
        <f>IFERROR(__xludf.DUMMYFUNCTION("""COMPUTED_VALUE"""),36892.0)</f>
        <v>36892</v>
      </c>
      <c r="J601" s="10">
        <f>IFERROR(__xludf.DUMMYFUNCTION("""COMPUTED_VALUE"""),45809.0)</f>
        <v>45809</v>
      </c>
      <c r="K601" s="11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9" t="str">
        <f>IFERROR(__xludf.DUMMYFUNCTION("""COMPUTED_VALUE"""),"Paterchak")</f>
        <v>Paterchak</v>
      </c>
      <c r="B602" s="8" t="str">
        <f>IFERROR(__xludf.DUMMYFUNCTION("""COMPUTED_VALUE"""),"Jason")</f>
        <v>Jason</v>
      </c>
      <c r="C602" s="8" t="str">
        <f>IFERROR(__xludf.DUMMYFUNCTION("""COMPUTED_VALUE"""),"Lorain")</f>
        <v>Lorain</v>
      </c>
      <c r="D602" s="8" t="str">
        <f>IFERROR(__xludf.DUMMYFUNCTION("""COMPUTED_VALUE"""),"OH")</f>
        <v>OH</v>
      </c>
      <c r="E602" s="8" t="str">
        <f>IFERROR(__xludf.DUMMYFUNCTION("""COMPUTED_VALUE"""),"USA")</f>
        <v>USA</v>
      </c>
      <c r="F602" s="8" t="str">
        <f>IFERROR(__xludf.DUMMYFUNCTION("""COMPUTED_VALUE"""),"Mixed Triples")</f>
        <v>Mixed Triples</v>
      </c>
      <c r="G602" s="8" t="str">
        <f>IFERROR(__xludf.DUMMYFUNCTION("""COMPUTED_VALUE"""),"1st")</f>
        <v>1st</v>
      </c>
      <c r="H602" s="8" t="str">
        <f>IFERROR(__xludf.DUMMYFUNCTION("""COMPUTED_VALUE"""),"PA Regional 32")</f>
        <v>PA Regional 32</v>
      </c>
      <c r="I602" s="10">
        <f>IFERROR(__xludf.DUMMYFUNCTION("""COMPUTED_VALUE"""),42887.0)</f>
        <v>42887</v>
      </c>
      <c r="J602" s="10">
        <f>IFERROR(__xludf.DUMMYFUNCTION("""COMPUTED_VALUE"""),43983.0)</f>
        <v>43983</v>
      </c>
      <c r="K602" s="11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9" t="str">
        <f>IFERROR(__xludf.DUMMYFUNCTION("""COMPUTED_VALUE"""),"Patrick")</f>
        <v>Patrick</v>
      </c>
      <c r="B603" s="8" t="str">
        <f>IFERROR(__xludf.DUMMYFUNCTION("""COMPUTED_VALUE"""),"Shawn")</f>
        <v>Shawn</v>
      </c>
      <c r="C603" s="8" t="str">
        <f>IFERROR(__xludf.DUMMYFUNCTION("""COMPUTED_VALUE"""),"Gray")</f>
        <v>Gray</v>
      </c>
      <c r="D603" s="8" t="str">
        <f>IFERROR(__xludf.DUMMYFUNCTION("""COMPUTED_VALUE"""),"GA")</f>
        <v>GA</v>
      </c>
      <c r="E603" s="8" t="str">
        <f>IFERROR(__xludf.DUMMYFUNCTION("""COMPUTED_VALUE"""),"USA")</f>
        <v>USA</v>
      </c>
      <c r="F603" s="8" t="str">
        <f>IFERROR(__xludf.DUMMYFUNCTION("""COMPUTED_VALUE"""),"Mens Cricket Doubles")</f>
        <v>Mens Cricket Doubles</v>
      </c>
      <c r="G603" s="8" t="str">
        <f>IFERROR(__xludf.DUMMYFUNCTION("""COMPUTED_VALUE"""),"1st")</f>
        <v>1st</v>
      </c>
      <c r="H603" s="8" t="str">
        <f>IFERROR(__xludf.DUMMYFUNCTION("""COMPUTED_VALUE"""),"GA Regional 32")</f>
        <v>GA Regional 32</v>
      </c>
      <c r="I603" s="10">
        <f>IFERROR(__xludf.DUMMYFUNCTION("""COMPUTED_VALUE"""),42887.0)</f>
        <v>42887</v>
      </c>
      <c r="J603" s="10">
        <f>IFERROR(__xludf.DUMMYFUNCTION("""COMPUTED_VALUE"""),43983.0)</f>
        <v>43983</v>
      </c>
      <c r="K603" s="11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9" t="str">
        <f>IFERROR(__xludf.DUMMYFUNCTION("""COMPUTED_VALUE"""),"Paul")</f>
        <v>Paul</v>
      </c>
      <c r="B604" s="8" t="str">
        <f>IFERROR(__xludf.DUMMYFUNCTION("""COMPUTED_VALUE"""),"Charles")</f>
        <v>Charles</v>
      </c>
      <c r="C604" s="8" t="str">
        <f>IFERROR(__xludf.DUMMYFUNCTION("""COMPUTED_VALUE"""),"Myrtle Beach")</f>
        <v>Myrtle Beach</v>
      </c>
      <c r="D604" s="8" t="str">
        <f>IFERROR(__xludf.DUMMYFUNCTION("""COMPUTED_VALUE"""),"SC")</f>
        <v>SC</v>
      </c>
      <c r="E604" s="8" t="str">
        <f>IFERROR(__xludf.DUMMYFUNCTION("""COMPUTED_VALUE"""),"USA")</f>
        <v>USA</v>
      </c>
      <c r="F604" s="8" t="str">
        <f>IFERROR(__xludf.DUMMYFUNCTION("""COMPUTED_VALUE"""),"Mixed Triples 701")</f>
        <v>Mixed Triples 701</v>
      </c>
      <c r="G604" s="8" t="str">
        <f>IFERROR(__xludf.DUMMYFUNCTION("""COMPUTED_VALUE"""),"1st")</f>
        <v>1st</v>
      </c>
      <c r="H604" s="8" t="str">
        <f>IFERROR(__xludf.DUMMYFUNCTION("""COMPUTED_VALUE"""),"South Carolina BS 34")</f>
        <v>South Carolina BS 34</v>
      </c>
      <c r="I604" s="10">
        <f>IFERROR(__xludf.DUMMYFUNCTION("""COMPUTED_VALUE"""),43617.0)</f>
        <v>43617</v>
      </c>
      <c r="J604" s="10">
        <f>IFERROR(__xludf.DUMMYFUNCTION("""COMPUTED_VALUE"""),44713.0)</f>
        <v>44713</v>
      </c>
      <c r="K604" s="11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9" t="str">
        <f>IFERROR(__xludf.DUMMYFUNCTION("""COMPUTED_VALUE"""),"Payne")</f>
        <v>Payne</v>
      </c>
      <c r="B605" s="8" t="str">
        <f>IFERROR(__xludf.DUMMYFUNCTION("""COMPUTED_VALUE"""),"Jamie")</f>
        <v>Jamie</v>
      </c>
      <c r="C605" s="8" t="str">
        <f>IFERROR(__xludf.DUMMYFUNCTION("""COMPUTED_VALUE"""),"Springfield")</f>
        <v>Springfield</v>
      </c>
      <c r="D605" s="8" t="str">
        <f>IFERROR(__xludf.DUMMYFUNCTION("""COMPUTED_VALUE"""),"OH")</f>
        <v>OH</v>
      </c>
      <c r="E605" s="8" t="str">
        <f>IFERROR(__xludf.DUMMYFUNCTION("""COMPUTED_VALUE"""),"USA")</f>
        <v>USA</v>
      </c>
      <c r="F605" s="8" t="str">
        <f>IFERROR(__xludf.DUMMYFUNCTION("""COMPUTED_VALUE"""),"Mens Doubles")</f>
        <v>Mens Doubles</v>
      </c>
      <c r="G605" s="8" t="str">
        <f>IFERROR(__xludf.DUMMYFUNCTION("""COMPUTED_VALUE"""),"1st")</f>
        <v>1st</v>
      </c>
      <c r="H605" s="8" t="str">
        <f>IFERROR(__xludf.DUMMYFUNCTION("""COMPUTED_VALUE"""),"IN Regional 33")</f>
        <v>IN Regional 33</v>
      </c>
      <c r="I605" s="10">
        <f>IFERROR(__xludf.DUMMYFUNCTION("""COMPUTED_VALUE"""),43252.0)</f>
        <v>43252</v>
      </c>
      <c r="J605" s="10">
        <f>IFERROR(__xludf.DUMMYFUNCTION("""COMPUTED_VALUE"""),44348.0)</f>
        <v>44348</v>
      </c>
      <c r="K605" s="11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9" t="str">
        <f>IFERROR(__xludf.DUMMYFUNCTION("""COMPUTED_VALUE"""),"Payne")</f>
        <v>Payne</v>
      </c>
      <c r="B606" s="8" t="str">
        <f>IFERROR(__xludf.DUMMYFUNCTION("""COMPUTED_VALUE"""),"Roger")</f>
        <v>Roger</v>
      </c>
      <c r="C606" s="8" t="str">
        <f>IFERROR(__xludf.DUMMYFUNCTION("""COMPUTED_VALUE"""),"Springfield")</f>
        <v>Springfield</v>
      </c>
      <c r="D606" s="8" t="str">
        <f>IFERROR(__xludf.DUMMYFUNCTION("""COMPUTED_VALUE"""),"OH")</f>
        <v>OH</v>
      </c>
      <c r="E606" s="8" t="str">
        <f>IFERROR(__xludf.DUMMYFUNCTION("""COMPUTED_VALUE"""),"USA")</f>
        <v>USA</v>
      </c>
      <c r="F606" s="8" t="str">
        <f>IFERROR(__xludf.DUMMYFUNCTION("""COMPUTED_VALUE"""),"")</f>
        <v/>
      </c>
      <c r="G606" s="8" t="str">
        <f>IFERROR(__xludf.DUMMYFUNCTION("""COMPUTED_VALUE"""),"")</f>
        <v/>
      </c>
      <c r="H606" s="8" t="str">
        <f>IFERROR(__xludf.DUMMYFUNCTION("""COMPUTED_VALUE"""),"BS 30 Finals")</f>
        <v>BS 30 Finals</v>
      </c>
      <c r="I606" s="10">
        <f>IFERROR(__xludf.DUMMYFUNCTION("""COMPUTED_VALUE"""),43252.0)</f>
        <v>43252</v>
      </c>
      <c r="J606" s="10">
        <f>IFERROR(__xludf.DUMMYFUNCTION("""COMPUTED_VALUE"""),44348.0)</f>
        <v>44348</v>
      </c>
      <c r="K606" s="11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9" t="str">
        <f>IFERROR(__xludf.DUMMYFUNCTION("""COMPUTED_VALUE"""),"Payne")</f>
        <v>Payne</v>
      </c>
      <c r="B607" s="8" t="str">
        <f>IFERROR(__xludf.DUMMYFUNCTION("""COMPUTED_VALUE"""),"Tony")</f>
        <v>Tony</v>
      </c>
      <c r="C607" s="8" t="str">
        <f>IFERROR(__xludf.DUMMYFUNCTION("""COMPUTED_VALUE"""),"Cincinnati")</f>
        <v>Cincinnati</v>
      </c>
      <c r="D607" s="8" t="str">
        <f>IFERROR(__xludf.DUMMYFUNCTION("""COMPUTED_VALUE"""),"OH")</f>
        <v>OH</v>
      </c>
      <c r="E607" s="8" t="str">
        <f>IFERROR(__xludf.DUMMYFUNCTION("""COMPUTED_VALUE"""),"USA")</f>
        <v>USA</v>
      </c>
      <c r="F607" s="8" t="str">
        <f>IFERROR(__xludf.DUMMYFUNCTION("""COMPUTED_VALUE"""),"Known Pro")</f>
        <v>Known Pro</v>
      </c>
      <c r="G607" s="8" t="str">
        <f>IFERROR(__xludf.DUMMYFUNCTION("""COMPUTED_VALUE"""),"")</f>
        <v/>
      </c>
      <c r="H607" s="8" t="str">
        <f>IFERROR(__xludf.DUMMYFUNCTION("""COMPUTED_VALUE"""),"Known Ability")</f>
        <v>Known Ability</v>
      </c>
      <c r="I607" s="10">
        <f>IFERROR(__xludf.DUMMYFUNCTION("""COMPUTED_VALUE"""),36892.0)</f>
        <v>36892</v>
      </c>
      <c r="J607" s="10">
        <f>IFERROR(__xludf.DUMMYFUNCTION("""COMPUTED_VALUE"""),45809.0)</f>
        <v>45809</v>
      </c>
      <c r="K607" s="11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9" t="str">
        <f>IFERROR(__xludf.DUMMYFUNCTION("""COMPUTED_VALUE"""),"Peach")</f>
        <v>Peach</v>
      </c>
      <c r="B608" s="8" t="str">
        <f>IFERROR(__xludf.DUMMYFUNCTION("""COMPUTED_VALUE"""),"Ryan")</f>
        <v>Ryan</v>
      </c>
      <c r="C608" s="8" t="str">
        <f>IFERROR(__xludf.DUMMYFUNCTION("""COMPUTED_VALUE"""),"Forest Park")</f>
        <v>Forest Park</v>
      </c>
      <c r="D608" s="8" t="str">
        <f>IFERROR(__xludf.DUMMYFUNCTION("""COMPUTED_VALUE"""),"NY")</f>
        <v>NY</v>
      </c>
      <c r="E608" s="8" t="str">
        <f>IFERROR(__xludf.DUMMYFUNCTION("""COMPUTED_VALUE"""),"USA")</f>
        <v>USA</v>
      </c>
      <c r="F608" s="8" t="str">
        <f>IFERROR(__xludf.DUMMYFUNCTION("""COMPUTED_VALUE"""),"Pro Singles")</f>
        <v>Pro Singles</v>
      </c>
      <c r="G608" s="8" t="str">
        <f>IFERROR(__xludf.DUMMYFUNCTION("""COMPUTED_VALUE"""),"1st")</f>
        <v>1st</v>
      </c>
      <c r="H608" s="8" t="str">
        <f>IFERROR(__xludf.DUMMYFUNCTION("""COMPUTED_VALUE"""),"NY Regional 33")</f>
        <v>NY Regional 33</v>
      </c>
      <c r="I608" s="10">
        <f>IFERROR(__xludf.DUMMYFUNCTION("""COMPUTED_VALUE"""),43252.0)</f>
        <v>43252</v>
      </c>
      <c r="J608" s="10">
        <f>IFERROR(__xludf.DUMMYFUNCTION("""COMPUTED_VALUE"""),44348.0)</f>
        <v>44348</v>
      </c>
      <c r="K608" s="11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9" t="str">
        <f>IFERROR(__xludf.DUMMYFUNCTION("""COMPUTED_VALUE"""),"Pechota")</f>
        <v>Pechota</v>
      </c>
      <c r="B609" s="8" t="str">
        <f>IFERROR(__xludf.DUMMYFUNCTION("""COMPUTED_VALUE"""),"Scott")</f>
        <v>Scott</v>
      </c>
      <c r="C609" s="8" t="str">
        <f>IFERROR(__xludf.DUMMYFUNCTION("""COMPUTED_VALUE"""),"Cedar Rapids")</f>
        <v>Cedar Rapids</v>
      </c>
      <c r="D609" s="8" t="str">
        <f>IFERROR(__xludf.DUMMYFUNCTION("""COMPUTED_VALUE"""),"IA")</f>
        <v>IA</v>
      </c>
      <c r="E609" s="8" t="str">
        <f>IFERROR(__xludf.DUMMYFUNCTION("""COMPUTED_VALUE"""),"USA")</f>
        <v>USA</v>
      </c>
      <c r="F609" s="8" t="str">
        <f>IFERROR(__xludf.DUMMYFUNCTION("""COMPUTED_VALUE"""),"Cricket Doubles")</f>
        <v>Cricket Doubles</v>
      </c>
      <c r="G609" s="8" t="str">
        <f>IFERROR(__xludf.DUMMYFUNCTION("""COMPUTED_VALUE"""),"4th")</f>
        <v>4th</v>
      </c>
      <c r="H609" s="8" t="str">
        <f>IFERROR(__xludf.DUMMYFUNCTION("""COMPUTED_VALUE"""),"BS 33 Finals")</f>
        <v>BS 33 Finals</v>
      </c>
      <c r="I609" s="10">
        <f>IFERROR(__xludf.DUMMYFUNCTION("""COMPUTED_VALUE"""),43252.0)</f>
        <v>43252</v>
      </c>
      <c r="J609" s="10">
        <f>IFERROR(__xludf.DUMMYFUNCTION("""COMPUTED_VALUE"""),44348.0)</f>
        <v>44348</v>
      </c>
      <c r="K609" s="11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9" t="str">
        <f>IFERROR(__xludf.DUMMYFUNCTION("""COMPUTED_VALUE"""),"Pellegrino")</f>
        <v>Pellegrino</v>
      </c>
      <c r="B610" s="8" t="str">
        <f>IFERROR(__xludf.DUMMYFUNCTION("""COMPUTED_VALUE"""),"Jonathan")</f>
        <v>Jonathan</v>
      </c>
      <c r="C610" s="8" t="str">
        <f>IFERROR(__xludf.DUMMYFUNCTION("""COMPUTED_VALUE"""),"Radcliff")</f>
        <v>Radcliff</v>
      </c>
      <c r="D610" s="8" t="str">
        <f>IFERROR(__xludf.DUMMYFUNCTION("""COMPUTED_VALUE"""),"KY")</f>
        <v>KY</v>
      </c>
      <c r="E610" s="8" t="str">
        <f>IFERROR(__xludf.DUMMYFUNCTION("""COMPUTED_VALUE"""),"USA")</f>
        <v>USA</v>
      </c>
      <c r="F610" s="8" t="str">
        <f>IFERROR(__xludf.DUMMYFUNCTION("""COMPUTED_VALUE"""),"Men Doubles 501")</f>
        <v>Men Doubles 501</v>
      </c>
      <c r="G610" s="8" t="str">
        <f>IFERROR(__xludf.DUMMYFUNCTION("""COMPUTED_VALUE"""),"2nd")</f>
        <v>2nd</v>
      </c>
      <c r="H610" s="8" t="str">
        <f>IFERROR(__xludf.DUMMYFUNCTION("""COMPUTED_VALUE"""),"South Carolina BS 34")</f>
        <v>South Carolina BS 34</v>
      </c>
      <c r="I610" s="10">
        <f>IFERROR(__xludf.DUMMYFUNCTION("""COMPUTED_VALUE"""),43617.0)</f>
        <v>43617</v>
      </c>
      <c r="J610" s="10">
        <f>IFERROR(__xludf.DUMMYFUNCTION("""COMPUTED_VALUE"""),44713.0)</f>
        <v>44713</v>
      </c>
      <c r="K610" s="11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9" t="str">
        <f>IFERROR(__xludf.DUMMYFUNCTION("""COMPUTED_VALUE"""),"Pemberton")</f>
        <v>Pemberton</v>
      </c>
      <c r="B611" s="8" t="str">
        <f>IFERROR(__xludf.DUMMYFUNCTION("""COMPUTED_VALUE"""),"Jacob")</f>
        <v>Jacob</v>
      </c>
      <c r="C611" s="8" t="str">
        <f>IFERROR(__xludf.DUMMYFUNCTION("""COMPUTED_VALUE"""),"Grand Island")</f>
        <v>Grand Island</v>
      </c>
      <c r="D611" s="8" t="str">
        <f>IFERROR(__xludf.DUMMYFUNCTION("""COMPUTED_VALUE"""),"NE")</f>
        <v>NE</v>
      </c>
      <c r="E611" s="8" t="str">
        <f>IFERROR(__xludf.DUMMYFUNCTION("""COMPUTED_VALUE"""),"USA")</f>
        <v>USA</v>
      </c>
      <c r="F611" s="8" t="str">
        <f>IFERROR(__xludf.DUMMYFUNCTION("""COMPUTED_VALUE"""),"Mixed Triples 701")</f>
        <v>Mixed Triples 701</v>
      </c>
      <c r="G611" s="8" t="str">
        <f>IFERROR(__xludf.DUMMYFUNCTION("""COMPUTED_VALUE"""),"1st")</f>
        <v>1st</v>
      </c>
      <c r="H611" s="8" t="str">
        <f>IFERROR(__xludf.DUMMYFUNCTION("""COMPUTED_VALUE"""),"Nebraska BS 34")</f>
        <v>Nebraska BS 34</v>
      </c>
      <c r="I611" s="10">
        <f>IFERROR(__xludf.DUMMYFUNCTION("""COMPUTED_VALUE"""),43617.0)</f>
        <v>43617</v>
      </c>
      <c r="J611" s="10">
        <f>IFERROR(__xludf.DUMMYFUNCTION("""COMPUTED_VALUE"""),44713.0)</f>
        <v>44713</v>
      </c>
      <c r="K611" s="11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9" t="str">
        <f>IFERROR(__xludf.DUMMYFUNCTION("""COMPUTED_VALUE"""),"Penalosa")</f>
        <v>Penalosa</v>
      </c>
      <c r="B612" s="8" t="str">
        <f>IFERROR(__xludf.DUMMYFUNCTION("""COMPUTED_VALUE"""),"Ritchell")</f>
        <v>Ritchell</v>
      </c>
      <c r="C612" s="8" t="str">
        <f>IFERROR(__xludf.DUMMYFUNCTION("""COMPUTED_VALUE"""),"")</f>
        <v/>
      </c>
      <c r="D612" s="8" t="str">
        <f>IFERROR(__xludf.DUMMYFUNCTION("""COMPUTED_VALUE"""),"")</f>
        <v/>
      </c>
      <c r="E612" s="8" t="str">
        <f>IFERROR(__xludf.DUMMYFUNCTION("""COMPUTED_VALUE"""),"Canada")</f>
        <v>Canada</v>
      </c>
      <c r="F612" s="8" t="str">
        <f>IFERROR(__xludf.DUMMYFUNCTION("""COMPUTED_VALUE"""),"Pro/Am Cricket")</f>
        <v>Pro/Am Cricket</v>
      </c>
      <c r="G612" s="8" t="str">
        <f>IFERROR(__xludf.DUMMYFUNCTION("""COMPUTED_VALUE"""),"3rd")</f>
        <v>3rd</v>
      </c>
      <c r="H612" s="8" t="str">
        <f>IFERROR(__xludf.DUMMYFUNCTION("""COMPUTED_VALUE"""),"NY Regional 33")</f>
        <v>NY Regional 33</v>
      </c>
      <c r="I612" s="10">
        <f>IFERROR(__xludf.DUMMYFUNCTION("""COMPUTED_VALUE"""),43252.0)</f>
        <v>43252</v>
      </c>
      <c r="J612" s="10">
        <f>IFERROR(__xludf.DUMMYFUNCTION("""COMPUTED_VALUE"""),44348.0)</f>
        <v>44348</v>
      </c>
      <c r="K612" s="11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9" t="str">
        <f>IFERROR(__xludf.DUMMYFUNCTION("""COMPUTED_VALUE"""),"Perea (Noguera)")</f>
        <v>Perea (Noguera)</v>
      </c>
      <c r="B613" s="8" t="str">
        <f>IFERROR(__xludf.DUMMYFUNCTION("""COMPUTED_VALUE"""),"Jesus")</f>
        <v>Jesus</v>
      </c>
      <c r="C613" s="8" t="str">
        <f>IFERROR(__xludf.DUMMYFUNCTION("""COMPUTED_VALUE"""),"")</f>
        <v/>
      </c>
      <c r="D613" s="8" t="str">
        <f>IFERROR(__xludf.DUMMYFUNCTION("""COMPUTED_VALUE"""),"UNK")</f>
        <v>UNK</v>
      </c>
      <c r="E613" s="8" t="str">
        <f>IFERROR(__xludf.DUMMYFUNCTION("""COMPUTED_VALUE"""),"Spain")</f>
        <v>Spain</v>
      </c>
      <c r="F613" s="8" t="str">
        <f>IFERROR(__xludf.DUMMYFUNCTION("""COMPUTED_VALUE"""),"DL")</f>
        <v>DL</v>
      </c>
      <c r="G613" s="8" t="str">
        <f>IFERROR(__xludf.DUMMYFUNCTION("""COMPUTED_VALUE"""),"68th")</f>
        <v>68th</v>
      </c>
      <c r="H613" s="8" t="str">
        <f>IFERROR(__xludf.DUMMYFUNCTION("""COMPUTED_VALUE"""),"DL")</f>
        <v>DL</v>
      </c>
      <c r="I613" s="10">
        <f>IFERROR(__xludf.DUMMYFUNCTION("""COMPUTED_VALUE"""),42401.0)</f>
        <v>42401</v>
      </c>
      <c r="J613" s="10">
        <f>IFERROR(__xludf.DUMMYFUNCTION("""COMPUTED_VALUE"""),44713.0)</f>
        <v>44713</v>
      </c>
      <c r="K613" s="11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9" t="str">
        <f>IFERROR(__xludf.DUMMYFUNCTION("""COMPUTED_VALUE"""),"Perez")</f>
        <v>Perez</v>
      </c>
      <c r="B614" s="8" t="str">
        <f>IFERROR(__xludf.DUMMYFUNCTION("""COMPUTED_VALUE"""),"Brandon")</f>
        <v>Brandon</v>
      </c>
      <c r="C614" s="8" t="str">
        <f>IFERROR(__xludf.DUMMYFUNCTION("""COMPUTED_VALUE"""),"Las Vegas")</f>
        <v>Las Vegas</v>
      </c>
      <c r="D614" s="8" t="str">
        <f>IFERROR(__xludf.DUMMYFUNCTION("""COMPUTED_VALUE"""),"NV")</f>
        <v>NV</v>
      </c>
      <c r="E614" s="8" t="str">
        <f>IFERROR(__xludf.DUMMYFUNCTION("""COMPUTED_VALUE"""),"USA")</f>
        <v>USA</v>
      </c>
      <c r="F614" s="8" t="str">
        <f>IFERROR(__xludf.DUMMYFUNCTION("""COMPUTED_VALUE"""),"Mens Cricket Doubles")</f>
        <v>Mens Cricket Doubles</v>
      </c>
      <c r="G614" s="8" t="str">
        <f>IFERROR(__xludf.DUMMYFUNCTION("""COMPUTED_VALUE"""),"1st")</f>
        <v>1st</v>
      </c>
      <c r="H614" s="8" t="str">
        <f>IFERROR(__xludf.DUMMYFUNCTION("""COMPUTED_VALUE"""),"NV Regional 32")</f>
        <v>NV Regional 32</v>
      </c>
      <c r="I614" s="10">
        <f>IFERROR(__xludf.DUMMYFUNCTION("""COMPUTED_VALUE"""),42887.0)</f>
        <v>42887</v>
      </c>
      <c r="J614" s="10">
        <f>IFERROR(__xludf.DUMMYFUNCTION("""COMPUTED_VALUE"""),43983.0)</f>
        <v>43983</v>
      </c>
      <c r="K614" s="11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9" t="str">
        <f>IFERROR(__xludf.DUMMYFUNCTION("""COMPUTED_VALUE"""),"Perez")</f>
        <v>Perez</v>
      </c>
      <c r="B615" s="8" t="str">
        <f>IFERROR(__xludf.DUMMYFUNCTION("""COMPUTED_VALUE"""),"Christian")</f>
        <v>Christian</v>
      </c>
      <c r="C615" s="8" t="str">
        <f>IFERROR(__xludf.DUMMYFUNCTION("""COMPUTED_VALUE"""),"")</f>
        <v/>
      </c>
      <c r="D615" s="8" t="str">
        <f>IFERROR(__xludf.DUMMYFUNCTION("""COMPUTED_VALUE"""),"UNK")</f>
        <v>UNK</v>
      </c>
      <c r="E615" s="8" t="str">
        <f>IFERROR(__xludf.DUMMYFUNCTION("""COMPUTED_VALUE"""),"Phillippines")</f>
        <v>Phillippines</v>
      </c>
      <c r="F615" s="8" t="str">
        <f>IFERROR(__xludf.DUMMYFUNCTION("""COMPUTED_VALUE"""),"DL")</f>
        <v>DL</v>
      </c>
      <c r="G615" s="8" t="str">
        <f>IFERROR(__xludf.DUMMYFUNCTION("""COMPUTED_VALUE"""),"42nd")</f>
        <v>42nd</v>
      </c>
      <c r="H615" s="8" t="str">
        <f>IFERROR(__xludf.DUMMYFUNCTION("""COMPUTED_VALUE"""),"DL")</f>
        <v>DL</v>
      </c>
      <c r="I615" s="10">
        <f>IFERROR(__xludf.DUMMYFUNCTION("""COMPUTED_VALUE"""),42401.0)</f>
        <v>42401</v>
      </c>
      <c r="J615" s="10">
        <f>IFERROR(__xludf.DUMMYFUNCTION("""COMPUTED_VALUE"""),44713.0)</f>
        <v>44713</v>
      </c>
      <c r="K615" s="11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9" t="str">
        <f>IFERROR(__xludf.DUMMYFUNCTION("""COMPUTED_VALUE"""),"Perez")</f>
        <v>Perez</v>
      </c>
      <c r="B616" s="8" t="str">
        <f>IFERROR(__xludf.DUMMYFUNCTION("""COMPUTED_VALUE"""),"Joseph")</f>
        <v>Joseph</v>
      </c>
      <c r="C616" s="8" t="str">
        <f>IFERROR(__xludf.DUMMYFUNCTION("""COMPUTED_VALUE"""),"Crosby")</f>
        <v>Crosby</v>
      </c>
      <c r="D616" s="8" t="str">
        <f>IFERROR(__xludf.DUMMYFUNCTION("""COMPUTED_VALUE"""),"TX")</f>
        <v>TX</v>
      </c>
      <c r="E616" s="8" t="str">
        <f>IFERROR(__xludf.DUMMYFUNCTION("""COMPUTED_VALUE"""),"USA")</f>
        <v>USA</v>
      </c>
      <c r="F616" s="8" t="str">
        <f>IFERROR(__xludf.DUMMYFUNCTION("""COMPUTED_VALUE"""),"Pro/Am Cricket")</f>
        <v>Pro/Am Cricket</v>
      </c>
      <c r="G616" s="8" t="str">
        <f>IFERROR(__xludf.DUMMYFUNCTION("""COMPUTED_VALUE"""),"3rd")</f>
        <v>3rd</v>
      </c>
      <c r="H616" s="8" t="str">
        <f>IFERROR(__xludf.DUMMYFUNCTION("""COMPUTED_VALUE"""),"Texas BS 34")</f>
        <v>Texas BS 34</v>
      </c>
      <c r="I616" s="10">
        <f>IFERROR(__xludf.DUMMYFUNCTION("""COMPUTED_VALUE"""),43617.0)</f>
        <v>43617</v>
      </c>
      <c r="J616" s="10">
        <f>IFERROR(__xludf.DUMMYFUNCTION("""COMPUTED_VALUE"""),44713.0)</f>
        <v>44713</v>
      </c>
      <c r="K616" s="11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9" t="str">
        <f>IFERROR(__xludf.DUMMYFUNCTION("""COMPUTED_VALUE"""),"Perez")</f>
        <v>Perez</v>
      </c>
      <c r="B617" s="8" t="str">
        <f>IFERROR(__xludf.DUMMYFUNCTION("""COMPUTED_VALUE"""),"Mark")</f>
        <v>Mark</v>
      </c>
      <c r="C617" s="8" t="str">
        <f>IFERROR(__xludf.DUMMYFUNCTION("""COMPUTED_VALUE"""),"Bullhead City")</f>
        <v>Bullhead City</v>
      </c>
      <c r="D617" s="8" t="str">
        <f>IFERROR(__xludf.DUMMYFUNCTION("""COMPUTED_VALUE"""),"AZ")</f>
        <v>AZ</v>
      </c>
      <c r="E617" s="8" t="str">
        <f>IFERROR(__xludf.DUMMYFUNCTION("""COMPUTED_VALUE"""),"USA")</f>
        <v>USA</v>
      </c>
      <c r="F617" s="8" t="str">
        <f>IFERROR(__xludf.DUMMYFUNCTION("""COMPUTED_VALUE"""),"Mens Singles Cricket")</f>
        <v>Mens Singles Cricket</v>
      </c>
      <c r="G617" s="8" t="str">
        <f>IFERROR(__xludf.DUMMYFUNCTION("""COMPUTED_VALUE"""),"1st")</f>
        <v>1st</v>
      </c>
      <c r="H617" s="8" t="str">
        <f>IFERROR(__xludf.DUMMYFUNCTION("""COMPUTED_VALUE"""),"NV Regional 32")</f>
        <v>NV Regional 32</v>
      </c>
      <c r="I617" s="10">
        <f>IFERROR(__xludf.DUMMYFUNCTION("""COMPUTED_VALUE"""),42887.0)</f>
        <v>42887</v>
      </c>
      <c r="J617" s="10">
        <f>IFERROR(__xludf.DUMMYFUNCTION("""COMPUTED_VALUE"""),44348.0)</f>
        <v>44348</v>
      </c>
      <c r="K617" s="11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9" t="str">
        <f>IFERROR(__xludf.DUMMYFUNCTION("""COMPUTED_VALUE"""),"Perry")</f>
        <v>Perry</v>
      </c>
      <c r="B618" s="8" t="str">
        <f>IFERROR(__xludf.DUMMYFUNCTION("""COMPUTED_VALUE"""),"Cody")</f>
        <v>Cody</v>
      </c>
      <c r="C618" s="8" t="str">
        <f>IFERROR(__xludf.DUMMYFUNCTION("""COMPUTED_VALUE"""),"")</f>
        <v/>
      </c>
      <c r="D618" s="8" t="str">
        <f>IFERROR(__xludf.DUMMYFUNCTION("""COMPUTED_VALUE"""),"")</f>
        <v/>
      </c>
      <c r="E618" s="8" t="str">
        <f>IFERROR(__xludf.DUMMYFUNCTION("""COMPUTED_VALUE"""),"USA")</f>
        <v>USA</v>
      </c>
      <c r="F618" s="8" t="str">
        <f>IFERROR(__xludf.DUMMYFUNCTION("""COMPUTED_VALUE"""),"")</f>
        <v/>
      </c>
      <c r="G618" s="8" t="str">
        <f>IFERROR(__xludf.DUMMYFUNCTION("""COMPUTED_VALUE"""),"")</f>
        <v/>
      </c>
      <c r="H618" s="8" t="str">
        <f>IFERROR(__xludf.DUMMYFUNCTION("""COMPUTED_VALUE"""),"BS 30 Finals")</f>
        <v>BS 30 Finals</v>
      </c>
      <c r="I618" s="10">
        <f>IFERROR(__xludf.DUMMYFUNCTION("""COMPUTED_VALUE"""),43252.0)</f>
        <v>43252</v>
      </c>
      <c r="J618" s="10">
        <f>IFERROR(__xludf.DUMMYFUNCTION("""COMPUTED_VALUE"""),44348.0)</f>
        <v>44348</v>
      </c>
      <c r="K618" s="11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9" t="str">
        <f>IFERROR(__xludf.DUMMYFUNCTION("""COMPUTED_VALUE"""),"Perry")</f>
        <v>Perry</v>
      </c>
      <c r="B619" s="8" t="str">
        <f>IFERROR(__xludf.DUMMYFUNCTION("""COMPUTED_VALUE"""),"Guy")</f>
        <v>Guy</v>
      </c>
      <c r="C619" s="8" t="str">
        <f>IFERROR(__xludf.DUMMYFUNCTION("""COMPUTED_VALUE"""),"Plainfield")</f>
        <v>Plainfield</v>
      </c>
      <c r="D619" s="8" t="str">
        <f>IFERROR(__xludf.DUMMYFUNCTION("""COMPUTED_VALUE"""),"IN")</f>
        <v>IN</v>
      </c>
      <c r="E619" s="8" t="str">
        <f>IFERROR(__xludf.DUMMYFUNCTION("""COMPUTED_VALUE"""),"USA")</f>
        <v>USA</v>
      </c>
      <c r="F619" s="8" t="str">
        <f>IFERROR(__xludf.DUMMYFUNCTION("""COMPUTED_VALUE"""),"Mixed Doubles Cricket")</f>
        <v>Mixed Doubles Cricket</v>
      </c>
      <c r="G619" s="8" t="str">
        <f>IFERROR(__xludf.DUMMYFUNCTION("""COMPUTED_VALUE"""),"1st")</f>
        <v>1st</v>
      </c>
      <c r="H619" s="8" t="str">
        <f>IFERROR(__xludf.DUMMYFUNCTION("""COMPUTED_VALUE"""),"Indiana BS 34")</f>
        <v>Indiana BS 34</v>
      </c>
      <c r="I619" s="10">
        <f>IFERROR(__xludf.DUMMYFUNCTION("""COMPUTED_VALUE"""),43617.0)</f>
        <v>43617</v>
      </c>
      <c r="J619" s="10">
        <f>IFERROR(__xludf.DUMMYFUNCTION("""COMPUTED_VALUE"""),44713.0)</f>
        <v>44713</v>
      </c>
      <c r="K619" s="11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9" t="str">
        <f>IFERROR(__xludf.DUMMYFUNCTION("""COMPUTED_VALUE"""),"Perry")</f>
        <v>Perry</v>
      </c>
      <c r="B620" s="8" t="str">
        <f>IFERROR(__xludf.DUMMYFUNCTION("""COMPUTED_VALUE"""),"James")</f>
        <v>James</v>
      </c>
      <c r="C620" s="8" t="str">
        <f>IFERROR(__xludf.DUMMYFUNCTION("""COMPUTED_VALUE"""),"Tipp City")</f>
        <v>Tipp City</v>
      </c>
      <c r="D620" s="8" t="str">
        <f>IFERROR(__xludf.DUMMYFUNCTION("""COMPUTED_VALUE"""),"OH")</f>
        <v>OH</v>
      </c>
      <c r="E620" s="8" t="str">
        <f>IFERROR(__xludf.DUMMYFUNCTION("""COMPUTED_VALUE"""),"USA")</f>
        <v>USA</v>
      </c>
      <c r="F620" s="8" t="str">
        <f>IFERROR(__xludf.DUMMYFUNCTION("""COMPUTED_VALUE"""),"Men Doubles 501")</f>
        <v>Men Doubles 501</v>
      </c>
      <c r="G620" s="8" t="str">
        <f>IFERROR(__xludf.DUMMYFUNCTION("""COMPUTED_VALUE"""),"2nd")</f>
        <v>2nd</v>
      </c>
      <c r="H620" s="8" t="str">
        <f>IFERROR(__xludf.DUMMYFUNCTION("""COMPUTED_VALUE"""),"Pennsylvania BS 34")</f>
        <v>Pennsylvania BS 34</v>
      </c>
      <c r="I620" s="10">
        <f>IFERROR(__xludf.DUMMYFUNCTION("""COMPUTED_VALUE"""),43617.0)</f>
        <v>43617</v>
      </c>
      <c r="J620" s="10">
        <f>IFERROR(__xludf.DUMMYFUNCTION("""COMPUTED_VALUE"""),44713.0)</f>
        <v>44713</v>
      </c>
      <c r="K620" s="11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9" t="str">
        <f>IFERROR(__xludf.DUMMYFUNCTION("""COMPUTED_VALUE"""),"Persinger")</f>
        <v>Persinger</v>
      </c>
      <c r="B621" s="8" t="str">
        <f>IFERROR(__xludf.DUMMYFUNCTION("""COMPUTED_VALUE"""),"Rod / Neal")</f>
        <v>Rod / Neal</v>
      </c>
      <c r="C621" s="8" t="str">
        <f>IFERROR(__xludf.DUMMYFUNCTION("""COMPUTED_VALUE"""),"Benwood")</f>
        <v>Benwood</v>
      </c>
      <c r="D621" s="8" t="str">
        <f>IFERROR(__xludf.DUMMYFUNCTION("""COMPUTED_VALUE"""),"WV")</f>
        <v>WV</v>
      </c>
      <c r="E621" s="8" t="str">
        <f>IFERROR(__xludf.DUMMYFUNCTION("""COMPUTED_VALUE"""),"USA")</f>
        <v>USA</v>
      </c>
      <c r="F621" s="8" t="str">
        <f>IFERROR(__xludf.DUMMYFUNCTION("""COMPUTED_VALUE"""),"Mens Doubles")</f>
        <v>Mens Doubles</v>
      </c>
      <c r="G621" s="8" t="str">
        <f>IFERROR(__xludf.DUMMYFUNCTION("""COMPUTED_VALUE"""),"2nd")</f>
        <v>2nd</v>
      </c>
      <c r="H621" s="8" t="str">
        <f>IFERROR(__xludf.DUMMYFUNCTION("""COMPUTED_VALUE"""),"PA Regional 32")</f>
        <v>PA Regional 32</v>
      </c>
      <c r="I621" s="10">
        <f>IFERROR(__xludf.DUMMYFUNCTION("""COMPUTED_VALUE"""),42887.0)</f>
        <v>42887</v>
      </c>
      <c r="J621" s="10">
        <f>IFERROR(__xludf.DUMMYFUNCTION("""COMPUTED_VALUE"""),43983.0)</f>
        <v>43983</v>
      </c>
      <c r="K621" s="11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9" t="str">
        <f>IFERROR(__xludf.DUMMYFUNCTION("""COMPUTED_VALUE"""),"Peterson")</f>
        <v>Peterson</v>
      </c>
      <c r="B622" s="8" t="str">
        <f>IFERROR(__xludf.DUMMYFUNCTION("""COMPUTED_VALUE"""),"Sam")</f>
        <v>Sam</v>
      </c>
      <c r="C622" s="8" t="str">
        <f>IFERROR(__xludf.DUMMYFUNCTION("""COMPUTED_VALUE"""),"Janesville")</f>
        <v>Janesville</v>
      </c>
      <c r="D622" s="8" t="str">
        <f>IFERROR(__xludf.DUMMYFUNCTION("""COMPUTED_VALUE"""),"WI")</f>
        <v>WI</v>
      </c>
      <c r="E622" s="8" t="str">
        <f>IFERROR(__xludf.DUMMYFUNCTION("""COMPUTED_VALUE"""),"USA")</f>
        <v>USA</v>
      </c>
      <c r="F622" s="8" t="str">
        <f>IFERROR(__xludf.DUMMYFUNCTION("""COMPUTED_VALUE"""),"Mens Cricket Doubles")</f>
        <v>Mens Cricket Doubles</v>
      </c>
      <c r="G622" s="8" t="str">
        <f>IFERROR(__xludf.DUMMYFUNCTION("""COMPUTED_VALUE"""),"2nd")</f>
        <v>2nd</v>
      </c>
      <c r="H622" s="8" t="str">
        <f>IFERROR(__xludf.DUMMYFUNCTION("""COMPUTED_VALUE"""),"WI Regional 32")</f>
        <v>WI Regional 32</v>
      </c>
      <c r="I622" s="10">
        <f>IFERROR(__xludf.DUMMYFUNCTION("""COMPUTED_VALUE"""),42887.0)</f>
        <v>42887</v>
      </c>
      <c r="J622" s="10">
        <f>IFERROR(__xludf.DUMMYFUNCTION("""COMPUTED_VALUE"""),43983.0)</f>
        <v>43983</v>
      </c>
      <c r="K622" s="11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9" t="str">
        <f>IFERROR(__xludf.DUMMYFUNCTION("""COMPUTED_VALUE"""),"Phares")</f>
        <v>Phares</v>
      </c>
      <c r="B623" s="8" t="str">
        <f>IFERROR(__xludf.DUMMYFUNCTION("""COMPUTED_VALUE"""),"Ben")</f>
        <v>Ben</v>
      </c>
      <c r="C623" s="8" t="str">
        <f>IFERROR(__xludf.DUMMYFUNCTION("""COMPUTED_VALUE"""),"Indianapolis")</f>
        <v>Indianapolis</v>
      </c>
      <c r="D623" s="8" t="str">
        <f>IFERROR(__xludf.DUMMYFUNCTION("""COMPUTED_VALUE"""),"IN")</f>
        <v>IN</v>
      </c>
      <c r="E623" s="8" t="str">
        <f>IFERROR(__xludf.DUMMYFUNCTION("""COMPUTED_VALUE"""),"USA")</f>
        <v>USA</v>
      </c>
      <c r="F623" s="8" t="str">
        <f>IFERROR(__xludf.DUMMYFUNCTION("""COMPUTED_VALUE"""),"Pro Doubles 501")</f>
        <v>Pro Doubles 501</v>
      </c>
      <c r="G623" s="8" t="str">
        <f>IFERROR(__xludf.DUMMYFUNCTION("""COMPUTED_VALUE"""),"3rd")</f>
        <v>3rd</v>
      </c>
      <c r="H623" s="8" t="str">
        <f>IFERROR(__xludf.DUMMYFUNCTION("""COMPUTED_VALUE"""),"Indiana BS 34")</f>
        <v>Indiana BS 34</v>
      </c>
      <c r="I623" s="10">
        <f>IFERROR(__xludf.DUMMYFUNCTION("""COMPUTED_VALUE"""),43617.0)</f>
        <v>43617</v>
      </c>
      <c r="J623" s="10">
        <f>IFERROR(__xludf.DUMMYFUNCTION("""COMPUTED_VALUE"""),44713.0)</f>
        <v>44713</v>
      </c>
      <c r="K623" s="11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9" t="str">
        <f>IFERROR(__xludf.DUMMYFUNCTION("""COMPUTED_VALUE"""),"Phillips")</f>
        <v>Phillips</v>
      </c>
      <c r="B624" s="8" t="str">
        <f>IFERROR(__xludf.DUMMYFUNCTION("""COMPUTED_VALUE"""),"Martin")</f>
        <v>Martin</v>
      </c>
      <c r="C624" s="8" t="str">
        <f>IFERROR(__xludf.DUMMYFUNCTION("""COMPUTED_VALUE"""),"")</f>
        <v/>
      </c>
      <c r="D624" s="8" t="str">
        <f>IFERROR(__xludf.DUMMYFUNCTION("""COMPUTED_VALUE"""),"UNK")</f>
        <v>UNK</v>
      </c>
      <c r="E624" s="8" t="str">
        <f>IFERROR(__xludf.DUMMYFUNCTION("""COMPUTED_VALUE"""),"Wales")</f>
        <v>Wales</v>
      </c>
      <c r="F624" s="8" t="str">
        <f>IFERROR(__xludf.DUMMYFUNCTION("""COMPUTED_VALUE"""),"PDC Merit Ranking")</f>
        <v>PDC Merit Ranking</v>
      </c>
      <c r="G624" s="8" t="str">
        <f>IFERROR(__xludf.DUMMYFUNCTION("""COMPUTED_VALUE"""),"56th")</f>
        <v>56th</v>
      </c>
      <c r="H624" s="8" t="str">
        <f>IFERROR(__xludf.DUMMYFUNCTION("""COMPUTED_VALUE"""),"PDC Merit Ranking")</f>
        <v>PDC Merit Ranking</v>
      </c>
      <c r="I624" s="10">
        <f>IFERROR(__xludf.DUMMYFUNCTION("""COMPUTED_VALUE"""),42401.0)</f>
        <v>42401</v>
      </c>
      <c r="J624" s="10">
        <f>IFERROR(__xludf.DUMMYFUNCTION("""COMPUTED_VALUE"""),44713.0)</f>
        <v>44713</v>
      </c>
      <c r="K624" s="11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9" t="str">
        <f>IFERROR(__xludf.DUMMYFUNCTION("""COMPUTED_VALUE"""),"Phuay Wei")</f>
        <v>Phuay Wei</v>
      </c>
      <c r="B625" s="8" t="str">
        <f>IFERROR(__xludf.DUMMYFUNCTION("""COMPUTED_VALUE"""),"Tan")</f>
        <v>Tan</v>
      </c>
      <c r="C625" s="8" t="str">
        <f>IFERROR(__xludf.DUMMYFUNCTION("""COMPUTED_VALUE"""),"")</f>
        <v/>
      </c>
      <c r="D625" s="8" t="str">
        <f>IFERROR(__xludf.DUMMYFUNCTION("""COMPUTED_VALUE"""),"UNK")</f>
        <v>UNK</v>
      </c>
      <c r="E625" s="8" t="str">
        <f>IFERROR(__xludf.DUMMYFUNCTION("""COMPUTED_VALUE"""),"Singapore")</f>
        <v>Singapore</v>
      </c>
      <c r="F625" s="8" t="str">
        <f>IFERROR(__xludf.DUMMYFUNCTION("""COMPUTED_VALUE"""),"DL")</f>
        <v>DL</v>
      </c>
      <c r="G625" s="8" t="str">
        <f>IFERROR(__xludf.DUMMYFUNCTION("""COMPUTED_VALUE"""),"92nd")</f>
        <v>92nd</v>
      </c>
      <c r="H625" s="8" t="str">
        <f>IFERROR(__xludf.DUMMYFUNCTION("""COMPUTED_VALUE"""),"DL")</f>
        <v>DL</v>
      </c>
      <c r="I625" s="10">
        <f>IFERROR(__xludf.DUMMYFUNCTION("""COMPUTED_VALUE"""),42401.0)</f>
        <v>42401</v>
      </c>
      <c r="J625" s="10">
        <f>IFERROR(__xludf.DUMMYFUNCTION("""COMPUTED_VALUE"""),44713.0)</f>
        <v>44713</v>
      </c>
      <c r="K625" s="11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9" t="str">
        <f>IFERROR(__xludf.DUMMYFUNCTION("""COMPUTED_VALUE"""),"Pippin")</f>
        <v>Pippin</v>
      </c>
      <c r="B626" s="8" t="str">
        <f>IFERROR(__xludf.DUMMYFUNCTION("""COMPUTED_VALUE"""),"Joshua")</f>
        <v>Joshua</v>
      </c>
      <c r="C626" s="8" t="str">
        <f>IFERROR(__xludf.DUMMYFUNCTION("""COMPUTED_VALUE"""),"Middleburg")</f>
        <v>Middleburg</v>
      </c>
      <c r="D626" s="8" t="str">
        <f>IFERROR(__xludf.DUMMYFUNCTION("""COMPUTED_VALUE"""),"FL")</f>
        <v>FL</v>
      </c>
      <c r="E626" s="8" t="str">
        <f>IFERROR(__xludf.DUMMYFUNCTION("""COMPUTED_VALUE"""),"USA")</f>
        <v>USA</v>
      </c>
      <c r="F626" s="8" t="str">
        <f>IFERROR(__xludf.DUMMYFUNCTION("""COMPUTED_VALUE"""),"Men Singles Cricket")</f>
        <v>Men Singles Cricket</v>
      </c>
      <c r="G626" s="8" t="str">
        <f>IFERROR(__xludf.DUMMYFUNCTION("""COMPUTED_VALUE"""),"2nd")</f>
        <v>2nd</v>
      </c>
      <c r="H626" s="8" t="str">
        <f>IFERROR(__xludf.DUMMYFUNCTION("""COMPUTED_VALUE"""),"Florida BS 34")</f>
        <v>Florida BS 34</v>
      </c>
      <c r="I626" s="10">
        <f>IFERROR(__xludf.DUMMYFUNCTION("""COMPUTED_VALUE"""),43617.0)</f>
        <v>43617</v>
      </c>
      <c r="J626" s="10">
        <f>IFERROR(__xludf.DUMMYFUNCTION("""COMPUTED_VALUE"""),44713.0)</f>
        <v>44713</v>
      </c>
      <c r="K626" s="11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9" t="str">
        <f>IFERROR(__xludf.DUMMYFUNCTION("""COMPUTED_VALUE"""),"Pless")</f>
        <v>Pless</v>
      </c>
      <c r="B627" s="8" t="str">
        <f>IFERROR(__xludf.DUMMYFUNCTION("""COMPUTED_VALUE"""),"Kenneth")</f>
        <v>Kenneth</v>
      </c>
      <c r="C627" s="8" t="str">
        <f>IFERROR(__xludf.DUMMYFUNCTION("""COMPUTED_VALUE"""),"Knoxville")</f>
        <v>Knoxville</v>
      </c>
      <c r="D627" s="8" t="str">
        <f>IFERROR(__xludf.DUMMYFUNCTION("""COMPUTED_VALUE"""),"TN")</f>
        <v>TN</v>
      </c>
      <c r="E627" s="8" t="str">
        <f>IFERROR(__xludf.DUMMYFUNCTION("""COMPUTED_VALUE"""),"USA")</f>
        <v>USA</v>
      </c>
      <c r="F627" s="8" t="str">
        <f>IFERROR(__xludf.DUMMYFUNCTION("""COMPUTED_VALUE"""),"Men Singles Cricket")</f>
        <v>Men Singles Cricket</v>
      </c>
      <c r="G627" s="8" t="str">
        <f>IFERROR(__xludf.DUMMYFUNCTION("""COMPUTED_VALUE"""),"3rd")</f>
        <v>3rd</v>
      </c>
      <c r="H627" s="8" t="str">
        <f>IFERROR(__xludf.DUMMYFUNCTION("""COMPUTED_VALUE"""),"South Carolina BS 34")</f>
        <v>South Carolina BS 34</v>
      </c>
      <c r="I627" s="10">
        <f>IFERROR(__xludf.DUMMYFUNCTION("""COMPUTED_VALUE"""),43617.0)</f>
        <v>43617</v>
      </c>
      <c r="J627" s="10">
        <f>IFERROR(__xludf.DUMMYFUNCTION("""COMPUTED_VALUE"""),44713.0)</f>
        <v>44713</v>
      </c>
      <c r="K627" s="11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9" t="str">
        <f>IFERROR(__xludf.DUMMYFUNCTION("""COMPUTED_VALUE"""),"Polito")</f>
        <v>Polito</v>
      </c>
      <c r="B628" s="8" t="str">
        <f>IFERROR(__xludf.DUMMYFUNCTION("""COMPUTED_VALUE"""),"Robert")</f>
        <v>Robert</v>
      </c>
      <c r="C628" s="8" t="str">
        <f>IFERROR(__xludf.DUMMYFUNCTION("""COMPUTED_VALUE"""),"Leesville")</f>
        <v>Leesville</v>
      </c>
      <c r="D628" s="8" t="str">
        <f>IFERROR(__xludf.DUMMYFUNCTION("""COMPUTED_VALUE"""),"SC")</f>
        <v>SC</v>
      </c>
      <c r="E628" s="8" t="str">
        <f>IFERROR(__xludf.DUMMYFUNCTION("""COMPUTED_VALUE"""),"USA")</f>
        <v>USA</v>
      </c>
      <c r="F628" s="8" t="str">
        <f>IFERROR(__xludf.DUMMYFUNCTION("""COMPUTED_VALUE"""),"Mens Singles Cricket")</f>
        <v>Mens Singles Cricket</v>
      </c>
      <c r="G628" s="8" t="str">
        <f>IFERROR(__xludf.DUMMYFUNCTION("""COMPUTED_VALUE"""),"3rd")</f>
        <v>3rd</v>
      </c>
      <c r="H628" s="8" t="str">
        <f>IFERROR(__xludf.DUMMYFUNCTION("""COMPUTED_VALUE"""),"SC Regional 32")</f>
        <v>SC Regional 32</v>
      </c>
      <c r="I628" s="10">
        <f>IFERROR(__xludf.DUMMYFUNCTION("""COMPUTED_VALUE"""),42887.0)</f>
        <v>42887</v>
      </c>
      <c r="J628" s="10">
        <f>IFERROR(__xludf.DUMMYFUNCTION("""COMPUTED_VALUE"""),43983.0)</f>
        <v>43983</v>
      </c>
      <c r="K628" s="11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9" t="str">
        <f>IFERROR(__xludf.DUMMYFUNCTION("""COMPUTED_VALUE"""),"Polk")</f>
        <v>Polk</v>
      </c>
      <c r="B629" s="8" t="str">
        <f>IFERROR(__xludf.DUMMYFUNCTION("""COMPUTED_VALUE"""),"Chris")</f>
        <v>Chris</v>
      </c>
      <c r="C629" s="8" t="str">
        <f>IFERROR(__xludf.DUMMYFUNCTION("""COMPUTED_VALUE"""),"Milwaukee")</f>
        <v>Milwaukee</v>
      </c>
      <c r="D629" s="8" t="str">
        <f>IFERROR(__xludf.DUMMYFUNCTION("""COMPUTED_VALUE"""),"WI")</f>
        <v>WI</v>
      </c>
      <c r="E629" s="8" t="str">
        <f>IFERROR(__xludf.DUMMYFUNCTION("""COMPUTED_VALUE"""),"USA")</f>
        <v>USA</v>
      </c>
      <c r="F629" s="8" t="str">
        <f>IFERROR(__xludf.DUMMYFUNCTION("""COMPUTED_VALUE"""),"Mens Singles Cricket")</f>
        <v>Mens Singles Cricket</v>
      </c>
      <c r="G629" s="8" t="str">
        <f>IFERROR(__xludf.DUMMYFUNCTION("""COMPUTED_VALUE"""),"1st")</f>
        <v>1st</v>
      </c>
      <c r="H629" s="8" t="str">
        <f>IFERROR(__xludf.DUMMYFUNCTION("""COMPUTED_VALUE"""),"WI Regional 32")</f>
        <v>WI Regional 32</v>
      </c>
      <c r="I629" s="10">
        <f>IFERROR(__xludf.DUMMYFUNCTION("""COMPUTED_VALUE"""),42887.0)</f>
        <v>42887</v>
      </c>
      <c r="J629" s="10">
        <f>IFERROR(__xludf.DUMMYFUNCTION("""COMPUTED_VALUE"""),43983.0)</f>
        <v>43983</v>
      </c>
      <c r="K629" s="11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12" t="str">
        <f>IFERROR(__xludf.DUMMYFUNCTION("""COMPUTED_VALUE"""),"Polk")</f>
        <v>Polk</v>
      </c>
      <c r="B630" s="13" t="str">
        <f>IFERROR(__xludf.DUMMYFUNCTION("""COMPUTED_VALUE"""),"Marcus")</f>
        <v>Marcus</v>
      </c>
      <c r="C630" s="13" t="str">
        <f>IFERROR(__xludf.DUMMYFUNCTION("""COMPUTED_VALUE"""),"Houston")</f>
        <v>Houston</v>
      </c>
      <c r="D630" s="13" t="str">
        <f>IFERROR(__xludf.DUMMYFUNCTION("""COMPUTED_VALUE"""),"TX")</f>
        <v>TX</v>
      </c>
      <c r="E630" s="13" t="str">
        <f>IFERROR(__xludf.DUMMYFUNCTION("""COMPUTED_VALUE"""),"USA")</f>
        <v>USA</v>
      </c>
      <c r="F630" s="13" t="str">
        <f>IFERROR(__xludf.DUMMYFUNCTION("""COMPUTED_VALUE"""),"Men Doubles 501")</f>
        <v>Men Doubles 501</v>
      </c>
      <c r="G630" s="13" t="str">
        <f>IFERROR(__xludf.DUMMYFUNCTION("""COMPUTED_VALUE"""),"2nd")</f>
        <v>2nd</v>
      </c>
      <c r="H630" s="13" t="str">
        <f>IFERROR(__xludf.DUMMYFUNCTION("""COMPUTED_VALUE"""),"Texas BS 34")</f>
        <v>Texas BS 34</v>
      </c>
      <c r="I630" s="14">
        <f>IFERROR(__xludf.DUMMYFUNCTION("""COMPUTED_VALUE"""),43617.0)</f>
        <v>43617</v>
      </c>
      <c r="J630" s="14">
        <f>IFERROR(__xludf.DUMMYFUNCTION("""COMPUTED_VALUE"""),44713.0)</f>
        <v>44713</v>
      </c>
      <c r="K630" s="11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9" t="str">
        <f>IFERROR(__xludf.DUMMYFUNCTION("""COMPUTED_VALUE"""),"Pollard")</f>
        <v>Pollard</v>
      </c>
      <c r="B631" s="8" t="str">
        <f>IFERROR(__xludf.DUMMYFUNCTION("""COMPUTED_VALUE"""),"Chip")</f>
        <v>Chip</v>
      </c>
      <c r="C631" s="8" t="str">
        <f>IFERROR(__xludf.DUMMYFUNCTION("""COMPUTED_VALUE"""),"Tomey")</f>
        <v>Tomey</v>
      </c>
      <c r="D631" s="8" t="str">
        <f>IFERROR(__xludf.DUMMYFUNCTION("""COMPUTED_VALUE"""),"AL")</f>
        <v>AL</v>
      </c>
      <c r="E631" s="8" t="str">
        <f>IFERROR(__xludf.DUMMYFUNCTION("""COMPUTED_VALUE"""),"USA")</f>
        <v>USA</v>
      </c>
      <c r="F631" s="8" t="str">
        <f>IFERROR(__xludf.DUMMYFUNCTION("""COMPUTED_VALUE"""),"Mens Doubles")</f>
        <v>Mens Doubles</v>
      </c>
      <c r="G631" s="8" t="str">
        <f>IFERROR(__xludf.DUMMYFUNCTION("""COMPUTED_VALUE"""),"2nd")</f>
        <v>2nd</v>
      </c>
      <c r="H631" s="8" t="str">
        <f>IFERROR(__xludf.DUMMYFUNCTION("""COMPUTED_VALUE"""),"TN Regional 33")</f>
        <v>TN Regional 33</v>
      </c>
      <c r="I631" s="10">
        <f>IFERROR(__xludf.DUMMYFUNCTION("""COMPUTED_VALUE"""),43252.0)</f>
        <v>43252</v>
      </c>
      <c r="J631" s="10">
        <f>IFERROR(__xludf.DUMMYFUNCTION("""COMPUTED_VALUE"""),44348.0)</f>
        <v>44348</v>
      </c>
      <c r="K631" s="11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9" t="str">
        <f>IFERROR(__xludf.DUMMYFUNCTION("""COMPUTED_VALUE"""),"Pollock")</f>
        <v>Pollock</v>
      </c>
      <c r="B632" s="8" t="str">
        <f>IFERROR(__xludf.DUMMYFUNCTION("""COMPUTED_VALUE"""),"Andrew")</f>
        <v>Andrew</v>
      </c>
      <c r="C632" s="8" t="str">
        <f>IFERROR(__xludf.DUMMYFUNCTION("""COMPUTED_VALUE"""),"Lewistown")</f>
        <v>Lewistown</v>
      </c>
      <c r="D632" s="8" t="str">
        <f>IFERROR(__xludf.DUMMYFUNCTION("""COMPUTED_VALUE"""),"PA")</f>
        <v>PA</v>
      </c>
      <c r="E632" s="8" t="str">
        <f>IFERROR(__xludf.DUMMYFUNCTION("""COMPUTED_VALUE"""),"USA")</f>
        <v>USA</v>
      </c>
      <c r="F632" s="8" t="str">
        <f>IFERROR(__xludf.DUMMYFUNCTION("""COMPUTED_VALUE"""),"Men Singles Cricket")</f>
        <v>Men Singles Cricket</v>
      </c>
      <c r="G632" s="8" t="str">
        <f>IFERROR(__xludf.DUMMYFUNCTION("""COMPUTED_VALUE"""),"2nd")</f>
        <v>2nd</v>
      </c>
      <c r="H632" s="8" t="str">
        <f>IFERROR(__xludf.DUMMYFUNCTION("""COMPUTED_VALUE"""),"Pennsylvania BS 34")</f>
        <v>Pennsylvania BS 34</v>
      </c>
      <c r="I632" s="10">
        <f>IFERROR(__xludf.DUMMYFUNCTION("""COMPUTED_VALUE"""),43617.0)</f>
        <v>43617</v>
      </c>
      <c r="J632" s="10">
        <f>IFERROR(__xludf.DUMMYFUNCTION("""COMPUTED_VALUE"""),44713.0)</f>
        <v>44713</v>
      </c>
      <c r="K632" s="11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9" t="str">
        <f>IFERROR(__xludf.DUMMYFUNCTION("""COMPUTED_VALUE"""),"Polvinen")</f>
        <v>Polvinen</v>
      </c>
      <c r="B633" s="8" t="str">
        <f>IFERROR(__xludf.DUMMYFUNCTION("""COMPUTED_VALUE"""),"J. P.")</f>
        <v>J. P.</v>
      </c>
      <c r="C633" s="8" t="str">
        <f>IFERROR(__xludf.DUMMYFUNCTION("""COMPUTED_VALUE"""),"Riverdale")</f>
        <v>Riverdale</v>
      </c>
      <c r="D633" s="8" t="str">
        <f>IFERROR(__xludf.DUMMYFUNCTION("""COMPUTED_VALUE"""),"GA")</f>
        <v>GA</v>
      </c>
      <c r="E633" s="8" t="str">
        <f>IFERROR(__xludf.DUMMYFUNCTION("""COMPUTED_VALUE"""),"USA")</f>
        <v>USA</v>
      </c>
      <c r="F633" s="8" t="str">
        <f>IFERROR(__xludf.DUMMYFUNCTION("""COMPUTED_VALUE"""),"Known Pro")</f>
        <v>Known Pro</v>
      </c>
      <c r="G633" s="8" t="str">
        <f>IFERROR(__xludf.DUMMYFUNCTION("""COMPUTED_VALUE"""),"")</f>
        <v/>
      </c>
      <c r="H633" s="8" t="str">
        <f>IFERROR(__xludf.DUMMYFUNCTION("""COMPUTED_VALUE"""),"Known Ability")</f>
        <v>Known Ability</v>
      </c>
      <c r="I633" s="10">
        <f>IFERROR(__xludf.DUMMYFUNCTION("""COMPUTED_VALUE"""),36892.0)</f>
        <v>36892</v>
      </c>
      <c r="J633" s="10">
        <f>IFERROR(__xludf.DUMMYFUNCTION("""COMPUTED_VALUE"""),45809.0)</f>
        <v>45809</v>
      </c>
      <c r="K633" s="11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9" t="str">
        <f>IFERROR(__xludf.DUMMYFUNCTION("""COMPUTED_VALUE"""),"Ponder")</f>
        <v>Ponder</v>
      </c>
      <c r="B634" s="8" t="str">
        <f>IFERROR(__xludf.DUMMYFUNCTION("""COMPUTED_VALUE"""),"Christopher")</f>
        <v>Christopher</v>
      </c>
      <c r="C634" s="8" t="str">
        <f>IFERROR(__xludf.DUMMYFUNCTION("""COMPUTED_VALUE"""),"Pell City")</f>
        <v>Pell City</v>
      </c>
      <c r="D634" s="8" t="str">
        <f>IFERROR(__xludf.DUMMYFUNCTION("""COMPUTED_VALUE"""),"AL")</f>
        <v>AL</v>
      </c>
      <c r="E634" s="8" t="str">
        <f>IFERROR(__xludf.DUMMYFUNCTION("""COMPUTED_VALUE"""),"USA")</f>
        <v>USA</v>
      </c>
      <c r="F634" s="8" t="str">
        <f>IFERROR(__xludf.DUMMYFUNCTION("""COMPUTED_VALUE"""),"Pro Doubles 501")</f>
        <v>Pro Doubles 501</v>
      </c>
      <c r="G634" s="8" t="str">
        <f>IFERROR(__xludf.DUMMYFUNCTION("""COMPUTED_VALUE"""),"3rd")</f>
        <v>3rd</v>
      </c>
      <c r="H634" s="8" t="str">
        <f>IFERROR(__xludf.DUMMYFUNCTION("""COMPUTED_VALUE"""),"Georgia BS 34")</f>
        <v>Georgia BS 34</v>
      </c>
      <c r="I634" s="10">
        <f>IFERROR(__xludf.DUMMYFUNCTION("""COMPUTED_VALUE"""),43617.0)</f>
        <v>43617</v>
      </c>
      <c r="J634" s="10">
        <f>IFERROR(__xludf.DUMMYFUNCTION("""COMPUTED_VALUE"""),44713.0)</f>
        <v>44713</v>
      </c>
      <c r="K634" s="11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9" t="str">
        <f>IFERROR(__xludf.DUMMYFUNCTION("""COMPUTED_VALUE"""),"Pope")</f>
        <v>Pope</v>
      </c>
      <c r="B635" s="8" t="str">
        <f>IFERROR(__xludf.DUMMYFUNCTION("""COMPUTED_VALUE"""),"Clarence")</f>
        <v>Clarence</v>
      </c>
      <c r="C635" s="8" t="str">
        <f>IFERROR(__xludf.DUMMYFUNCTION("""COMPUTED_VALUE"""),"Aliquipa")</f>
        <v>Aliquipa</v>
      </c>
      <c r="D635" s="8" t="str">
        <f>IFERROR(__xludf.DUMMYFUNCTION("""COMPUTED_VALUE"""),"PA")</f>
        <v>PA</v>
      </c>
      <c r="E635" s="8" t="str">
        <f>IFERROR(__xludf.DUMMYFUNCTION("""COMPUTED_VALUE"""),"USA")</f>
        <v>USA</v>
      </c>
      <c r="F635" s="8" t="str">
        <f>IFERROR(__xludf.DUMMYFUNCTION("""COMPUTED_VALUE"""),"Mens Singles")</f>
        <v>Mens Singles</v>
      </c>
      <c r="G635" s="8" t="str">
        <f>IFERROR(__xludf.DUMMYFUNCTION("""COMPUTED_VALUE"""),"3rd")</f>
        <v>3rd</v>
      </c>
      <c r="H635" s="8" t="str">
        <f>IFERROR(__xludf.DUMMYFUNCTION("""COMPUTED_VALUE"""),"BS 33 Finals")</f>
        <v>BS 33 Finals</v>
      </c>
      <c r="I635" s="10">
        <f>IFERROR(__xludf.DUMMYFUNCTION("""COMPUTED_VALUE"""),43252.0)</f>
        <v>43252</v>
      </c>
      <c r="J635" s="10">
        <f>IFERROR(__xludf.DUMMYFUNCTION("""COMPUTED_VALUE"""),44348.0)</f>
        <v>44348</v>
      </c>
      <c r="K635" s="11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9" t="str">
        <f>IFERROR(__xludf.DUMMYFUNCTION("""COMPUTED_VALUE"""),"Pople")</f>
        <v>Pople</v>
      </c>
      <c r="B636" s="8" t="str">
        <f>IFERROR(__xludf.DUMMYFUNCTION("""COMPUTED_VALUE"""),"Troy")</f>
        <v>Troy</v>
      </c>
      <c r="C636" s="8" t="str">
        <f>IFERROR(__xludf.DUMMYFUNCTION("""COMPUTED_VALUE"""),"Denton")</f>
        <v>Denton</v>
      </c>
      <c r="D636" s="8" t="str">
        <f>IFERROR(__xludf.DUMMYFUNCTION("""COMPUTED_VALUE"""),"TX")</f>
        <v>TX</v>
      </c>
      <c r="E636" s="8" t="str">
        <f>IFERROR(__xludf.DUMMYFUNCTION("""COMPUTED_VALUE"""),"USA")</f>
        <v>USA</v>
      </c>
      <c r="F636" s="8" t="str">
        <f>IFERROR(__xludf.DUMMYFUNCTION("""COMPUTED_VALUE"""),"Pro/Am Cricket")</f>
        <v>Pro/Am Cricket</v>
      </c>
      <c r="G636" s="8" t="str">
        <f>IFERROR(__xludf.DUMMYFUNCTION("""COMPUTED_VALUE"""),"2nd")</f>
        <v>2nd</v>
      </c>
      <c r="H636" s="8" t="str">
        <f>IFERROR(__xludf.DUMMYFUNCTION("""COMPUTED_VALUE"""),"TX Regional 33")</f>
        <v>TX Regional 33</v>
      </c>
      <c r="I636" s="10">
        <f>IFERROR(__xludf.DUMMYFUNCTION("""COMPUTED_VALUE"""),43252.0)</f>
        <v>43252</v>
      </c>
      <c r="J636" s="10">
        <f>IFERROR(__xludf.DUMMYFUNCTION("""COMPUTED_VALUE"""),44348.0)</f>
        <v>44348</v>
      </c>
      <c r="K636" s="11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9" t="str">
        <f>IFERROR(__xludf.DUMMYFUNCTION("""COMPUTED_VALUE"""),"Potter")</f>
        <v>Potter</v>
      </c>
      <c r="B637" s="8" t="str">
        <f>IFERROR(__xludf.DUMMYFUNCTION("""COMPUTED_VALUE"""),"Mark")</f>
        <v>Mark</v>
      </c>
      <c r="C637" s="8" t="str">
        <f>IFERROR(__xludf.DUMMYFUNCTION("""COMPUTED_VALUE"""),"Buffalo")</f>
        <v>Buffalo</v>
      </c>
      <c r="D637" s="8" t="str">
        <f>IFERROR(__xludf.DUMMYFUNCTION("""COMPUTED_VALUE"""),"NY")</f>
        <v>NY</v>
      </c>
      <c r="E637" s="8" t="str">
        <f>IFERROR(__xludf.DUMMYFUNCTION("""COMPUTED_VALUE"""),"USA")</f>
        <v>USA</v>
      </c>
      <c r="F637" s="8" t="str">
        <f>IFERROR(__xludf.DUMMYFUNCTION("""COMPUTED_VALUE"""),"Known Pro")</f>
        <v>Known Pro</v>
      </c>
      <c r="G637" s="8" t="str">
        <f>IFERROR(__xludf.DUMMYFUNCTION("""COMPUTED_VALUE"""),"")</f>
        <v/>
      </c>
      <c r="H637" s="8" t="str">
        <f>IFERROR(__xludf.DUMMYFUNCTION("""COMPUTED_VALUE"""),"Known Ability")</f>
        <v>Known Ability</v>
      </c>
      <c r="I637" s="10">
        <f>IFERROR(__xludf.DUMMYFUNCTION("""COMPUTED_VALUE"""),36892.0)</f>
        <v>36892</v>
      </c>
      <c r="J637" s="10">
        <f>IFERROR(__xludf.DUMMYFUNCTION("""COMPUTED_VALUE"""),45809.0)</f>
        <v>45809</v>
      </c>
      <c r="K637" s="11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9" t="str">
        <f>IFERROR(__xludf.DUMMYFUNCTION("""COMPUTED_VALUE"""),"Powell")</f>
        <v>Powell</v>
      </c>
      <c r="B638" s="8" t="str">
        <f>IFERROR(__xludf.DUMMYFUNCTION("""COMPUTED_VALUE"""),"Gary")</f>
        <v>Gary</v>
      </c>
      <c r="C638" s="8" t="str">
        <f>IFERROR(__xludf.DUMMYFUNCTION("""COMPUTED_VALUE"""),"Oak Island")</f>
        <v>Oak Island</v>
      </c>
      <c r="D638" s="8" t="str">
        <f>IFERROR(__xludf.DUMMYFUNCTION("""COMPUTED_VALUE"""),"NC")</f>
        <v>NC</v>
      </c>
      <c r="E638" s="8" t="str">
        <f>IFERROR(__xludf.DUMMYFUNCTION("""COMPUTED_VALUE"""),"USA")</f>
        <v>USA</v>
      </c>
      <c r="F638" s="8" t="str">
        <f>IFERROR(__xludf.DUMMYFUNCTION("""COMPUTED_VALUE"""),"Pro/Am Cricket")</f>
        <v>Pro/Am Cricket</v>
      </c>
      <c r="G638" s="8" t="str">
        <f>IFERROR(__xludf.DUMMYFUNCTION("""COMPUTED_VALUE"""),"3rd")</f>
        <v>3rd</v>
      </c>
      <c r="H638" s="8" t="str">
        <f>IFERROR(__xludf.DUMMYFUNCTION("""COMPUTED_VALUE"""),"SC Regional 33")</f>
        <v>SC Regional 33</v>
      </c>
      <c r="I638" s="10">
        <f>IFERROR(__xludf.DUMMYFUNCTION("""COMPUTED_VALUE"""),43252.0)</f>
        <v>43252</v>
      </c>
      <c r="J638" s="10">
        <f>IFERROR(__xludf.DUMMYFUNCTION("""COMPUTED_VALUE"""),44348.0)</f>
        <v>44348</v>
      </c>
      <c r="K638" s="11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12" t="str">
        <f>IFERROR(__xludf.DUMMYFUNCTION("""COMPUTED_VALUE"""),"Powers")</f>
        <v>Powers</v>
      </c>
      <c r="B639" s="13" t="str">
        <f>IFERROR(__xludf.DUMMYFUNCTION("""COMPUTED_VALUE"""),"Arthur")</f>
        <v>Arthur</v>
      </c>
      <c r="C639" s="13" t="str">
        <f>IFERROR(__xludf.DUMMYFUNCTION("""COMPUTED_VALUE"""),"Wasilla")</f>
        <v>Wasilla</v>
      </c>
      <c r="D639" s="13" t="str">
        <f>IFERROR(__xludf.DUMMYFUNCTION("""COMPUTED_VALUE"""),"AK")</f>
        <v>AK</v>
      </c>
      <c r="E639" s="13" t="str">
        <f>IFERROR(__xludf.DUMMYFUNCTION("""COMPUTED_VALUE"""),"USA")</f>
        <v>USA</v>
      </c>
      <c r="F639" s="13" t="str">
        <f>IFERROR(__xludf.DUMMYFUNCTION("""COMPUTED_VALUE"""),"Mens Cricket Doubles")</f>
        <v>Mens Cricket Doubles</v>
      </c>
      <c r="G639" s="13" t="str">
        <f>IFERROR(__xludf.DUMMYFUNCTION("""COMPUTED_VALUE"""),"2nd")</f>
        <v>2nd</v>
      </c>
      <c r="H639" s="13" t="str">
        <f>IFERROR(__xludf.DUMMYFUNCTION("""COMPUTED_VALUE"""),"TX Regional 33")</f>
        <v>TX Regional 33</v>
      </c>
      <c r="I639" s="14">
        <f>IFERROR(__xludf.DUMMYFUNCTION("""COMPUTED_VALUE"""),43252.0)</f>
        <v>43252</v>
      </c>
      <c r="J639" s="14">
        <f>IFERROR(__xludf.DUMMYFUNCTION("""COMPUTED_VALUE"""),44348.0)</f>
        <v>44348</v>
      </c>
      <c r="K639" s="11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9" t="str">
        <f>IFERROR(__xludf.DUMMYFUNCTION("""COMPUTED_VALUE"""),"Price")</f>
        <v>Price</v>
      </c>
      <c r="B640" s="8" t="str">
        <f>IFERROR(__xludf.DUMMYFUNCTION("""COMPUTED_VALUE"""),"Steve")</f>
        <v>Steve</v>
      </c>
      <c r="C640" s="8" t="str">
        <f>IFERROR(__xludf.DUMMYFUNCTION("""COMPUTED_VALUE"""),"Indianapolis")</f>
        <v>Indianapolis</v>
      </c>
      <c r="D640" s="8" t="str">
        <f>IFERROR(__xludf.DUMMYFUNCTION("""COMPUTED_VALUE"""),"IN")</f>
        <v>IN</v>
      </c>
      <c r="E640" s="8" t="str">
        <f>IFERROR(__xludf.DUMMYFUNCTION("""COMPUTED_VALUE"""),"USA")</f>
        <v>USA</v>
      </c>
      <c r="F640" s="8" t="str">
        <f>IFERROR(__xludf.DUMMYFUNCTION("""COMPUTED_VALUE"""),"Pro/Am Cricket")</f>
        <v>Pro/Am Cricket</v>
      </c>
      <c r="G640" s="8" t="str">
        <f>IFERROR(__xludf.DUMMYFUNCTION("""COMPUTED_VALUE"""),"1st")</f>
        <v>1st</v>
      </c>
      <c r="H640" s="8" t="str">
        <f>IFERROR(__xludf.DUMMYFUNCTION("""COMPUTED_VALUE"""),"IN Regional 33")</f>
        <v>IN Regional 33</v>
      </c>
      <c r="I640" s="10">
        <f>IFERROR(__xludf.DUMMYFUNCTION("""COMPUTED_VALUE"""),43252.0)</f>
        <v>43252</v>
      </c>
      <c r="J640" s="10">
        <f>IFERROR(__xludf.DUMMYFUNCTION("""COMPUTED_VALUE"""),44348.0)</f>
        <v>44348</v>
      </c>
      <c r="K640" s="11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9" t="str">
        <f>IFERROR(__xludf.DUMMYFUNCTION("""COMPUTED_VALUE"""),"Priest")</f>
        <v>Priest</v>
      </c>
      <c r="B641" s="8" t="str">
        <f>IFERROR(__xludf.DUMMYFUNCTION("""COMPUTED_VALUE"""),"Derek")</f>
        <v>Derek</v>
      </c>
      <c r="C641" s="8" t="str">
        <f>IFERROR(__xludf.DUMMYFUNCTION("""COMPUTED_VALUE"""),"Fate")</f>
        <v>Fate</v>
      </c>
      <c r="D641" s="8" t="str">
        <f>IFERROR(__xludf.DUMMYFUNCTION("""COMPUTED_VALUE"""),"TX")</f>
        <v>TX</v>
      </c>
      <c r="E641" s="8" t="str">
        <f>IFERROR(__xludf.DUMMYFUNCTION("""COMPUTED_VALUE"""),"USA")</f>
        <v>USA</v>
      </c>
      <c r="F641" s="8" t="str">
        <f>IFERROR(__xludf.DUMMYFUNCTION("""COMPUTED_VALUE"""),"Mixed Triples 701")</f>
        <v>Mixed Triples 701</v>
      </c>
      <c r="G641" s="8" t="str">
        <f>IFERROR(__xludf.DUMMYFUNCTION("""COMPUTED_VALUE"""),"1st")</f>
        <v>1st</v>
      </c>
      <c r="H641" s="8" t="str">
        <f>IFERROR(__xludf.DUMMYFUNCTION("""COMPUTED_VALUE"""),"Texas BS 34")</f>
        <v>Texas BS 34</v>
      </c>
      <c r="I641" s="10">
        <f>IFERROR(__xludf.DUMMYFUNCTION("""COMPUTED_VALUE"""),43617.0)</f>
        <v>43617</v>
      </c>
      <c r="J641" s="10">
        <f>IFERROR(__xludf.DUMMYFUNCTION("""COMPUTED_VALUE"""),44713.0)</f>
        <v>44713</v>
      </c>
      <c r="K641" s="11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9" t="str">
        <f>IFERROR(__xludf.DUMMYFUNCTION("""COMPUTED_VALUE"""),"Prince")</f>
        <v>Prince</v>
      </c>
      <c r="B642" s="8" t="str">
        <f>IFERROR(__xludf.DUMMYFUNCTION("""COMPUTED_VALUE"""),"Rick")</f>
        <v>Rick</v>
      </c>
      <c r="C642" s="8" t="str">
        <f>IFERROR(__xludf.DUMMYFUNCTION("""COMPUTED_VALUE"""),"Lackawana")</f>
        <v>Lackawana</v>
      </c>
      <c r="D642" s="8" t="str">
        <f>IFERROR(__xludf.DUMMYFUNCTION("""COMPUTED_VALUE"""),"NY")</f>
        <v>NY</v>
      </c>
      <c r="E642" s="8" t="str">
        <f>IFERROR(__xludf.DUMMYFUNCTION("""COMPUTED_VALUE"""),"USA")</f>
        <v>USA</v>
      </c>
      <c r="F642" s="8" t="str">
        <f>IFERROR(__xludf.DUMMYFUNCTION("""COMPUTED_VALUE"""),"Mens Cricket Doubles")</f>
        <v>Mens Cricket Doubles</v>
      </c>
      <c r="G642" s="8" t="str">
        <f>IFERROR(__xludf.DUMMYFUNCTION("""COMPUTED_VALUE"""),"1st")</f>
        <v>1st</v>
      </c>
      <c r="H642" s="8" t="str">
        <f>IFERROR(__xludf.DUMMYFUNCTION("""COMPUTED_VALUE"""),"NY Regional 33")</f>
        <v>NY Regional 33</v>
      </c>
      <c r="I642" s="10">
        <f>IFERROR(__xludf.DUMMYFUNCTION("""COMPUTED_VALUE"""),43252.0)</f>
        <v>43252</v>
      </c>
      <c r="J642" s="10">
        <f>IFERROR(__xludf.DUMMYFUNCTION("""COMPUTED_VALUE"""),44348.0)</f>
        <v>44348</v>
      </c>
      <c r="K642" s="11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9" t="str">
        <f>IFERROR(__xludf.DUMMYFUNCTION("""COMPUTED_VALUE"""),"Proehl")</f>
        <v>Proehl</v>
      </c>
      <c r="B643" s="8" t="str">
        <f>IFERROR(__xludf.DUMMYFUNCTION("""COMPUTED_VALUE"""),"Christopher")</f>
        <v>Christopher</v>
      </c>
      <c r="C643" s="8" t="str">
        <f>IFERROR(__xludf.DUMMYFUNCTION("""COMPUTED_VALUE"""),"Greenfield")</f>
        <v>Greenfield</v>
      </c>
      <c r="D643" s="8" t="str">
        <f>IFERROR(__xludf.DUMMYFUNCTION("""COMPUTED_VALUE"""),"IN")</f>
        <v>IN</v>
      </c>
      <c r="E643" s="8" t="str">
        <f>IFERROR(__xludf.DUMMYFUNCTION("""COMPUTED_VALUE"""),"USA")</f>
        <v>USA</v>
      </c>
      <c r="F643" s="8" t="str">
        <f>IFERROR(__xludf.DUMMYFUNCTION("""COMPUTED_VALUE"""),"Men Doubles 501")</f>
        <v>Men Doubles 501</v>
      </c>
      <c r="G643" s="8" t="str">
        <f>IFERROR(__xludf.DUMMYFUNCTION("""COMPUTED_VALUE"""),"2nd")</f>
        <v>2nd</v>
      </c>
      <c r="H643" s="8" t="str">
        <f>IFERROR(__xludf.DUMMYFUNCTION("""COMPUTED_VALUE"""),"Indiana BS 34")</f>
        <v>Indiana BS 34</v>
      </c>
      <c r="I643" s="10">
        <f>IFERROR(__xludf.DUMMYFUNCTION("""COMPUTED_VALUE"""),43617.0)</f>
        <v>43617</v>
      </c>
      <c r="J643" s="10">
        <f>IFERROR(__xludf.DUMMYFUNCTION("""COMPUTED_VALUE"""),44713.0)</f>
        <v>44713</v>
      </c>
      <c r="K643" s="11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9" t="str">
        <f>IFERROR(__xludf.DUMMYFUNCTION("""COMPUTED_VALUE"""),"Prosser")</f>
        <v>Prosser</v>
      </c>
      <c r="B644" s="8" t="str">
        <f>IFERROR(__xludf.DUMMYFUNCTION("""COMPUTED_VALUE"""),"Jason")</f>
        <v>Jason</v>
      </c>
      <c r="C644" s="8" t="str">
        <f>IFERROR(__xludf.DUMMYFUNCTION("""COMPUTED_VALUE"""),"Norton")</f>
        <v>Norton</v>
      </c>
      <c r="D644" s="8" t="str">
        <f>IFERROR(__xludf.DUMMYFUNCTION("""COMPUTED_VALUE"""),"OH")</f>
        <v>OH</v>
      </c>
      <c r="E644" s="8" t="str">
        <f>IFERROR(__xludf.DUMMYFUNCTION("""COMPUTED_VALUE"""),"USA")</f>
        <v>USA</v>
      </c>
      <c r="F644" s="8" t="str">
        <f>IFERROR(__xludf.DUMMYFUNCTION("""COMPUTED_VALUE"""),"Men Singles Cricket")</f>
        <v>Men Singles Cricket</v>
      </c>
      <c r="G644" s="8" t="str">
        <f>IFERROR(__xludf.DUMMYFUNCTION("""COMPUTED_VALUE"""),"3rd")</f>
        <v>3rd</v>
      </c>
      <c r="H644" s="8" t="str">
        <f>IFERROR(__xludf.DUMMYFUNCTION("""COMPUTED_VALUE"""),"Ohio BS 34")</f>
        <v>Ohio BS 34</v>
      </c>
      <c r="I644" s="10">
        <f>IFERROR(__xludf.DUMMYFUNCTION("""COMPUTED_VALUE"""),43617.0)</f>
        <v>43617</v>
      </c>
      <c r="J644" s="10">
        <f>IFERROR(__xludf.DUMMYFUNCTION("""COMPUTED_VALUE"""),44713.0)</f>
        <v>44713</v>
      </c>
      <c r="K644" s="11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9" t="str">
        <f>IFERROR(__xludf.DUMMYFUNCTION("""COMPUTED_VALUE"""),"Pruit III")</f>
        <v>Pruit III</v>
      </c>
      <c r="B645" s="8" t="str">
        <f>IFERROR(__xludf.DUMMYFUNCTION("""COMPUTED_VALUE"""),"James")</f>
        <v>James</v>
      </c>
      <c r="C645" s="8" t="str">
        <f>IFERROR(__xludf.DUMMYFUNCTION("""COMPUTED_VALUE"""),"Covington")</f>
        <v>Covington</v>
      </c>
      <c r="D645" s="8" t="str">
        <f>IFERROR(__xludf.DUMMYFUNCTION("""COMPUTED_VALUE"""),"GA")</f>
        <v>GA</v>
      </c>
      <c r="E645" s="8" t="str">
        <f>IFERROR(__xludf.DUMMYFUNCTION("""COMPUTED_VALUE"""),"USA")</f>
        <v>USA</v>
      </c>
      <c r="F645" s="8" t="str">
        <f>IFERROR(__xludf.DUMMYFUNCTION("""COMPUTED_VALUE"""),"Pro/Am Cricket")</f>
        <v>Pro/Am Cricket</v>
      </c>
      <c r="G645" s="8" t="str">
        <f>IFERROR(__xludf.DUMMYFUNCTION("""COMPUTED_VALUE"""),"3rd")</f>
        <v>3rd</v>
      </c>
      <c r="H645" s="8" t="str">
        <f>IFERROR(__xludf.DUMMYFUNCTION("""COMPUTED_VALUE"""),"Georgia BS 34")</f>
        <v>Georgia BS 34</v>
      </c>
      <c r="I645" s="10">
        <f>IFERROR(__xludf.DUMMYFUNCTION("""COMPUTED_VALUE"""),43617.0)</f>
        <v>43617</v>
      </c>
      <c r="J645" s="10">
        <f>IFERROR(__xludf.DUMMYFUNCTION("""COMPUTED_VALUE"""),44713.0)</f>
        <v>44713</v>
      </c>
      <c r="K645" s="11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9" t="str">
        <f>IFERROR(__xludf.DUMMYFUNCTION("""COMPUTED_VALUE"""),"Pruitt")</f>
        <v>Pruitt</v>
      </c>
      <c r="B646" s="8" t="str">
        <f>IFERROR(__xludf.DUMMYFUNCTION("""COMPUTED_VALUE"""),"James")</f>
        <v>James</v>
      </c>
      <c r="C646" s="8" t="str">
        <f>IFERROR(__xludf.DUMMYFUNCTION("""COMPUTED_VALUE"""),"Covington")</f>
        <v>Covington</v>
      </c>
      <c r="D646" s="8" t="str">
        <f>IFERROR(__xludf.DUMMYFUNCTION("""COMPUTED_VALUE"""),"GA")</f>
        <v>GA</v>
      </c>
      <c r="E646" s="8" t="str">
        <f>IFERROR(__xludf.DUMMYFUNCTION("""COMPUTED_VALUE"""),"USA")</f>
        <v>USA</v>
      </c>
      <c r="F646" s="8" t="str">
        <f>IFERROR(__xludf.DUMMYFUNCTION("""COMPUTED_VALUE"""),"Mens Cricket Doubles")</f>
        <v>Mens Cricket Doubles</v>
      </c>
      <c r="G646" s="8" t="str">
        <f>IFERROR(__xludf.DUMMYFUNCTION("""COMPUTED_VALUE"""),"1st")</f>
        <v>1st</v>
      </c>
      <c r="H646" s="8" t="str">
        <f>IFERROR(__xludf.DUMMYFUNCTION("""COMPUTED_VALUE"""),"GA Regional 33")</f>
        <v>GA Regional 33</v>
      </c>
      <c r="I646" s="10">
        <f>IFERROR(__xludf.DUMMYFUNCTION("""COMPUTED_VALUE"""),43252.0)</f>
        <v>43252</v>
      </c>
      <c r="J646" s="10">
        <f>IFERROR(__xludf.DUMMYFUNCTION("""COMPUTED_VALUE"""),44348.0)</f>
        <v>44348</v>
      </c>
      <c r="K646" s="11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9" t="str">
        <f>IFERROR(__xludf.DUMMYFUNCTION("""COMPUTED_VALUE"""),"Pryor")</f>
        <v>Pryor</v>
      </c>
      <c r="B647" s="8" t="str">
        <f>IFERROR(__xludf.DUMMYFUNCTION("""COMPUTED_VALUE"""),"Rodney")</f>
        <v>Rodney</v>
      </c>
      <c r="C647" s="8" t="str">
        <f>IFERROR(__xludf.DUMMYFUNCTION("""COMPUTED_VALUE"""),"Port Richey")</f>
        <v>Port Richey</v>
      </c>
      <c r="D647" s="8" t="str">
        <f>IFERROR(__xludf.DUMMYFUNCTION("""COMPUTED_VALUE"""),"FL")</f>
        <v>FL</v>
      </c>
      <c r="E647" s="8" t="str">
        <f>IFERROR(__xludf.DUMMYFUNCTION("""COMPUTED_VALUE"""),"USA")</f>
        <v>USA</v>
      </c>
      <c r="F647" s="8" t="str">
        <f>IFERROR(__xludf.DUMMYFUNCTION("""COMPUTED_VALUE"""),"Pro Doubles")</f>
        <v>Pro Doubles</v>
      </c>
      <c r="G647" s="8" t="str">
        <f>IFERROR(__xludf.DUMMYFUNCTION("""COMPUTED_VALUE"""),"2nd")</f>
        <v>2nd</v>
      </c>
      <c r="H647" s="8" t="str">
        <f>IFERROR(__xludf.DUMMYFUNCTION("""COMPUTED_VALUE"""),"GA Regional 33")</f>
        <v>GA Regional 33</v>
      </c>
      <c r="I647" s="10">
        <f>IFERROR(__xludf.DUMMYFUNCTION("""COMPUTED_VALUE"""),43252.0)</f>
        <v>43252</v>
      </c>
      <c r="J647" s="10">
        <f>IFERROR(__xludf.DUMMYFUNCTION("""COMPUTED_VALUE"""),44348.0)</f>
        <v>44348</v>
      </c>
      <c r="K647" s="11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9" t="str">
        <f>IFERROR(__xludf.DUMMYFUNCTION("""COMPUTED_VALUE"""),"Puente")</f>
        <v>Puente</v>
      </c>
      <c r="B648" s="8" t="str">
        <f>IFERROR(__xludf.DUMMYFUNCTION("""COMPUTED_VALUE"""),"Dennis")</f>
        <v>Dennis</v>
      </c>
      <c r="C648" s="8" t="str">
        <f>IFERROR(__xludf.DUMMYFUNCTION("""COMPUTED_VALUE"""),"San Antonio")</f>
        <v>San Antonio</v>
      </c>
      <c r="D648" s="8" t="str">
        <f>IFERROR(__xludf.DUMMYFUNCTION("""COMPUTED_VALUE"""),"TX")</f>
        <v>TX</v>
      </c>
      <c r="E648" s="8" t="str">
        <f>IFERROR(__xludf.DUMMYFUNCTION("""COMPUTED_VALUE"""),"USA")</f>
        <v>USA</v>
      </c>
      <c r="F648" s="8" t="str">
        <f>IFERROR(__xludf.DUMMYFUNCTION("""COMPUTED_VALUE"""),"Mens Singles")</f>
        <v>Mens Singles</v>
      </c>
      <c r="G648" s="8" t="str">
        <f>IFERROR(__xludf.DUMMYFUNCTION("""COMPUTED_VALUE"""),"3rd")</f>
        <v>3rd</v>
      </c>
      <c r="H648" s="8" t="str">
        <f>IFERROR(__xludf.DUMMYFUNCTION("""COMPUTED_VALUE"""),"TX Regional 33")</f>
        <v>TX Regional 33</v>
      </c>
      <c r="I648" s="10">
        <f>IFERROR(__xludf.DUMMYFUNCTION("""COMPUTED_VALUE"""),43252.0)</f>
        <v>43252</v>
      </c>
      <c r="J648" s="10">
        <f>IFERROR(__xludf.DUMMYFUNCTION("""COMPUTED_VALUE"""),44348.0)</f>
        <v>44348</v>
      </c>
      <c r="K648" s="11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9" t="str">
        <f>IFERROR(__xludf.DUMMYFUNCTION("""COMPUTED_VALUE"""),"Purdy")</f>
        <v>Purdy</v>
      </c>
      <c r="B649" s="8" t="str">
        <f>IFERROR(__xludf.DUMMYFUNCTION("""COMPUTED_VALUE"""),"James")</f>
        <v>James</v>
      </c>
      <c r="C649" s="8" t="str">
        <f>IFERROR(__xludf.DUMMYFUNCTION("""COMPUTED_VALUE"""),"Wheeling")</f>
        <v>Wheeling</v>
      </c>
      <c r="D649" s="8" t="str">
        <f>IFERROR(__xludf.DUMMYFUNCTION("""COMPUTED_VALUE"""),"WV")</f>
        <v>WV</v>
      </c>
      <c r="E649" s="8" t="str">
        <f>IFERROR(__xludf.DUMMYFUNCTION("""COMPUTED_VALUE"""),"USA")</f>
        <v>USA</v>
      </c>
      <c r="F649" s="8" t="str">
        <f>IFERROR(__xludf.DUMMYFUNCTION("""COMPUTED_VALUE"""),"Men Doubles Cricket")</f>
        <v>Men Doubles Cricket</v>
      </c>
      <c r="G649" s="8" t="str">
        <f>IFERROR(__xludf.DUMMYFUNCTION("""COMPUTED_VALUE"""),"2nd")</f>
        <v>2nd</v>
      </c>
      <c r="H649" s="8" t="str">
        <f>IFERROR(__xludf.DUMMYFUNCTION("""COMPUTED_VALUE"""),"Pennsylvania BS 34")</f>
        <v>Pennsylvania BS 34</v>
      </c>
      <c r="I649" s="10">
        <f>IFERROR(__xludf.DUMMYFUNCTION("""COMPUTED_VALUE"""),43617.0)</f>
        <v>43617</v>
      </c>
      <c r="J649" s="10">
        <f>IFERROR(__xludf.DUMMYFUNCTION("""COMPUTED_VALUE"""),44713.0)</f>
        <v>44713</v>
      </c>
      <c r="K649" s="11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9" t="str">
        <f>IFERROR(__xludf.DUMMYFUNCTION("""COMPUTED_VALUE"""),"Quade")</f>
        <v>Quade</v>
      </c>
      <c r="B650" s="8" t="str">
        <f>IFERROR(__xludf.DUMMYFUNCTION("""COMPUTED_VALUE"""),"Ken")</f>
        <v>Ken</v>
      </c>
      <c r="C650" s="8" t="str">
        <f>IFERROR(__xludf.DUMMYFUNCTION("""COMPUTED_VALUE"""),"Plattsmouth")</f>
        <v>Plattsmouth</v>
      </c>
      <c r="D650" s="8" t="str">
        <f>IFERROR(__xludf.DUMMYFUNCTION("""COMPUTED_VALUE"""),"NE")</f>
        <v>NE</v>
      </c>
      <c r="E650" s="8" t="str">
        <f>IFERROR(__xludf.DUMMYFUNCTION("""COMPUTED_VALUE"""),"USA")</f>
        <v>USA</v>
      </c>
      <c r="F650" s="8" t="str">
        <f>IFERROR(__xludf.DUMMYFUNCTION("""COMPUTED_VALUE"""),"Mens Doubles")</f>
        <v>Mens Doubles</v>
      </c>
      <c r="G650" s="8" t="str">
        <f>IFERROR(__xludf.DUMMYFUNCTION("""COMPUTED_VALUE"""),"2nd")</f>
        <v>2nd</v>
      </c>
      <c r="H650" s="8" t="str">
        <f>IFERROR(__xludf.DUMMYFUNCTION("""COMPUTED_VALUE"""),"NE Regional 32")</f>
        <v>NE Regional 32</v>
      </c>
      <c r="I650" s="10">
        <f>IFERROR(__xludf.DUMMYFUNCTION("""COMPUTED_VALUE"""),42887.0)</f>
        <v>42887</v>
      </c>
      <c r="J650" s="10">
        <f>IFERROR(__xludf.DUMMYFUNCTION("""COMPUTED_VALUE"""),43983.0)</f>
        <v>43983</v>
      </c>
      <c r="K650" s="11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9" t="str">
        <f>IFERROR(__xludf.DUMMYFUNCTION("""COMPUTED_VALUE"""),"Queener")</f>
        <v>Queener</v>
      </c>
      <c r="B651" s="8" t="str">
        <f>IFERROR(__xludf.DUMMYFUNCTION("""COMPUTED_VALUE"""),"Richard")</f>
        <v>Richard</v>
      </c>
      <c r="C651" s="8" t="str">
        <f>IFERROR(__xludf.DUMMYFUNCTION("""COMPUTED_VALUE"""),"Miamisburg")</f>
        <v>Miamisburg</v>
      </c>
      <c r="D651" s="8" t="str">
        <f>IFERROR(__xludf.DUMMYFUNCTION("""COMPUTED_VALUE"""),"OH")</f>
        <v>OH</v>
      </c>
      <c r="E651" s="8" t="str">
        <f>IFERROR(__xludf.DUMMYFUNCTION("""COMPUTED_VALUE"""),"USA")</f>
        <v>USA</v>
      </c>
      <c r="F651" s="8" t="str">
        <f>IFERROR(__xludf.DUMMYFUNCTION("""COMPUTED_VALUE"""),"Men Doubles 501")</f>
        <v>Men Doubles 501</v>
      </c>
      <c r="G651" s="8" t="str">
        <f>IFERROR(__xludf.DUMMYFUNCTION("""COMPUTED_VALUE"""),"2nd")</f>
        <v>2nd</v>
      </c>
      <c r="H651" s="8" t="str">
        <f>IFERROR(__xludf.DUMMYFUNCTION("""COMPUTED_VALUE"""),"Tennessee BS 34")</f>
        <v>Tennessee BS 34</v>
      </c>
      <c r="I651" s="10">
        <f>IFERROR(__xludf.DUMMYFUNCTION("""COMPUTED_VALUE"""),43617.0)</f>
        <v>43617</v>
      </c>
      <c r="J651" s="10">
        <f>IFERROR(__xludf.DUMMYFUNCTION("""COMPUTED_VALUE"""),44713.0)</f>
        <v>44713</v>
      </c>
      <c r="K651" s="11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12" t="str">
        <f>IFERROR(__xludf.DUMMYFUNCTION("""COMPUTED_VALUE"""),"Quinones")</f>
        <v>Quinones</v>
      </c>
      <c r="B652" s="13" t="str">
        <f>IFERROR(__xludf.DUMMYFUNCTION("""COMPUTED_VALUE"""),"Fernando")</f>
        <v>Fernando</v>
      </c>
      <c r="C652" s="13" t="str">
        <f>IFERROR(__xludf.DUMMYFUNCTION("""COMPUTED_VALUE"""),"San Antonio")</f>
        <v>San Antonio</v>
      </c>
      <c r="D652" s="13" t="str">
        <f>IFERROR(__xludf.DUMMYFUNCTION("""COMPUTED_VALUE"""),"TX")</f>
        <v>TX</v>
      </c>
      <c r="E652" s="13" t="str">
        <f>IFERROR(__xludf.DUMMYFUNCTION("""COMPUTED_VALUE"""),"USA")</f>
        <v>USA</v>
      </c>
      <c r="F652" s="13" t="str">
        <f>IFERROR(__xludf.DUMMYFUNCTION("""COMPUTED_VALUE"""),"Men Doubles 501")</f>
        <v>Men Doubles 501</v>
      </c>
      <c r="G652" s="13" t="str">
        <f>IFERROR(__xludf.DUMMYFUNCTION("""COMPUTED_VALUE"""),"1st")</f>
        <v>1st</v>
      </c>
      <c r="H652" s="13" t="str">
        <f>IFERROR(__xludf.DUMMYFUNCTION("""COMPUTED_VALUE"""),"Texas BS 34")</f>
        <v>Texas BS 34</v>
      </c>
      <c r="I652" s="14">
        <f>IFERROR(__xludf.DUMMYFUNCTION("""COMPUTED_VALUE"""),43617.0)</f>
        <v>43617</v>
      </c>
      <c r="J652" s="14">
        <f>IFERROR(__xludf.DUMMYFUNCTION("""COMPUTED_VALUE"""),44713.0)</f>
        <v>44713</v>
      </c>
      <c r="K652" s="11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9" t="str">
        <f>IFERROR(__xludf.DUMMYFUNCTION("""COMPUTED_VALUE"""),"Rafferty")</f>
        <v>Rafferty</v>
      </c>
      <c r="B653" s="8" t="str">
        <f>IFERROR(__xludf.DUMMYFUNCTION("""COMPUTED_VALUE"""),"James")</f>
        <v>James</v>
      </c>
      <c r="C653" s="8" t="str">
        <f>IFERROR(__xludf.DUMMYFUNCTION("""COMPUTED_VALUE"""),"Munhall")</f>
        <v>Munhall</v>
      </c>
      <c r="D653" s="8" t="str">
        <f>IFERROR(__xludf.DUMMYFUNCTION("""COMPUTED_VALUE"""),"PA")</f>
        <v>PA</v>
      </c>
      <c r="E653" s="8" t="str">
        <f>IFERROR(__xludf.DUMMYFUNCTION("""COMPUTED_VALUE"""),"USA")</f>
        <v>USA</v>
      </c>
      <c r="F653" s="8" t="str">
        <f>IFERROR(__xludf.DUMMYFUNCTION("""COMPUTED_VALUE"""),"Mens Cricket Doubles")</f>
        <v>Mens Cricket Doubles</v>
      </c>
      <c r="G653" s="8" t="str">
        <f>IFERROR(__xludf.DUMMYFUNCTION("""COMPUTED_VALUE"""),"1st")</f>
        <v>1st</v>
      </c>
      <c r="H653" s="8" t="str">
        <f>IFERROR(__xludf.DUMMYFUNCTION("""COMPUTED_VALUE"""),"Florida Regional 32")</f>
        <v>Florida Regional 32</v>
      </c>
      <c r="I653" s="10">
        <f>IFERROR(__xludf.DUMMYFUNCTION("""COMPUTED_VALUE"""),42887.0)</f>
        <v>42887</v>
      </c>
      <c r="J653" s="10">
        <f>IFERROR(__xludf.DUMMYFUNCTION("""COMPUTED_VALUE"""),43983.0)</f>
        <v>43983</v>
      </c>
      <c r="K653" s="11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9" t="str">
        <f>IFERROR(__xludf.DUMMYFUNCTION("""COMPUTED_VALUE"""),"Rakowski")</f>
        <v>Rakowski</v>
      </c>
      <c r="B654" s="8" t="str">
        <f>IFERROR(__xludf.DUMMYFUNCTION("""COMPUTED_VALUE"""),"Garrett")</f>
        <v>Garrett</v>
      </c>
      <c r="C654" s="8" t="str">
        <f>IFERROR(__xludf.DUMMYFUNCTION("""COMPUTED_VALUE"""),"OshKosh")</f>
        <v>OshKosh</v>
      </c>
      <c r="D654" s="8" t="str">
        <f>IFERROR(__xludf.DUMMYFUNCTION("""COMPUTED_VALUE"""),"WI")</f>
        <v>WI</v>
      </c>
      <c r="E654" s="8" t="str">
        <f>IFERROR(__xludf.DUMMYFUNCTION("""COMPUTED_VALUE"""),"USA")</f>
        <v>USA</v>
      </c>
      <c r="F654" s="8" t="str">
        <f>IFERROR(__xludf.DUMMYFUNCTION("""COMPUTED_VALUE"""),"Men Doubles 501")</f>
        <v>Men Doubles 501</v>
      </c>
      <c r="G654" s="8" t="str">
        <f>IFERROR(__xludf.DUMMYFUNCTION("""COMPUTED_VALUE"""),"2nd")</f>
        <v>2nd</v>
      </c>
      <c r="H654" s="8" t="str">
        <f>IFERROR(__xludf.DUMMYFUNCTION("""COMPUTED_VALUE"""),"Wisconsin BS 34")</f>
        <v>Wisconsin BS 34</v>
      </c>
      <c r="I654" s="10">
        <f>IFERROR(__xludf.DUMMYFUNCTION("""COMPUTED_VALUE"""),43617.0)</f>
        <v>43617</v>
      </c>
      <c r="J654" s="10">
        <f>IFERROR(__xludf.DUMMYFUNCTION("""COMPUTED_VALUE"""),44713.0)</f>
        <v>44713</v>
      </c>
      <c r="K654" s="11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9" t="str">
        <f>IFERROR(__xludf.DUMMYFUNCTION("""COMPUTED_VALUE"""),"Ramage")</f>
        <v>Ramage</v>
      </c>
      <c r="B655" s="8" t="str">
        <f>IFERROR(__xludf.DUMMYFUNCTION("""COMPUTED_VALUE"""),"Dustin")</f>
        <v>Dustin</v>
      </c>
      <c r="C655" s="8" t="str">
        <f>IFERROR(__xludf.DUMMYFUNCTION("""COMPUTED_VALUE"""),"Johnsonville")</f>
        <v>Johnsonville</v>
      </c>
      <c r="D655" s="8" t="str">
        <f>IFERROR(__xludf.DUMMYFUNCTION("""COMPUTED_VALUE"""),"SC")</f>
        <v>SC</v>
      </c>
      <c r="E655" s="8" t="str">
        <f>IFERROR(__xludf.DUMMYFUNCTION("""COMPUTED_VALUE"""),"USA")</f>
        <v>USA</v>
      </c>
      <c r="F655" s="8" t="str">
        <f>IFERROR(__xludf.DUMMYFUNCTION("""COMPUTED_VALUE"""),"Mens Doubles")</f>
        <v>Mens Doubles</v>
      </c>
      <c r="G655" s="8" t="str">
        <f>IFERROR(__xludf.DUMMYFUNCTION("""COMPUTED_VALUE"""),"1st")</f>
        <v>1st</v>
      </c>
      <c r="H655" s="8" t="str">
        <f>IFERROR(__xludf.DUMMYFUNCTION("""COMPUTED_VALUE"""),"SC Regional 32")</f>
        <v>SC Regional 32</v>
      </c>
      <c r="I655" s="10">
        <f>IFERROR(__xludf.DUMMYFUNCTION("""COMPUTED_VALUE"""),42887.0)</f>
        <v>42887</v>
      </c>
      <c r="J655" s="10">
        <f>IFERROR(__xludf.DUMMYFUNCTION("""COMPUTED_VALUE"""),43983.0)</f>
        <v>43983</v>
      </c>
      <c r="K655" s="11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9" t="str">
        <f>IFERROR(__xludf.DUMMYFUNCTION("""COMPUTED_VALUE"""),"Ramon")</f>
        <v>Ramon</v>
      </c>
      <c r="B656" s="8" t="str">
        <f>IFERROR(__xludf.DUMMYFUNCTION("""COMPUTED_VALUE"""),"Jorge")</f>
        <v>Jorge</v>
      </c>
      <c r="C656" s="8" t="str">
        <f>IFERROR(__xludf.DUMMYFUNCTION("""COMPUTED_VALUE"""),"New Port Richey")</f>
        <v>New Port Richey</v>
      </c>
      <c r="D656" s="8" t="str">
        <f>IFERROR(__xludf.DUMMYFUNCTION("""COMPUTED_VALUE"""),"FL")</f>
        <v>FL</v>
      </c>
      <c r="E656" s="8" t="str">
        <f>IFERROR(__xludf.DUMMYFUNCTION("""COMPUTED_VALUE"""),"USA")</f>
        <v>USA</v>
      </c>
      <c r="F656" s="8" t="str">
        <f>IFERROR(__xludf.DUMMYFUNCTION("""COMPUTED_VALUE"""),"Mens Doubles")</f>
        <v>Mens Doubles</v>
      </c>
      <c r="G656" s="8" t="str">
        <f>IFERROR(__xludf.DUMMYFUNCTION("""COMPUTED_VALUE"""),"3rd")</f>
        <v>3rd</v>
      </c>
      <c r="H656" s="8" t="str">
        <f>IFERROR(__xludf.DUMMYFUNCTION("""COMPUTED_VALUE"""),"FL Regional 33")</f>
        <v>FL Regional 33</v>
      </c>
      <c r="I656" s="10">
        <f>IFERROR(__xludf.DUMMYFUNCTION("""COMPUTED_VALUE"""),43252.0)</f>
        <v>43252</v>
      </c>
      <c r="J656" s="10">
        <f>IFERROR(__xludf.DUMMYFUNCTION("""COMPUTED_VALUE"""),44348.0)</f>
        <v>44348</v>
      </c>
      <c r="K656" s="11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9" t="str">
        <f>IFERROR(__xludf.DUMMYFUNCTION("""COMPUTED_VALUE"""),"Rand")</f>
        <v>Rand</v>
      </c>
      <c r="B657" s="8" t="str">
        <f>IFERROR(__xludf.DUMMYFUNCTION("""COMPUTED_VALUE"""),"Scott")</f>
        <v>Scott</v>
      </c>
      <c r="C657" s="8" t="str">
        <f>IFERROR(__xludf.DUMMYFUNCTION("""COMPUTED_VALUE"""),"")</f>
        <v/>
      </c>
      <c r="D657" s="8" t="str">
        <f>IFERROR(__xludf.DUMMYFUNCTION("""COMPUTED_VALUE"""),"UNK")</f>
        <v>UNK</v>
      </c>
      <c r="E657" s="8" t="str">
        <f>IFERROR(__xludf.DUMMYFUNCTION("""COMPUTED_VALUE"""),"England")</f>
        <v>England</v>
      </c>
      <c r="F657" s="8" t="str">
        <f>IFERROR(__xludf.DUMMYFUNCTION("""COMPUTED_VALUE"""),"PDC Merit Ranking")</f>
        <v>PDC Merit Ranking</v>
      </c>
      <c r="G657" s="8" t="str">
        <f>IFERROR(__xludf.DUMMYFUNCTION("""COMPUTED_VALUE"""),"45th")</f>
        <v>45th</v>
      </c>
      <c r="H657" s="8" t="str">
        <f>IFERROR(__xludf.DUMMYFUNCTION("""COMPUTED_VALUE"""),"Off AA List")</f>
        <v>Off AA List</v>
      </c>
      <c r="I657" s="10">
        <f>IFERROR(__xludf.DUMMYFUNCTION("""COMPUTED_VALUE"""),42887.0)</f>
        <v>42887</v>
      </c>
      <c r="J657" s="10">
        <f>IFERROR(__xludf.DUMMYFUNCTION("""COMPUTED_VALUE"""),43983.0)</f>
        <v>43983</v>
      </c>
      <c r="K657" s="11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9" t="str">
        <f>IFERROR(__xludf.DUMMYFUNCTION("""COMPUTED_VALUE"""),"Rayfield")</f>
        <v>Rayfield</v>
      </c>
      <c r="B658" s="8" t="str">
        <f>IFERROR(__xludf.DUMMYFUNCTION("""COMPUTED_VALUE"""),"Kenneth")</f>
        <v>Kenneth</v>
      </c>
      <c r="C658" s="8" t="str">
        <f>IFERROR(__xludf.DUMMYFUNCTION("""COMPUTED_VALUE"""),"Bennington")</f>
        <v>Bennington</v>
      </c>
      <c r="D658" s="8" t="str">
        <f>IFERROR(__xludf.DUMMYFUNCTION("""COMPUTED_VALUE"""),"NE")</f>
        <v>NE</v>
      </c>
      <c r="E658" s="8" t="str">
        <f>IFERROR(__xludf.DUMMYFUNCTION("""COMPUTED_VALUE"""),"USA")</f>
        <v>USA</v>
      </c>
      <c r="F658" s="8" t="str">
        <f>IFERROR(__xludf.DUMMYFUNCTION("""COMPUTED_VALUE"""),"Pro Doubles 501")</f>
        <v>Pro Doubles 501</v>
      </c>
      <c r="G658" s="8" t="str">
        <f>IFERROR(__xludf.DUMMYFUNCTION("""COMPUTED_VALUE"""),"3rd")</f>
        <v>3rd</v>
      </c>
      <c r="H658" s="8" t="str">
        <f>IFERROR(__xludf.DUMMYFUNCTION("""COMPUTED_VALUE"""),"Nebraska BS 34")</f>
        <v>Nebraska BS 34</v>
      </c>
      <c r="I658" s="10">
        <f>IFERROR(__xludf.DUMMYFUNCTION("""COMPUTED_VALUE"""),43617.0)</f>
        <v>43617</v>
      </c>
      <c r="J658" s="10">
        <f>IFERROR(__xludf.DUMMYFUNCTION("""COMPUTED_VALUE"""),44713.0)</f>
        <v>44713</v>
      </c>
      <c r="K658" s="11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9" t="str">
        <f>IFERROR(__xludf.DUMMYFUNCTION("""COMPUTED_VALUE"""),"Raymer")</f>
        <v>Raymer</v>
      </c>
      <c r="B659" s="8" t="str">
        <f>IFERROR(__xludf.DUMMYFUNCTION("""COMPUTED_VALUE"""),"Mark")</f>
        <v>Mark</v>
      </c>
      <c r="C659" s="8" t="str">
        <f>IFERROR(__xludf.DUMMYFUNCTION("""COMPUTED_VALUE"""),"Plainfield")</f>
        <v>Plainfield</v>
      </c>
      <c r="D659" s="8" t="str">
        <f>IFERROR(__xludf.DUMMYFUNCTION("""COMPUTED_VALUE"""),"IN")</f>
        <v>IN</v>
      </c>
      <c r="E659" s="8" t="str">
        <f>IFERROR(__xludf.DUMMYFUNCTION("""COMPUTED_VALUE"""),"USA")</f>
        <v>USA</v>
      </c>
      <c r="F659" s="8" t="str">
        <f>IFERROR(__xludf.DUMMYFUNCTION("""COMPUTED_VALUE"""),"Pro Doubles")</f>
        <v>Pro Doubles</v>
      </c>
      <c r="G659" s="8" t="str">
        <f>IFERROR(__xludf.DUMMYFUNCTION("""COMPUTED_VALUE"""),"2nd")</f>
        <v>2nd</v>
      </c>
      <c r="H659" s="8" t="str">
        <f>IFERROR(__xludf.DUMMYFUNCTION("""COMPUTED_VALUE"""),"IN Regional 33")</f>
        <v>IN Regional 33</v>
      </c>
      <c r="I659" s="10">
        <f>IFERROR(__xludf.DUMMYFUNCTION("""COMPUTED_VALUE"""),43252.0)</f>
        <v>43252</v>
      </c>
      <c r="J659" s="10">
        <f>IFERROR(__xludf.DUMMYFUNCTION("""COMPUTED_VALUE"""),44348.0)</f>
        <v>44348</v>
      </c>
      <c r="K659" s="11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9" t="str">
        <f>IFERROR(__xludf.DUMMYFUNCTION("""COMPUTED_VALUE"""),"Redmond")</f>
        <v>Redmond</v>
      </c>
      <c r="B660" s="8" t="str">
        <f>IFERROR(__xludf.DUMMYFUNCTION("""COMPUTED_VALUE"""),"Michael")</f>
        <v>Michael</v>
      </c>
      <c r="C660" s="8" t="str">
        <f>IFERROR(__xludf.DUMMYFUNCTION("""COMPUTED_VALUE"""),"Waterford")</f>
        <v>Waterford</v>
      </c>
      <c r="D660" s="8" t="str">
        <f>IFERROR(__xludf.DUMMYFUNCTION("""COMPUTED_VALUE"""),"MI")</f>
        <v>MI</v>
      </c>
      <c r="E660" s="8" t="str">
        <f>IFERROR(__xludf.DUMMYFUNCTION("""COMPUTED_VALUE"""),"USA")</f>
        <v>USA</v>
      </c>
      <c r="F660" s="8" t="str">
        <f>IFERROR(__xludf.DUMMYFUNCTION("""COMPUTED_VALUE"""),"Mens Doubles")</f>
        <v>Mens Doubles</v>
      </c>
      <c r="G660" s="8" t="str">
        <f>IFERROR(__xludf.DUMMYFUNCTION("""COMPUTED_VALUE"""),"3rd")</f>
        <v>3rd</v>
      </c>
      <c r="H660" s="8" t="str">
        <f>IFERROR(__xludf.DUMMYFUNCTION("""COMPUTED_VALUE"""),"OH Regional 32")</f>
        <v>OH Regional 32</v>
      </c>
      <c r="I660" s="10">
        <f>IFERROR(__xludf.DUMMYFUNCTION("""COMPUTED_VALUE"""),42887.0)</f>
        <v>42887</v>
      </c>
      <c r="J660" s="10">
        <f>IFERROR(__xludf.DUMMYFUNCTION("""COMPUTED_VALUE"""),43983.0)</f>
        <v>43983</v>
      </c>
      <c r="K660" s="11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12" t="str">
        <f>IFERROR(__xludf.DUMMYFUNCTION("""COMPUTED_VALUE"""),"Reece")</f>
        <v>Reece</v>
      </c>
      <c r="B661" s="13" t="str">
        <f>IFERROR(__xludf.DUMMYFUNCTION("""COMPUTED_VALUE"""),"Boyd")</f>
        <v>Boyd</v>
      </c>
      <c r="C661" s="13" t="str">
        <f>IFERROR(__xludf.DUMMYFUNCTION("""COMPUTED_VALUE"""),"Aberdeen")</f>
        <v>Aberdeen</v>
      </c>
      <c r="D661" s="13" t="str">
        <f>IFERROR(__xludf.DUMMYFUNCTION("""COMPUTED_VALUE"""),"SD")</f>
        <v>SD</v>
      </c>
      <c r="E661" s="13" t="str">
        <f>IFERROR(__xludf.DUMMYFUNCTION("""COMPUTED_VALUE"""),"USA")</f>
        <v>USA</v>
      </c>
      <c r="F661" s="13" t="str">
        <f>IFERROR(__xludf.DUMMYFUNCTION("""COMPUTED_VALUE"""),"")</f>
        <v/>
      </c>
      <c r="G661" s="13" t="str">
        <f>IFERROR(__xludf.DUMMYFUNCTION("""COMPUTED_VALUE"""),"")</f>
        <v/>
      </c>
      <c r="H661" s="13" t="str">
        <f>IFERROR(__xludf.DUMMYFUNCTION("""COMPUTED_VALUE"""),"BS 30 Finals")</f>
        <v>BS 30 Finals</v>
      </c>
      <c r="I661" s="14">
        <f>IFERROR(__xludf.DUMMYFUNCTION("""COMPUTED_VALUE"""),43252.0)</f>
        <v>43252</v>
      </c>
      <c r="J661" s="14">
        <f>IFERROR(__xludf.DUMMYFUNCTION("""COMPUTED_VALUE"""),44348.0)</f>
        <v>44348</v>
      </c>
      <c r="K661" s="11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9" t="str">
        <f>IFERROR(__xludf.DUMMYFUNCTION("""COMPUTED_VALUE"""),"Reiss")</f>
        <v>Reiss</v>
      </c>
      <c r="B662" s="8" t="str">
        <f>IFERROR(__xludf.DUMMYFUNCTION("""COMPUTED_VALUE"""),"Anthony")</f>
        <v>Anthony</v>
      </c>
      <c r="C662" s="8" t="str">
        <f>IFERROR(__xludf.DUMMYFUNCTION("""COMPUTED_VALUE"""),"Dayton")</f>
        <v>Dayton</v>
      </c>
      <c r="D662" s="8" t="str">
        <f>IFERROR(__xludf.DUMMYFUNCTION("""COMPUTED_VALUE"""),"OH")</f>
        <v>OH</v>
      </c>
      <c r="E662" s="8" t="str">
        <f>IFERROR(__xludf.DUMMYFUNCTION("""COMPUTED_VALUE"""),"USA")</f>
        <v>USA</v>
      </c>
      <c r="F662" s="8" t="str">
        <f>IFERROR(__xludf.DUMMYFUNCTION("""COMPUTED_VALUE"""),"Top Gun Mixed Triples")</f>
        <v>Top Gun Mixed Triples</v>
      </c>
      <c r="G662" s="8" t="str">
        <f>IFERROR(__xludf.DUMMYFUNCTION("""COMPUTED_VALUE"""),"3rd/4th")</f>
        <v>3rd/4th</v>
      </c>
      <c r="H662" s="8" t="str">
        <f>IFERROR(__xludf.DUMMYFUNCTION("""COMPUTED_VALUE"""),"BullShooter 32")</f>
        <v>BullShooter 32</v>
      </c>
      <c r="I662" s="10">
        <f>IFERROR(__xludf.DUMMYFUNCTION("""COMPUTED_VALUE"""),42887.0)</f>
        <v>42887</v>
      </c>
      <c r="J662" s="10">
        <f>IFERROR(__xludf.DUMMYFUNCTION("""COMPUTED_VALUE"""),43983.0)</f>
        <v>43983</v>
      </c>
      <c r="K662" s="11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9" t="str">
        <f>IFERROR(__xludf.DUMMYFUNCTION("""COMPUTED_VALUE"""),"Rentko")</f>
        <v>Rentko</v>
      </c>
      <c r="B663" s="8" t="str">
        <f>IFERROR(__xludf.DUMMYFUNCTION("""COMPUTED_VALUE"""),"John")</f>
        <v>John</v>
      </c>
      <c r="C663" s="8" t="str">
        <f>IFERROR(__xludf.DUMMYFUNCTION("""COMPUTED_VALUE"""),"Myrtle Beach")</f>
        <v>Myrtle Beach</v>
      </c>
      <c r="D663" s="8" t="str">
        <f>IFERROR(__xludf.DUMMYFUNCTION("""COMPUTED_VALUE"""),"SC")</f>
        <v>SC</v>
      </c>
      <c r="E663" s="8" t="str">
        <f>IFERROR(__xludf.DUMMYFUNCTION("""COMPUTED_VALUE"""),"USA")</f>
        <v>USA</v>
      </c>
      <c r="F663" s="8" t="str">
        <f>IFERROR(__xludf.DUMMYFUNCTION("""COMPUTED_VALUE"""),"Mixed Triples 701")</f>
        <v>Mixed Triples 701</v>
      </c>
      <c r="G663" s="8" t="str">
        <f>IFERROR(__xludf.DUMMYFUNCTION("""COMPUTED_VALUE"""),"1st")</f>
        <v>1st</v>
      </c>
      <c r="H663" s="8" t="str">
        <f>IFERROR(__xludf.DUMMYFUNCTION("""COMPUTED_VALUE"""),"South Carolina BS 34")</f>
        <v>South Carolina BS 34</v>
      </c>
      <c r="I663" s="10">
        <f>IFERROR(__xludf.DUMMYFUNCTION("""COMPUTED_VALUE"""),43617.0)</f>
        <v>43617</v>
      </c>
      <c r="J663" s="10">
        <f>IFERROR(__xludf.DUMMYFUNCTION("""COMPUTED_VALUE"""),44713.0)</f>
        <v>44713</v>
      </c>
      <c r="K663" s="11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9" t="str">
        <f>IFERROR(__xludf.DUMMYFUNCTION("""COMPUTED_VALUE"""),"Requet")</f>
        <v>Requet</v>
      </c>
      <c r="B664" s="8" t="str">
        <f>IFERROR(__xludf.DUMMYFUNCTION("""COMPUTED_VALUE"""),"Bradley")</f>
        <v>Bradley</v>
      </c>
      <c r="C664" s="8" t="str">
        <f>IFERROR(__xludf.DUMMYFUNCTION("""COMPUTED_VALUE"""),"Jacksonville")</f>
        <v>Jacksonville</v>
      </c>
      <c r="D664" s="8" t="str">
        <f>IFERROR(__xludf.DUMMYFUNCTION("""COMPUTED_VALUE"""),"GA")</f>
        <v>GA</v>
      </c>
      <c r="E664" s="8" t="str">
        <f>IFERROR(__xludf.DUMMYFUNCTION("""COMPUTED_VALUE"""),"USA")</f>
        <v>USA</v>
      </c>
      <c r="F664" s="8" t="str">
        <f>IFERROR(__xludf.DUMMYFUNCTION("""COMPUTED_VALUE"""),"Men Doubles Cricket")</f>
        <v>Men Doubles Cricket</v>
      </c>
      <c r="G664" s="8" t="str">
        <f>IFERROR(__xludf.DUMMYFUNCTION("""COMPUTED_VALUE"""),"3rd")</f>
        <v>3rd</v>
      </c>
      <c r="H664" s="8" t="str">
        <f>IFERROR(__xludf.DUMMYFUNCTION("""COMPUTED_VALUE"""),"Georgia BS 34")</f>
        <v>Georgia BS 34</v>
      </c>
      <c r="I664" s="10">
        <f>IFERROR(__xludf.DUMMYFUNCTION("""COMPUTED_VALUE"""),43617.0)</f>
        <v>43617</v>
      </c>
      <c r="J664" s="10">
        <f>IFERROR(__xludf.DUMMYFUNCTION("""COMPUTED_VALUE"""),44713.0)</f>
        <v>44713</v>
      </c>
      <c r="K664" s="11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9" t="str">
        <f>IFERROR(__xludf.DUMMYFUNCTION("""COMPUTED_VALUE"""),"Rettie")</f>
        <v>Rettie</v>
      </c>
      <c r="B665" s="8" t="str">
        <f>IFERROR(__xludf.DUMMYFUNCTION("""COMPUTED_VALUE"""),"Tyler")</f>
        <v>Tyler</v>
      </c>
      <c r="C665" s="8" t="str">
        <f>IFERROR(__xludf.DUMMYFUNCTION("""COMPUTED_VALUE"""),"")</f>
        <v/>
      </c>
      <c r="D665" s="8" t="str">
        <f>IFERROR(__xludf.DUMMYFUNCTION("""COMPUTED_VALUE"""),"")</f>
        <v/>
      </c>
      <c r="E665" s="8" t="str">
        <f>IFERROR(__xludf.DUMMYFUNCTION("""COMPUTED_VALUE"""),"Canada")</f>
        <v>Canada</v>
      </c>
      <c r="F665" s="8" t="str">
        <f>IFERROR(__xludf.DUMMYFUNCTION("""COMPUTED_VALUE"""),"Pro Doubles")</f>
        <v>Pro Doubles</v>
      </c>
      <c r="G665" s="8" t="str">
        <f>IFERROR(__xludf.DUMMYFUNCTION("""COMPUTED_VALUE"""),"1st")</f>
        <v>1st</v>
      </c>
      <c r="H665" s="8" t="str">
        <f>IFERROR(__xludf.DUMMYFUNCTION("""COMPUTED_VALUE"""),"NY Regional 33")</f>
        <v>NY Regional 33</v>
      </c>
      <c r="I665" s="10">
        <f>IFERROR(__xludf.DUMMYFUNCTION("""COMPUTED_VALUE"""),43252.0)</f>
        <v>43252</v>
      </c>
      <c r="J665" s="10">
        <f>IFERROR(__xludf.DUMMYFUNCTION("""COMPUTED_VALUE"""),44348.0)</f>
        <v>44348</v>
      </c>
      <c r="K665" s="11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9" t="str">
        <f>IFERROR(__xludf.DUMMYFUNCTION("""COMPUTED_VALUE"""),"Reynolds")</f>
        <v>Reynolds</v>
      </c>
      <c r="B666" s="8" t="str">
        <f>IFERROR(__xludf.DUMMYFUNCTION("""COMPUTED_VALUE"""),"Dean")</f>
        <v>Dean</v>
      </c>
      <c r="C666" s="8" t="str">
        <f>IFERROR(__xludf.DUMMYFUNCTION("""COMPUTED_VALUE"""),"")</f>
        <v/>
      </c>
      <c r="D666" s="8" t="str">
        <f>IFERROR(__xludf.DUMMYFUNCTION("""COMPUTED_VALUE"""),"UNK")</f>
        <v>UNK</v>
      </c>
      <c r="E666" s="8" t="str">
        <f>IFERROR(__xludf.DUMMYFUNCTION("""COMPUTED_VALUE"""),"Wales")</f>
        <v>Wales</v>
      </c>
      <c r="F666" s="8" t="str">
        <f>IFERROR(__xludf.DUMMYFUNCTION("""COMPUTED_VALUE"""),"PDC Merit Ranking")</f>
        <v>PDC Merit Ranking</v>
      </c>
      <c r="G666" s="8" t="str">
        <f>IFERROR(__xludf.DUMMYFUNCTION("""COMPUTED_VALUE"""),"92nd")</f>
        <v>92nd</v>
      </c>
      <c r="H666" s="8" t="str">
        <f>IFERROR(__xludf.DUMMYFUNCTION("""COMPUTED_VALUE"""),"Wales")</f>
        <v>Wales</v>
      </c>
      <c r="I666" s="10">
        <f>IFERROR(__xludf.DUMMYFUNCTION("""COMPUTED_VALUE"""),42401.0)</f>
        <v>42401</v>
      </c>
      <c r="J666" s="10">
        <f>IFERROR(__xludf.DUMMYFUNCTION("""COMPUTED_VALUE"""),44713.0)</f>
        <v>44713</v>
      </c>
      <c r="K666" s="11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9" t="str">
        <f>IFERROR(__xludf.DUMMYFUNCTION("""COMPUTED_VALUE"""),"Reynolds")</f>
        <v>Reynolds</v>
      </c>
      <c r="B667" s="8" t="str">
        <f>IFERROR(__xludf.DUMMYFUNCTION("""COMPUTED_VALUE"""),"Michael")</f>
        <v>Michael</v>
      </c>
      <c r="C667" s="8" t="str">
        <f>IFERROR(__xludf.DUMMYFUNCTION("""COMPUTED_VALUE"""),"Apollo Beach")</f>
        <v>Apollo Beach</v>
      </c>
      <c r="D667" s="8" t="str">
        <f>IFERROR(__xludf.DUMMYFUNCTION("""COMPUTED_VALUE"""),"FL")</f>
        <v>FL</v>
      </c>
      <c r="E667" s="8" t="str">
        <f>IFERROR(__xludf.DUMMYFUNCTION("""COMPUTED_VALUE"""),"USA")</f>
        <v>USA</v>
      </c>
      <c r="F667" s="8" t="str">
        <f>IFERROR(__xludf.DUMMYFUNCTION("""COMPUTED_VALUE"""),"Mens Doubles")</f>
        <v>Mens Doubles</v>
      </c>
      <c r="G667" s="8" t="str">
        <f>IFERROR(__xludf.DUMMYFUNCTION("""COMPUTED_VALUE"""),"1st")</f>
        <v>1st</v>
      </c>
      <c r="H667" s="8" t="str">
        <f>IFERROR(__xludf.DUMMYFUNCTION("""COMPUTED_VALUE"""),"Florida Regional 32")</f>
        <v>Florida Regional 32</v>
      </c>
      <c r="I667" s="10">
        <f>IFERROR(__xludf.DUMMYFUNCTION("""COMPUTED_VALUE"""),42887.0)</f>
        <v>42887</v>
      </c>
      <c r="J667" s="10">
        <f>IFERROR(__xludf.DUMMYFUNCTION("""COMPUTED_VALUE"""),43983.0)</f>
        <v>43983</v>
      </c>
      <c r="K667" s="11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9" t="str">
        <f>IFERROR(__xludf.DUMMYFUNCTION("""COMPUTED_VALUE"""),"Reynolds")</f>
        <v>Reynolds</v>
      </c>
      <c r="B668" s="8" t="str">
        <f>IFERROR(__xludf.DUMMYFUNCTION("""COMPUTED_VALUE"""),"Paul")</f>
        <v>Paul</v>
      </c>
      <c r="C668" s="8" t="str">
        <f>IFERROR(__xludf.DUMMYFUNCTION("""COMPUTED_VALUE"""),"Salisbury")</f>
        <v>Salisbury</v>
      </c>
      <c r="D668" s="8" t="str">
        <f>IFERROR(__xludf.DUMMYFUNCTION("""COMPUTED_VALUE"""),"NC")</f>
        <v>NC</v>
      </c>
      <c r="E668" s="8" t="str">
        <f>IFERROR(__xludf.DUMMYFUNCTION("""COMPUTED_VALUE"""),"USA")</f>
        <v>USA</v>
      </c>
      <c r="F668" s="8" t="str">
        <f>IFERROR(__xludf.DUMMYFUNCTION("""COMPUTED_VALUE"""),"Men Doubles 501")</f>
        <v>Men Doubles 501</v>
      </c>
      <c r="G668" s="8" t="str">
        <f>IFERROR(__xludf.DUMMYFUNCTION("""COMPUTED_VALUE"""),"3rd")</f>
        <v>3rd</v>
      </c>
      <c r="H668" s="8" t="str">
        <f>IFERROR(__xludf.DUMMYFUNCTION("""COMPUTED_VALUE"""),"Tennessee BS 34")</f>
        <v>Tennessee BS 34</v>
      </c>
      <c r="I668" s="10">
        <f>IFERROR(__xludf.DUMMYFUNCTION("""COMPUTED_VALUE"""),43617.0)</f>
        <v>43617</v>
      </c>
      <c r="J668" s="10">
        <f>IFERROR(__xludf.DUMMYFUNCTION("""COMPUTED_VALUE"""),44713.0)</f>
        <v>44713</v>
      </c>
      <c r="K668" s="11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9" t="str">
        <f>IFERROR(__xludf.DUMMYFUNCTION("""COMPUTED_VALUE"""),"Rhyne")</f>
        <v>Rhyne</v>
      </c>
      <c r="B669" s="8" t="str">
        <f>IFERROR(__xludf.DUMMYFUNCTION("""COMPUTED_VALUE"""),"Roger")</f>
        <v>Roger</v>
      </c>
      <c r="C669" s="8" t="str">
        <f>IFERROR(__xludf.DUMMYFUNCTION("""COMPUTED_VALUE"""),"Holiday")</f>
        <v>Holiday</v>
      </c>
      <c r="D669" s="8" t="str">
        <f>IFERROR(__xludf.DUMMYFUNCTION("""COMPUTED_VALUE"""),"FL")</f>
        <v>FL</v>
      </c>
      <c r="E669" s="8" t="str">
        <f>IFERROR(__xludf.DUMMYFUNCTION("""COMPUTED_VALUE"""),"USA")</f>
        <v>USA</v>
      </c>
      <c r="F669" s="8" t="str">
        <f>IFERROR(__xludf.DUMMYFUNCTION("""COMPUTED_VALUE"""),"Mens Doubles")</f>
        <v>Mens Doubles</v>
      </c>
      <c r="G669" s="8" t="str">
        <f>IFERROR(__xludf.DUMMYFUNCTION("""COMPUTED_VALUE"""),"3rd")</f>
        <v>3rd</v>
      </c>
      <c r="H669" s="8" t="str">
        <f>IFERROR(__xludf.DUMMYFUNCTION("""COMPUTED_VALUE"""),"FL Regional 33")</f>
        <v>FL Regional 33</v>
      </c>
      <c r="I669" s="10">
        <f>IFERROR(__xludf.DUMMYFUNCTION("""COMPUTED_VALUE"""),43252.0)</f>
        <v>43252</v>
      </c>
      <c r="J669" s="10">
        <f>IFERROR(__xludf.DUMMYFUNCTION("""COMPUTED_VALUE"""),44348.0)</f>
        <v>44348</v>
      </c>
      <c r="K669" s="11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9" t="str">
        <f>IFERROR(__xludf.DUMMYFUNCTION("""COMPUTED_VALUE"""),"Riccadonna")</f>
        <v>Riccadonna</v>
      </c>
      <c r="B670" s="8" t="str">
        <f>IFERROR(__xludf.DUMMYFUNCTION("""COMPUTED_VALUE"""),"Jarred")</f>
        <v>Jarred</v>
      </c>
      <c r="C670" s="8" t="str">
        <f>IFERROR(__xludf.DUMMYFUNCTION("""COMPUTED_VALUE"""),"Daytona Beach")</f>
        <v>Daytona Beach</v>
      </c>
      <c r="D670" s="8" t="str">
        <f>IFERROR(__xludf.DUMMYFUNCTION("""COMPUTED_VALUE"""),"FL")</f>
        <v>FL</v>
      </c>
      <c r="E670" s="8" t="str">
        <f>IFERROR(__xludf.DUMMYFUNCTION("""COMPUTED_VALUE"""),"USA")</f>
        <v>USA</v>
      </c>
      <c r="F670" s="8" t="str">
        <f>IFERROR(__xludf.DUMMYFUNCTION("""COMPUTED_VALUE"""),"Mens Cricket Doubles")</f>
        <v>Mens Cricket Doubles</v>
      </c>
      <c r="G670" s="8" t="str">
        <f>IFERROR(__xludf.DUMMYFUNCTION("""COMPUTED_VALUE"""),"1st")</f>
        <v>1st</v>
      </c>
      <c r="H670" s="8" t="str">
        <f>IFERROR(__xludf.DUMMYFUNCTION("""COMPUTED_VALUE"""),"Florida Regional 32")</f>
        <v>Florida Regional 32</v>
      </c>
      <c r="I670" s="10">
        <f>IFERROR(__xludf.DUMMYFUNCTION("""COMPUTED_VALUE"""),42887.0)</f>
        <v>42887</v>
      </c>
      <c r="J670" s="10">
        <f>IFERROR(__xludf.DUMMYFUNCTION("""COMPUTED_VALUE"""),43983.0)</f>
        <v>43983</v>
      </c>
      <c r="K670" s="11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9" t="str">
        <f>IFERROR(__xludf.DUMMYFUNCTION("""COMPUTED_VALUE"""),"Richards")</f>
        <v>Richards</v>
      </c>
      <c r="B671" s="8" t="str">
        <f>IFERROR(__xludf.DUMMYFUNCTION("""COMPUTED_VALUE"""),"Randal")</f>
        <v>Randal</v>
      </c>
      <c r="C671" s="8" t="str">
        <f>IFERROR(__xludf.DUMMYFUNCTION("""COMPUTED_VALUE"""),"Cleveland")</f>
        <v>Cleveland</v>
      </c>
      <c r="D671" s="8" t="str">
        <f>IFERROR(__xludf.DUMMYFUNCTION("""COMPUTED_VALUE"""),"TX")</f>
        <v>TX</v>
      </c>
      <c r="E671" s="8" t="str">
        <f>IFERROR(__xludf.DUMMYFUNCTION("""COMPUTED_VALUE"""),"USA")</f>
        <v>USA</v>
      </c>
      <c r="F671" s="8" t="str">
        <f>IFERROR(__xludf.DUMMYFUNCTION("""COMPUTED_VALUE"""),"Mens Cricket Doubles")</f>
        <v>Mens Cricket Doubles</v>
      </c>
      <c r="G671" s="8" t="str">
        <f>IFERROR(__xludf.DUMMYFUNCTION("""COMPUTED_VALUE"""),"2nd")</f>
        <v>2nd</v>
      </c>
      <c r="H671" s="8" t="str">
        <f>IFERROR(__xludf.DUMMYFUNCTION("""COMPUTED_VALUE"""),"SC Regional 33")</f>
        <v>SC Regional 33</v>
      </c>
      <c r="I671" s="10">
        <f>IFERROR(__xludf.DUMMYFUNCTION("""COMPUTED_VALUE"""),43252.0)</f>
        <v>43252</v>
      </c>
      <c r="J671" s="10">
        <f>IFERROR(__xludf.DUMMYFUNCTION("""COMPUTED_VALUE"""),44348.0)</f>
        <v>44348</v>
      </c>
      <c r="K671" s="11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9" t="str">
        <f>IFERROR(__xludf.DUMMYFUNCTION("""COMPUTED_VALUE"""),"Richardson")</f>
        <v>Richardson</v>
      </c>
      <c r="B672" s="8" t="str">
        <f>IFERROR(__xludf.DUMMYFUNCTION("""COMPUTED_VALUE"""),"Isaac")</f>
        <v>Isaac</v>
      </c>
      <c r="C672" s="8" t="str">
        <f>IFERROR(__xludf.DUMMYFUNCTION("""COMPUTED_VALUE"""),"Oswego")</f>
        <v>Oswego</v>
      </c>
      <c r="D672" s="8" t="str">
        <f>IFERROR(__xludf.DUMMYFUNCTION("""COMPUTED_VALUE"""),"NY")</f>
        <v>NY</v>
      </c>
      <c r="E672" s="8" t="str">
        <f>IFERROR(__xludf.DUMMYFUNCTION("""COMPUTED_VALUE"""),"USA")</f>
        <v>USA</v>
      </c>
      <c r="F672" s="8" t="str">
        <f>IFERROR(__xludf.DUMMYFUNCTION("""COMPUTED_VALUE"""),"Men singles Cricket")</f>
        <v>Men singles Cricket</v>
      </c>
      <c r="G672" s="8" t="str">
        <f>IFERROR(__xludf.DUMMYFUNCTION("""COMPUTED_VALUE"""),"2nd")</f>
        <v>2nd</v>
      </c>
      <c r="H672" s="8" t="str">
        <f>IFERROR(__xludf.DUMMYFUNCTION("""COMPUTED_VALUE"""),"New York BS 34")</f>
        <v>New York BS 34</v>
      </c>
      <c r="I672" s="10">
        <f>IFERROR(__xludf.DUMMYFUNCTION("""COMPUTED_VALUE"""),43617.0)</f>
        <v>43617</v>
      </c>
      <c r="J672" s="10">
        <f>IFERROR(__xludf.DUMMYFUNCTION("""COMPUTED_VALUE"""),44713.0)</f>
        <v>44713</v>
      </c>
      <c r="K672" s="11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9" t="str">
        <f>IFERROR(__xludf.DUMMYFUNCTION("""COMPUTED_VALUE"""),"Richardson")</f>
        <v>Richardson</v>
      </c>
      <c r="B673" s="8" t="str">
        <f>IFERROR(__xludf.DUMMYFUNCTION("""COMPUTED_VALUE"""),"James")</f>
        <v>James</v>
      </c>
      <c r="C673" s="8" t="str">
        <f>IFERROR(__xludf.DUMMYFUNCTION("""COMPUTED_VALUE"""),"")</f>
        <v/>
      </c>
      <c r="D673" s="8" t="str">
        <f>IFERROR(__xludf.DUMMYFUNCTION("""COMPUTED_VALUE"""),"UNK")</f>
        <v>UNK</v>
      </c>
      <c r="E673" s="8" t="str">
        <f>IFERROR(__xludf.DUMMYFUNCTION("""COMPUTED_VALUE"""),"UNK")</f>
        <v>UNK</v>
      </c>
      <c r="F673" s="8" t="str">
        <f>IFERROR(__xludf.DUMMYFUNCTION("""COMPUTED_VALUE"""),"PDC Order of Merit")</f>
        <v>PDC Order of Merit</v>
      </c>
      <c r="G673" s="8" t="str">
        <f>IFERROR(__xludf.DUMMYFUNCTION("""COMPUTED_VALUE"""),"43rd")</f>
        <v>43rd</v>
      </c>
      <c r="H673" s="8" t="str">
        <f>IFERROR(__xludf.DUMMYFUNCTION("""COMPUTED_VALUE"""),"PDC Order of Merit")</f>
        <v>PDC Order of Merit</v>
      </c>
      <c r="I673" s="10">
        <f>IFERROR(__xludf.DUMMYFUNCTION("""COMPUTED_VALUE"""),43191.0)</f>
        <v>43191</v>
      </c>
      <c r="J673" s="10">
        <f>IFERROR(__xludf.DUMMYFUNCTION("""COMPUTED_VALUE"""),44348.0)</f>
        <v>44348</v>
      </c>
      <c r="K673" s="11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9" t="str">
        <f>IFERROR(__xludf.DUMMYFUNCTION("""COMPUTED_VALUE"""),"Richie")</f>
        <v>Richie</v>
      </c>
      <c r="B674" s="8" t="str">
        <f>IFERROR(__xludf.DUMMYFUNCTION("""COMPUTED_VALUE"""),"Andrew")</f>
        <v>Andrew</v>
      </c>
      <c r="C674" s="8" t="str">
        <f>IFERROR(__xludf.DUMMYFUNCTION("""COMPUTED_VALUE"""),"Old Town")</f>
        <v>Old Town</v>
      </c>
      <c r="D674" s="8" t="str">
        <f>IFERROR(__xludf.DUMMYFUNCTION("""COMPUTED_VALUE"""),"MD")</f>
        <v>MD</v>
      </c>
      <c r="E674" s="8" t="str">
        <f>IFERROR(__xludf.DUMMYFUNCTION("""COMPUTED_VALUE"""),"USA")</f>
        <v>USA</v>
      </c>
      <c r="F674" s="8" t="str">
        <f>IFERROR(__xludf.DUMMYFUNCTION("""COMPUTED_VALUE"""),"Men singles Cricket")</f>
        <v>Men singles Cricket</v>
      </c>
      <c r="G674" s="8" t="str">
        <f>IFERROR(__xludf.DUMMYFUNCTION("""COMPUTED_VALUE"""),"3rd")</f>
        <v>3rd</v>
      </c>
      <c r="H674" s="8" t="str">
        <f>IFERROR(__xludf.DUMMYFUNCTION("""COMPUTED_VALUE"""),"New York BS 34")</f>
        <v>New York BS 34</v>
      </c>
      <c r="I674" s="10">
        <f>IFERROR(__xludf.DUMMYFUNCTION("""COMPUTED_VALUE"""),43617.0)</f>
        <v>43617</v>
      </c>
      <c r="J674" s="10">
        <f>IFERROR(__xludf.DUMMYFUNCTION("""COMPUTED_VALUE"""),44713.0)</f>
        <v>44713</v>
      </c>
      <c r="K674" s="11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9" t="str">
        <f>IFERROR(__xludf.DUMMYFUNCTION("""COMPUTED_VALUE"""),"Rick")</f>
        <v>Rick</v>
      </c>
      <c r="B675" s="8" t="str">
        <f>IFERROR(__xludf.DUMMYFUNCTION("""COMPUTED_VALUE"""),"Scott")</f>
        <v>Scott</v>
      </c>
      <c r="C675" s="8" t="str">
        <f>IFERROR(__xludf.DUMMYFUNCTION("""COMPUTED_VALUE"""),"Hudson")</f>
        <v>Hudson</v>
      </c>
      <c r="D675" s="8" t="str">
        <f>IFERROR(__xludf.DUMMYFUNCTION("""COMPUTED_VALUE"""),"WI")</f>
        <v>WI</v>
      </c>
      <c r="E675" s="8" t="str">
        <f>IFERROR(__xludf.DUMMYFUNCTION("""COMPUTED_VALUE"""),"USA")</f>
        <v>USA</v>
      </c>
      <c r="F675" s="8" t="str">
        <f>IFERROR(__xludf.DUMMYFUNCTION("""COMPUTED_VALUE"""),"TopGun Men Singles")</f>
        <v>TopGun Men Singles</v>
      </c>
      <c r="G675" s="8" t="str">
        <f>IFERROR(__xludf.DUMMYFUNCTION("""COMPUTED_VALUE"""),"1st")</f>
        <v>1st</v>
      </c>
      <c r="H675" s="8" t="str">
        <f>IFERROR(__xludf.DUMMYFUNCTION("""COMPUTED_VALUE"""),"BullShooter 34 Finals")</f>
        <v>BullShooter 34 Finals</v>
      </c>
      <c r="I675" s="10">
        <f>IFERROR(__xludf.DUMMYFUNCTION("""COMPUTED_VALUE"""),43617.0)</f>
        <v>43617</v>
      </c>
      <c r="J675" s="10">
        <f>IFERROR(__xludf.DUMMYFUNCTION("""COMPUTED_VALUE"""),44713.0)</f>
        <v>44713</v>
      </c>
      <c r="K675" s="11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9" t="str">
        <f>IFERROR(__xludf.DUMMYFUNCTION("""COMPUTED_VALUE"""),"Riley")</f>
        <v>Riley</v>
      </c>
      <c r="B676" s="8" t="str">
        <f>IFERROR(__xludf.DUMMYFUNCTION("""COMPUTED_VALUE"""),"Julius")</f>
        <v>Julius</v>
      </c>
      <c r="C676" s="8" t="str">
        <f>IFERROR(__xludf.DUMMYFUNCTION("""COMPUTED_VALUE"""),"San Antonio")</f>
        <v>San Antonio</v>
      </c>
      <c r="D676" s="8" t="str">
        <f>IFERROR(__xludf.DUMMYFUNCTION("""COMPUTED_VALUE"""),"TX")</f>
        <v>TX</v>
      </c>
      <c r="E676" s="8" t="str">
        <f>IFERROR(__xludf.DUMMYFUNCTION("""COMPUTED_VALUE"""),"USA")</f>
        <v>USA</v>
      </c>
      <c r="F676" s="8" t="str">
        <f>IFERROR(__xludf.DUMMYFUNCTION("""COMPUTED_VALUE"""),"Men Singles Cricket")</f>
        <v>Men Singles Cricket</v>
      </c>
      <c r="G676" s="8" t="str">
        <f>IFERROR(__xludf.DUMMYFUNCTION("""COMPUTED_VALUE"""),"1st")</f>
        <v>1st</v>
      </c>
      <c r="H676" s="8" t="str">
        <f>IFERROR(__xludf.DUMMYFUNCTION("""COMPUTED_VALUE"""),"Texas BS 34")</f>
        <v>Texas BS 34</v>
      </c>
      <c r="I676" s="10">
        <f>IFERROR(__xludf.DUMMYFUNCTION("""COMPUTED_VALUE"""),43617.0)</f>
        <v>43617</v>
      </c>
      <c r="J676" s="10">
        <f>IFERROR(__xludf.DUMMYFUNCTION("""COMPUTED_VALUE"""),44713.0)</f>
        <v>44713</v>
      </c>
      <c r="K676" s="11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9" t="str">
        <f>IFERROR(__xludf.DUMMYFUNCTION("""COMPUTED_VALUE"""),"Ripp")</f>
        <v>Ripp</v>
      </c>
      <c r="B677" s="8" t="str">
        <f>IFERROR(__xludf.DUMMYFUNCTION("""COMPUTED_VALUE"""),"Kenneth")</f>
        <v>Kenneth</v>
      </c>
      <c r="C677" s="8" t="str">
        <f>IFERROR(__xludf.DUMMYFUNCTION("""COMPUTED_VALUE"""),"St. Cloud")</f>
        <v>St. Cloud</v>
      </c>
      <c r="D677" s="8" t="str">
        <f>IFERROR(__xludf.DUMMYFUNCTION("""COMPUTED_VALUE"""),"MN")</f>
        <v>MN</v>
      </c>
      <c r="E677" s="8" t="str">
        <f>IFERROR(__xludf.DUMMYFUNCTION("""COMPUTED_VALUE"""),"USA")</f>
        <v>USA</v>
      </c>
      <c r="F677" s="8" t="str">
        <f>IFERROR(__xludf.DUMMYFUNCTION("""COMPUTED_VALUE"""),"Mens Doubles")</f>
        <v>Mens Doubles</v>
      </c>
      <c r="G677" s="8" t="str">
        <f>IFERROR(__xludf.DUMMYFUNCTION("""COMPUTED_VALUE"""),"4th")</f>
        <v>4th</v>
      </c>
      <c r="H677" s="8" t="str">
        <f>IFERROR(__xludf.DUMMYFUNCTION("""COMPUTED_VALUE"""),"BullShooter 32")</f>
        <v>BullShooter 32</v>
      </c>
      <c r="I677" s="10">
        <f>IFERROR(__xludf.DUMMYFUNCTION("""COMPUTED_VALUE"""),42887.0)</f>
        <v>42887</v>
      </c>
      <c r="J677" s="10">
        <f>IFERROR(__xludf.DUMMYFUNCTION("""COMPUTED_VALUE"""),43983.0)</f>
        <v>43983</v>
      </c>
      <c r="K677" s="11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9" t="str">
        <f>IFERROR(__xludf.DUMMYFUNCTION("""COMPUTED_VALUE"""),"Ritchey")</f>
        <v>Ritchey</v>
      </c>
      <c r="B678" s="8" t="str">
        <f>IFERROR(__xludf.DUMMYFUNCTION("""COMPUTED_VALUE"""),"Darrell")</f>
        <v>Darrell</v>
      </c>
      <c r="C678" s="8" t="str">
        <f>IFERROR(__xludf.DUMMYFUNCTION("""COMPUTED_VALUE"""),"St. Cloud")</f>
        <v>St. Cloud</v>
      </c>
      <c r="D678" s="8" t="str">
        <f>IFERROR(__xludf.DUMMYFUNCTION("""COMPUTED_VALUE"""),"FL")</f>
        <v>FL</v>
      </c>
      <c r="E678" s="8" t="str">
        <f>IFERROR(__xludf.DUMMYFUNCTION("""COMPUTED_VALUE"""),"USA")</f>
        <v>USA</v>
      </c>
      <c r="F678" s="8" t="str">
        <f>IFERROR(__xludf.DUMMYFUNCTION("""COMPUTED_VALUE"""),"Mens Cricket Doubles")</f>
        <v>Mens Cricket Doubles</v>
      </c>
      <c r="G678" s="8" t="str">
        <f>IFERROR(__xludf.DUMMYFUNCTION("""COMPUTED_VALUE"""),"2nd")</f>
        <v>2nd</v>
      </c>
      <c r="H678" s="8" t="str">
        <f>IFERROR(__xludf.DUMMYFUNCTION("""COMPUTED_VALUE"""),"GA Regional 33")</f>
        <v>GA Regional 33</v>
      </c>
      <c r="I678" s="10">
        <f>IFERROR(__xludf.DUMMYFUNCTION("""COMPUTED_VALUE"""),43252.0)</f>
        <v>43252</v>
      </c>
      <c r="J678" s="10">
        <f>IFERROR(__xludf.DUMMYFUNCTION("""COMPUTED_VALUE"""),44348.0)</f>
        <v>44348</v>
      </c>
      <c r="K678" s="11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9" t="str">
        <f>IFERROR(__xludf.DUMMYFUNCTION("""COMPUTED_VALUE"""),"Ritter")</f>
        <v>Ritter</v>
      </c>
      <c r="B679" s="8" t="str">
        <f>IFERROR(__xludf.DUMMYFUNCTION("""COMPUTED_VALUE"""),"Nathan")</f>
        <v>Nathan</v>
      </c>
      <c r="C679" s="8" t="str">
        <f>IFERROR(__xludf.DUMMYFUNCTION("""COMPUTED_VALUE"""),"Houston")</f>
        <v>Houston</v>
      </c>
      <c r="D679" s="8" t="str">
        <f>IFERROR(__xludf.DUMMYFUNCTION("""COMPUTED_VALUE"""),"TX")</f>
        <v>TX</v>
      </c>
      <c r="E679" s="8" t="str">
        <f>IFERROR(__xludf.DUMMYFUNCTION("""COMPUTED_VALUE"""),"USA")</f>
        <v>USA</v>
      </c>
      <c r="F679" s="8" t="str">
        <f>IFERROR(__xludf.DUMMYFUNCTION("""COMPUTED_VALUE"""),"Mens Cricket Doubles")</f>
        <v>Mens Cricket Doubles</v>
      </c>
      <c r="G679" s="8" t="str">
        <f>IFERROR(__xludf.DUMMYFUNCTION("""COMPUTED_VALUE"""),"1st")</f>
        <v>1st</v>
      </c>
      <c r="H679" s="8" t="str">
        <f>IFERROR(__xludf.DUMMYFUNCTION("""COMPUTED_VALUE"""),"TX Regional 33")</f>
        <v>TX Regional 33</v>
      </c>
      <c r="I679" s="10">
        <f>IFERROR(__xludf.DUMMYFUNCTION("""COMPUTED_VALUE"""),43252.0)</f>
        <v>43252</v>
      </c>
      <c r="J679" s="10">
        <f>IFERROR(__xludf.DUMMYFUNCTION("""COMPUTED_VALUE"""),44348.0)</f>
        <v>44348</v>
      </c>
      <c r="K679" s="11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9" t="str">
        <f>IFERROR(__xludf.DUMMYFUNCTION("""COMPUTED_VALUE"""),"Roberts")</f>
        <v>Roberts</v>
      </c>
      <c r="B680" s="8" t="str">
        <f>IFERROR(__xludf.DUMMYFUNCTION("""COMPUTED_VALUE"""),"Jefferson")</f>
        <v>Jefferson</v>
      </c>
      <c r="C680" s="8" t="str">
        <f>IFERROR(__xludf.DUMMYFUNCTION("""COMPUTED_VALUE"""),"Mableton")</f>
        <v>Mableton</v>
      </c>
      <c r="D680" s="8" t="str">
        <f>IFERROR(__xludf.DUMMYFUNCTION("""COMPUTED_VALUE"""),"GA")</f>
        <v>GA</v>
      </c>
      <c r="E680" s="8" t="str">
        <f>IFERROR(__xludf.DUMMYFUNCTION("""COMPUTED_VALUE"""),"USA")</f>
        <v>USA</v>
      </c>
      <c r="F680" s="8" t="str">
        <f>IFERROR(__xludf.DUMMYFUNCTION("""COMPUTED_VALUE"""),"Mens Doubles")</f>
        <v>Mens Doubles</v>
      </c>
      <c r="G680" s="8" t="str">
        <f>IFERROR(__xludf.DUMMYFUNCTION("""COMPUTED_VALUE"""),"1st")</f>
        <v>1st</v>
      </c>
      <c r="H680" s="8" t="str">
        <f>IFERROR(__xludf.DUMMYFUNCTION("""COMPUTED_VALUE"""),"GA Regional 32")</f>
        <v>GA Regional 32</v>
      </c>
      <c r="I680" s="10">
        <f>IFERROR(__xludf.DUMMYFUNCTION("""COMPUTED_VALUE"""),42887.0)</f>
        <v>42887</v>
      </c>
      <c r="J680" s="10">
        <f>IFERROR(__xludf.DUMMYFUNCTION("""COMPUTED_VALUE"""),43983.0)</f>
        <v>43983</v>
      </c>
      <c r="K680" s="11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9" t="str">
        <f>IFERROR(__xludf.DUMMYFUNCTION("""COMPUTED_VALUE"""),"Robinson")</f>
        <v>Robinson</v>
      </c>
      <c r="B681" s="8" t="str">
        <f>IFERROR(__xludf.DUMMYFUNCTION("""COMPUTED_VALUE"""),"Justin")</f>
        <v>Justin</v>
      </c>
      <c r="C681" s="8" t="str">
        <f>IFERROR(__xludf.DUMMYFUNCTION("""COMPUTED_VALUE"""),"Knoxville")</f>
        <v>Knoxville</v>
      </c>
      <c r="D681" s="8" t="str">
        <f>IFERROR(__xludf.DUMMYFUNCTION("""COMPUTED_VALUE"""),"TN")</f>
        <v>TN</v>
      </c>
      <c r="E681" s="8" t="str">
        <f>IFERROR(__xludf.DUMMYFUNCTION("""COMPUTED_VALUE"""),"USA")</f>
        <v>USA</v>
      </c>
      <c r="F681" s="8" t="str">
        <f>IFERROR(__xludf.DUMMYFUNCTION("""COMPUTED_VALUE"""),"Mens Doubles")</f>
        <v>Mens Doubles</v>
      </c>
      <c r="G681" s="8" t="str">
        <f>IFERROR(__xludf.DUMMYFUNCTION("""COMPUTED_VALUE"""),"3rd")</f>
        <v>3rd</v>
      </c>
      <c r="H681" s="8" t="str">
        <f>IFERROR(__xludf.DUMMYFUNCTION("""COMPUTED_VALUE"""),"TN Regional 33")</f>
        <v>TN Regional 33</v>
      </c>
      <c r="I681" s="10">
        <f>IFERROR(__xludf.DUMMYFUNCTION("""COMPUTED_VALUE"""),43252.0)</f>
        <v>43252</v>
      </c>
      <c r="J681" s="10">
        <f>IFERROR(__xludf.DUMMYFUNCTION("""COMPUTED_VALUE"""),44348.0)</f>
        <v>44348</v>
      </c>
      <c r="K681" s="11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9" t="str">
        <f>IFERROR(__xludf.DUMMYFUNCTION("""COMPUTED_VALUE"""),"Robles")</f>
        <v>Robles</v>
      </c>
      <c r="B682" s="8" t="str">
        <f>IFERROR(__xludf.DUMMYFUNCTION("""COMPUTED_VALUE"""),"Andrew")</f>
        <v>Andrew</v>
      </c>
      <c r="C682" s="8" t="str">
        <f>IFERROR(__xludf.DUMMYFUNCTION("""COMPUTED_VALUE"""),"San Antonio")</f>
        <v>San Antonio</v>
      </c>
      <c r="D682" s="8" t="str">
        <f>IFERROR(__xludf.DUMMYFUNCTION("""COMPUTED_VALUE"""),"TX")</f>
        <v>TX</v>
      </c>
      <c r="E682" s="8" t="str">
        <f>IFERROR(__xludf.DUMMYFUNCTION("""COMPUTED_VALUE"""),"USA")</f>
        <v>USA</v>
      </c>
      <c r="F682" s="8" t="str">
        <f>IFERROR(__xludf.DUMMYFUNCTION("""COMPUTED_VALUE"""),"Mixed Triples")</f>
        <v>Mixed Triples</v>
      </c>
      <c r="G682" s="8" t="str">
        <f>IFERROR(__xludf.DUMMYFUNCTION("""COMPUTED_VALUE"""),"1st")</f>
        <v>1st</v>
      </c>
      <c r="H682" s="8" t="str">
        <f>IFERROR(__xludf.DUMMYFUNCTION("""COMPUTED_VALUE"""),"TX Regional 33")</f>
        <v>TX Regional 33</v>
      </c>
      <c r="I682" s="10">
        <f>IFERROR(__xludf.DUMMYFUNCTION("""COMPUTED_VALUE"""),43252.0)</f>
        <v>43252</v>
      </c>
      <c r="J682" s="10">
        <f>IFERROR(__xludf.DUMMYFUNCTION("""COMPUTED_VALUE"""),44348.0)</f>
        <v>44348</v>
      </c>
      <c r="K682" s="11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9" t="str">
        <f>IFERROR(__xludf.DUMMYFUNCTION("""COMPUTED_VALUE"""),"Robson")</f>
        <v>Robson</v>
      </c>
      <c r="B683" s="8" t="str">
        <f>IFERROR(__xludf.DUMMYFUNCTION("""COMPUTED_VALUE"""),"Gary")</f>
        <v>Gary</v>
      </c>
      <c r="C683" s="8" t="str">
        <f>IFERROR(__xludf.DUMMYFUNCTION("""COMPUTED_VALUE"""),"")</f>
        <v/>
      </c>
      <c r="D683" s="8" t="str">
        <f>IFERROR(__xludf.DUMMYFUNCTION("""COMPUTED_VALUE"""),"UNK")</f>
        <v>UNK</v>
      </c>
      <c r="E683" s="8" t="str">
        <f>IFERROR(__xludf.DUMMYFUNCTION("""COMPUTED_VALUE"""),"England")</f>
        <v>England</v>
      </c>
      <c r="F683" s="8" t="str">
        <f>IFERROR(__xludf.DUMMYFUNCTION("""COMPUTED_VALUE"""),"PDC Merit Ranking")</f>
        <v>PDC Merit Ranking</v>
      </c>
      <c r="G683" s="8" t="str">
        <f>IFERROR(__xludf.DUMMYFUNCTION("""COMPUTED_VALUE"""),"87th")</f>
        <v>87th</v>
      </c>
      <c r="H683" s="8" t="str">
        <f>IFERROR(__xludf.DUMMYFUNCTION("""COMPUTED_VALUE"""),"PDC Merit Ranking")</f>
        <v>PDC Merit Ranking</v>
      </c>
      <c r="I683" s="10">
        <f>IFERROR(__xludf.DUMMYFUNCTION("""COMPUTED_VALUE"""),42401.0)</f>
        <v>42401</v>
      </c>
      <c r="J683" s="10">
        <f>IFERROR(__xludf.DUMMYFUNCTION("""COMPUTED_VALUE"""),44713.0)</f>
        <v>44713</v>
      </c>
      <c r="K683" s="11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9" t="str">
        <f>IFERROR(__xludf.DUMMYFUNCTION("""COMPUTED_VALUE"""),"Rodgers")</f>
        <v>Rodgers</v>
      </c>
      <c r="B684" s="8" t="str">
        <f>IFERROR(__xludf.DUMMYFUNCTION("""COMPUTED_VALUE"""),"Jon")</f>
        <v>Jon</v>
      </c>
      <c r="C684" s="8" t="str">
        <f>IFERROR(__xludf.DUMMYFUNCTION("""COMPUTED_VALUE"""),"Burgetts Town")</f>
        <v>Burgetts Town</v>
      </c>
      <c r="D684" s="8" t="str">
        <f>IFERROR(__xludf.DUMMYFUNCTION("""COMPUTED_VALUE"""),"PA")</f>
        <v>PA</v>
      </c>
      <c r="E684" s="8" t="str">
        <f>IFERROR(__xludf.DUMMYFUNCTION("""COMPUTED_VALUE"""),"USA")</f>
        <v>USA</v>
      </c>
      <c r="F684" s="8" t="str">
        <f>IFERROR(__xludf.DUMMYFUNCTION("""COMPUTED_VALUE"""),"Mens Cricket Doubles")</f>
        <v>Mens Cricket Doubles</v>
      </c>
      <c r="G684" s="8" t="str">
        <f>IFERROR(__xludf.DUMMYFUNCTION("""COMPUTED_VALUE"""),"1st")</f>
        <v>1st</v>
      </c>
      <c r="H684" s="8" t="str">
        <f>IFERROR(__xludf.DUMMYFUNCTION("""COMPUTED_VALUE"""),"OH Regional 32")</f>
        <v>OH Regional 32</v>
      </c>
      <c r="I684" s="10">
        <f>IFERROR(__xludf.DUMMYFUNCTION("""COMPUTED_VALUE"""),42887.0)</f>
        <v>42887</v>
      </c>
      <c r="J684" s="10">
        <f>IFERROR(__xludf.DUMMYFUNCTION("""COMPUTED_VALUE"""),43983.0)</f>
        <v>43983</v>
      </c>
      <c r="K684" s="11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9" t="str">
        <f>IFERROR(__xludf.DUMMYFUNCTION("""COMPUTED_VALUE"""),"Rodriguez")</f>
        <v>Rodriguez</v>
      </c>
      <c r="B685" s="8" t="str">
        <f>IFERROR(__xludf.DUMMYFUNCTION("""COMPUTED_VALUE"""),"Luis")</f>
        <v>Luis</v>
      </c>
      <c r="C685" s="8" t="str">
        <f>IFERROR(__xludf.DUMMYFUNCTION("""COMPUTED_VALUE"""),"Orland Park")</f>
        <v>Orland Park</v>
      </c>
      <c r="D685" s="8" t="str">
        <f>IFERROR(__xludf.DUMMYFUNCTION("""COMPUTED_VALUE"""),"IL")</f>
        <v>IL</v>
      </c>
      <c r="E685" s="8" t="str">
        <f>IFERROR(__xludf.DUMMYFUNCTION("""COMPUTED_VALUE"""),"USA")</f>
        <v>USA</v>
      </c>
      <c r="F685" s="8" t="str">
        <f>IFERROR(__xludf.DUMMYFUNCTION("""COMPUTED_VALUE"""),"Mens Cricket Doubles")</f>
        <v>Mens Cricket Doubles</v>
      </c>
      <c r="G685" s="8" t="str">
        <f>IFERROR(__xludf.DUMMYFUNCTION("""COMPUTED_VALUE"""),"3rd")</f>
        <v>3rd</v>
      </c>
      <c r="H685" s="8" t="str">
        <f>IFERROR(__xludf.DUMMYFUNCTION("""COMPUTED_VALUE"""),"WI Regional 33")</f>
        <v>WI Regional 33</v>
      </c>
      <c r="I685" s="10">
        <f>IFERROR(__xludf.DUMMYFUNCTION("""COMPUTED_VALUE"""),43252.0)</f>
        <v>43252</v>
      </c>
      <c r="J685" s="10">
        <f>IFERROR(__xludf.DUMMYFUNCTION("""COMPUTED_VALUE"""),44348.0)</f>
        <v>44348</v>
      </c>
      <c r="K685" s="11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9" t="str">
        <f>IFERROR(__xludf.DUMMYFUNCTION("""COMPUTED_VALUE"""),"Roelofs")</f>
        <v>Roelofs</v>
      </c>
      <c r="B686" s="8" t="str">
        <f>IFERROR(__xludf.DUMMYFUNCTION("""COMPUTED_VALUE"""),"Colin")</f>
        <v>Colin</v>
      </c>
      <c r="C686" s="8" t="str">
        <f>IFERROR(__xludf.DUMMYFUNCTION("""COMPUTED_VALUE"""),"")</f>
        <v/>
      </c>
      <c r="D686" s="8" t="str">
        <f>IFERROR(__xludf.DUMMYFUNCTION("""COMPUTED_VALUE"""),"UNK")</f>
        <v>UNK</v>
      </c>
      <c r="E686" s="8" t="str">
        <f>IFERROR(__xludf.DUMMYFUNCTION("""COMPUTED_VALUE"""),"Netherlands")</f>
        <v>Netherlands</v>
      </c>
      <c r="F686" s="8" t="str">
        <f>IFERROR(__xludf.DUMMYFUNCTION("""COMPUTED_VALUE"""),"DL")</f>
        <v>DL</v>
      </c>
      <c r="G686" s="8" t="str">
        <f>IFERROR(__xludf.DUMMYFUNCTION("""COMPUTED_VALUE"""),"32nd")</f>
        <v>32nd</v>
      </c>
      <c r="H686" s="8" t="str">
        <f>IFERROR(__xludf.DUMMYFUNCTION("""COMPUTED_VALUE"""),"DL")</f>
        <v>DL</v>
      </c>
      <c r="I686" s="10">
        <f>IFERROR(__xludf.DUMMYFUNCTION("""COMPUTED_VALUE"""),42401.0)</f>
        <v>42401</v>
      </c>
      <c r="J686" s="10">
        <f>IFERROR(__xludf.DUMMYFUNCTION("""COMPUTED_VALUE"""),44713.0)</f>
        <v>44713</v>
      </c>
      <c r="K686" s="11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9" t="str">
        <f>IFERROR(__xludf.DUMMYFUNCTION("""COMPUTED_VALUE"""),"Roker")</f>
        <v>Roker</v>
      </c>
      <c r="B687" s="8" t="str">
        <f>IFERROR(__xludf.DUMMYFUNCTION("""COMPUTED_VALUE"""),"Jason")</f>
        <v>Jason</v>
      </c>
      <c r="C687" s="8" t="str">
        <f>IFERROR(__xludf.DUMMYFUNCTION("""COMPUTED_VALUE"""),"")</f>
        <v/>
      </c>
      <c r="D687" s="8" t="str">
        <f>IFERROR(__xludf.DUMMYFUNCTION("""COMPUTED_VALUE"""),"")</f>
        <v/>
      </c>
      <c r="E687" s="8" t="str">
        <f>IFERROR(__xludf.DUMMYFUNCTION("""COMPUTED_VALUE"""),"CANADA")</f>
        <v>CANADA</v>
      </c>
      <c r="F687" s="8" t="str">
        <f>IFERROR(__xludf.DUMMYFUNCTION("""COMPUTED_VALUE"""),"Men singles Cricket")</f>
        <v>Men singles Cricket</v>
      </c>
      <c r="G687" s="8" t="str">
        <f>IFERROR(__xludf.DUMMYFUNCTION("""COMPUTED_VALUE"""),"1st")</f>
        <v>1st</v>
      </c>
      <c r="H687" s="8" t="str">
        <f>IFERROR(__xludf.DUMMYFUNCTION("""COMPUTED_VALUE"""),"New York BS 34")</f>
        <v>New York BS 34</v>
      </c>
      <c r="I687" s="10">
        <f>IFERROR(__xludf.DUMMYFUNCTION("""COMPUTED_VALUE"""),43617.0)</f>
        <v>43617</v>
      </c>
      <c r="J687" s="10">
        <f>IFERROR(__xludf.DUMMYFUNCTION("""COMPUTED_VALUE"""),44713.0)</f>
        <v>44713</v>
      </c>
      <c r="K687" s="11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9" t="str">
        <f>IFERROR(__xludf.DUMMYFUNCTION("""COMPUTED_VALUE"""),"Romines")</f>
        <v>Romines</v>
      </c>
      <c r="B688" s="8" t="str">
        <f>IFERROR(__xludf.DUMMYFUNCTION("""COMPUTED_VALUE"""),"Chadwick")</f>
        <v>Chadwick</v>
      </c>
      <c r="C688" s="8" t="str">
        <f>IFERROR(__xludf.DUMMYFUNCTION("""COMPUTED_VALUE"""),"Sevierville")</f>
        <v>Sevierville</v>
      </c>
      <c r="D688" s="8" t="str">
        <f>IFERROR(__xludf.DUMMYFUNCTION("""COMPUTED_VALUE"""),"TN")</f>
        <v>TN</v>
      </c>
      <c r="E688" s="8" t="str">
        <f>IFERROR(__xludf.DUMMYFUNCTION("""COMPUTED_VALUE"""),"USA")</f>
        <v>USA</v>
      </c>
      <c r="F688" s="8" t="str">
        <f>IFERROR(__xludf.DUMMYFUNCTION("""COMPUTED_VALUE"""),"Pro Doubles 501")</f>
        <v>Pro Doubles 501</v>
      </c>
      <c r="G688" s="8" t="str">
        <f>IFERROR(__xludf.DUMMYFUNCTION("""COMPUTED_VALUE"""),"1st")</f>
        <v>1st</v>
      </c>
      <c r="H688" s="8" t="str">
        <f>IFERROR(__xludf.DUMMYFUNCTION("""COMPUTED_VALUE"""),"Tennessee BS 34")</f>
        <v>Tennessee BS 34</v>
      </c>
      <c r="I688" s="10">
        <f>IFERROR(__xludf.DUMMYFUNCTION("""COMPUTED_VALUE"""),43617.0)</f>
        <v>43617</v>
      </c>
      <c r="J688" s="10">
        <f>IFERROR(__xludf.DUMMYFUNCTION("""COMPUTED_VALUE"""),44713.0)</f>
        <v>44713</v>
      </c>
      <c r="K688" s="11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9" t="str">
        <f>IFERROR(__xludf.DUMMYFUNCTION("""COMPUTED_VALUE"""),"Roper")</f>
        <v>Roper</v>
      </c>
      <c r="B689" s="8" t="str">
        <f>IFERROR(__xludf.DUMMYFUNCTION("""COMPUTED_VALUE"""),"Emanuel")</f>
        <v>Emanuel</v>
      </c>
      <c r="C689" s="8" t="str">
        <f>IFERROR(__xludf.DUMMYFUNCTION("""COMPUTED_VALUE"""),"Las Vegas")</f>
        <v>Las Vegas</v>
      </c>
      <c r="D689" s="8" t="str">
        <f>IFERROR(__xludf.DUMMYFUNCTION("""COMPUTED_VALUE"""),"NV")</f>
        <v>NV</v>
      </c>
      <c r="E689" s="8" t="str">
        <f>IFERROR(__xludf.DUMMYFUNCTION("""COMPUTED_VALUE"""),"USA")</f>
        <v>USA</v>
      </c>
      <c r="F689" s="8" t="str">
        <f>IFERROR(__xludf.DUMMYFUNCTION("""COMPUTED_VALUE"""),"Mens Doubles")</f>
        <v>Mens Doubles</v>
      </c>
      <c r="G689" s="8" t="str">
        <f>IFERROR(__xludf.DUMMYFUNCTION("""COMPUTED_VALUE"""),"1st")</f>
        <v>1st</v>
      </c>
      <c r="H689" s="8" t="str">
        <f>IFERROR(__xludf.DUMMYFUNCTION("""COMPUTED_VALUE"""),"NV Regional 32")</f>
        <v>NV Regional 32</v>
      </c>
      <c r="I689" s="10">
        <f>IFERROR(__xludf.DUMMYFUNCTION("""COMPUTED_VALUE"""),42887.0)</f>
        <v>42887</v>
      </c>
      <c r="J689" s="10">
        <f>IFERROR(__xludf.DUMMYFUNCTION("""COMPUTED_VALUE"""),43983.0)</f>
        <v>43983</v>
      </c>
      <c r="K689" s="11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9" t="str">
        <f>IFERROR(__xludf.DUMMYFUNCTION("""COMPUTED_VALUE"""),"Ross")</f>
        <v>Ross</v>
      </c>
      <c r="B690" s="8" t="str">
        <f>IFERROR(__xludf.DUMMYFUNCTION("""COMPUTED_VALUE"""),"Darren")</f>
        <v>Darren</v>
      </c>
      <c r="C690" s="8" t="str">
        <f>IFERROR(__xludf.DUMMYFUNCTION("""COMPUTED_VALUE"""),"St. Louis")</f>
        <v>St. Louis</v>
      </c>
      <c r="D690" s="8" t="str">
        <f>IFERROR(__xludf.DUMMYFUNCTION("""COMPUTED_VALUE"""),"MO")</f>
        <v>MO</v>
      </c>
      <c r="E690" s="8" t="str">
        <f>IFERROR(__xludf.DUMMYFUNCTION("""COMPUTED_VALUE"""),"USA")</f>
        <v>USA</v>
      </c>
      <c r="F690" s="8" t="str">
        <f>IFERROR(__xludf.DUMMYFUNCTION("""COMPUTED_VALUE"""),"Men Doubles 501")</f>
        <v>Men Doubles 501</v>
      </c>
      <c r="G690" s="8" t="str">
        <f>IFERROR(__xludf.DUMMYFUNCTION("""COMPUTED_VALUE"""),"1st")</f>
        <v>1st</v>
      </c>
      <c r="H690" s="8" t="str">
        <f>IFERROR(__xludf.DUMMYFUNCTION("""COMPUTED_VALUE"""),"Wisconsin BS 34")</f>
        <v>Wisconsin BS 34</v>
      </c>
      <c r="I690" s="10">
        <f>IFERROR(__xludf.DUMMYFUNCTION("""COMPUTED_VALUE"""),43617.0)</f>
        <v>43617</v>
      </c>
      <c r="J690" s="10">
        <f>IFERROR(__xludf.DUMMYFUNCTION("""COMPUTED_VALUE"""),44713.0)</f>
        <v>44713</v>
      </c>
      <c r="K690" s="11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9" t="str">
        <f>IFERROR(__xludf.DUMMYFUNCTION("""COMPUTED_VALUE"""),"Ross")</f>
        <v>Ross</v>
      </c>
      <c r="B691" s="8" t="str">
        <f>IFERROR(__xludf.DUMMYFUNCTION("""COMPUTED_VALUE"""),"Jim")</f>
        <v>Jim</v>
      </c>
      <c r="C691" s="8" t="str">
        <f>IFERROR(__xludf.DUMMYFUNCTION("""COMPUTED_VALUE"""),"Bridgeview")</f>
        <v>Bridgeview</v>
      </c>
      <c r="D691" s="8" t="str">
        <f>IFERROR(__xludf.DUMMYFUNCTION("""COMPUTED_VALUE"""),"IL")</f>
        <v>IL</v>
      </c>
      <c r="E691" s="8" t="str">
        <f>IFERROR(__xludf.DUMMYFUNCTION("""COMPUTED_VALUE"""),"USA")</f>
        <v>USA</v>
      </c>
      <c r="F691" s="8" t="str">
        <f>IFERROR(__xludf.DUMMYFUNCTION("""COMPUTED_VALUE"""),"Mens Cricket Doubles")</f>
        <v>Mens Cricket Doubles</v>
      </c>
      <c r="G691" s="8" t="str">
        <f>IFERROR(__xludf.DUMMYFUNCTION("""COMPUTED_VALUE"""),"3rd")</f>
        <v>3rd</v>
      </c>
      <c r="H691" s="8" t="str">
        <f>IFERROR(__xludf.DUMMYFUNCTION("""COMPUTED_VALUE"""),"WI Regional 33")</f>
        <v>WI Regional 33</v>
      </c>
      <c r="I691" s="10">
        <f>IFERROR(__xludf.DUMMYFUNCTION("""COMPUTED_VALUE"""),43252.0)</f>
        <v>43252</v>
      </c>
      <c r="J691" s="10">
        <f>IFERROR(__xludf.DUMMYFUNCTION("""COMPUTED_VALUE"""),44348.0)</f>
        <v>44348</v>
      </c>
      <c r="K691" s="11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9" t="str">
        <f>IFERROR(__xludf.DUMMYFUNCTION("""COMPUTED_VALUE"""),"Ruby")</f>
        <v>Ruby</v>
      </c>
      <c r="B692" s="8" t="str">
        <f>IFERROR(__xludf.DUMMYFUNCTION("""COMPUTED_VALUE"""),"Jeffery")</f>
        <v>Jeffery</v>
      </c>
      <c r="C692" s="8" t="str">
        <f>IFERROR(__xludf.DUMMYFUNCTION("""COMPUTED_VALUE"""),"Cadillac")</f>
        <v>Cadillac</v>
      </c>
      <c r="D692" s="8" t="str">
        <f>IFERROR(__xludf.DUMMYFUNCTION("""COMPUTED_VALUE"""),"MI")</f>
        <v>MI</v>
      </c>
      <c r="E692" s="8" t="str">
        <f>IFERROR(__xludf.DUMMYFUNCTION("""COMPUTED_VALUE"""),"USA")</f>
        <v>USA</v>
      </c>
      <c r="F692" s="8" t="str">
        <f>IFERROR(__xludf.DUMMYFUNCTION("""COMPUTED_VALUE"""),"Pro Doubles 501")</f>
        <v>Pro Doubles 501</v>
      </c>
      <c r="G692" s="8" t="str">
        <f>IFERROR(__xludf.DUMMYFUNCTION("""COMPUTED_VALUE"""),"2nd")</f>
        <v>2nd</v>
      </c>
      <c r="H692" s="8" t="str">
        <f>IFERROR(__xludf.DUMMYFUNCTION("""COMPUTED_VALUE"""),"South Carolina BS 34")</f>
        <v>South Carolina BS 34</v>
      </c>
      <c r="I692" s="10">
        <f>IFERROR(__xludf.DUMMYFUNCTION("""COMPUTED_VALUE"""),43617.0)</f>
        <v>43617</v>
      </c>
      <c r="J692" s="10">
        <f>IFERROR(__xludf.DUMMYFUNCTION("""COMPUTED_VALUE"""),44713.0)</f>
        <v>44713</v>
      </c>
      <c r="K692" s="11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9" t="str">
        <f>IFERROR(__xludf.DUMMYFUNCTION("""COMPUTED_VALUE"""),"Rudolph")</f>
        <v>Rudolph</v>
      </c>
      <c r="B693" s="8" t="str">
        <f>IFERROR(__xludf.DUMMYFUNCTION("""COMPUTED_VALUE"""),"James")</f>
        <v>James</v>
      </c>
      <c r="C693" s="8" t="str">
        <f>IFERROR(__xludf.DUMMYFUNCTION("""COMPUTED_VALUE"""),"")</f>
        <v/>
      </c>
      <c r="D693" s="8" t="str">
        <f>IFERROR(__xludf.DUMMYFUNCTION("""COMPUTED_VALUE"""),"CA")</f>
        <v>CA</v>
      </c>
      <c r="E693" s="8" t="str">
        <f>IFERROR(__xludf.DUMMYFUNCTION("""COMPUTED_VALUE"""),"USA")</f>
        <v>USA</v>
      </c>
      <c r="F693" s="8" t="str">
        <f>IFERROR(__xludf.DUMMYFUNCTION("""COMPUTED_VALUE"""),"Mens Doubles")</f>
        <v>Mens Doubles</v>
      </c>
      <c r="G693" s="8" t="str">
        <f>IFERROR(__xludf.DUMMYFUNCTION("""COMPUTED_VALUE"""),"3rd")</f>
        <v>3rd</v>
      </c>
      <c r="H693" s="8" t="str">
        <f>IFERROR(__xludf.DUMMYFUNCTION("""COMPUTED_VALUE"""),"CA Regional 33")</f>
        <v>CA Regional 33</v>
      </c>
      <c r="I693" s="10">
        <f>IFERROR(__xludf.DUMMYFUNCTION("""COMPUTED_VALUE"""),43252.0)</f>
        <v>43252</v>
      </c>
      <c r="J693" s="10">
        <f>IFERROR(__xludf.DUMMYFUNCTION("""COMPUTED_VALUE"""),44348.0)</f>
        <v>44348</v>
      </c>
      <c r="K693" s="11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9" t="str">
        <f>IFERROR(__xludf.DUMMYFUNCTION("""COMPUTED_VALUE"""),"Rugh")</f>
        <v>Rugh</v>
      </c>
      <c r="B694" s="8" t="str">
        <f>IFERROR(__xludf.DUMMYFUNCTION("""COMPUTED_VALUE"""),"Jeff")</f>
        <v>Jeff</v>
      </c>
      <c r="C694" s="8" t="str">
        <f>IFERROR(__xludf.DUMMYFUNCTION("""COMPUTED_VALUE"""),"Greensburg")</f>
        <v>Greensburg</v>
      </c>
      <c r="D694" s="8" t="str">
        <f>IFERROR(__xludf.DUMMYFUNCTION("""COMPUTED_VALUE"""),"PA")</f>
        <v>PA</v>
      </c>
      <c r="E694" s="8" t="str">
        <f>IFERROR(__xludf.DUMMYFUNCTION("""COMPUTED_VALUE"""),"USA")</f>
        <v>USA</v>
      </c>
      <c r="F694" s="8" t="str">
        <f>IFERROR(__xludf.DUMMYFUNCTION("""COMPUTED_VALUE"""),"Mens Singles")</f>
        <v>Mens Singles</v>
      </c>
      <c r="G694" s="8" t="str">
        <f>IFERROR(__xludf.DUMMYFUNCTION("""COMPUTED_VALUE"""),"3rd")</f>
        <v>3rd</v>
      </c>
      <c r="H694" s="8" t="str">
        <f>IFERROR(__xludf.DUMMYFUNCTION("""COMPUTED_VALUE"""),"PA Regional 33")</f>
        <v>PA Regional 33</v>
      </c>
      <c r="I694" s="10">
        <f>IFERROR(__xludf.DUMMYFUNCTION("""COMPUTED_VALUE"""),43252.0)</f>
        <v>43252</v>
      </c>
      <c r="J694" s="10">
        <f>IFERROR(__xludf.DUMMYFUNCTION("""COMPUTED_VALUE"""),44348.0)</f>
        <v>44348</v>
      </c>
      <c r="K694" s="11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9" t="str">
        <f>IFERROR(__xludf.DUMMYFUNCTION("""COMPUTED_VALUE"""),"Rummel")</f>
        <v>Rummel</v>
      </c>
      <c r="B695" s="8" t="str">
        <f>IFERROR(__xludf.DUMMYFUNCTION("""COMPUTED_VALUE"""),"Kyle")</f>
        <v>Kyle</v>
      </c>
      <c r="C695" s="8" t="str">
        <f>IFERROR(__xludf.DUMMYFUNCTION("""COMPUTED_VALUE"""),"Fargo")</f>
        <v>Fargo</v>
      </c>
      <c r="D695" s="8" t="str">
        <f>IFERROR(__xludf.DUMMYFUNCTION("""COMPUTED_VALUE"""),"ND")</f>
        <v>ND</v>
      </c>
      <c r="E695" s="8" t="str">
        <f>IFERROR(__xludf.DUMMYFUNCTION("""COMPUTED_VALUE"""),"USA")</f>
        <v>USA</v>
      </c>
      <c r="F695" s="8" t="str">
        <f>IFERROR(__xludf.DUMMYFUNCTION("""COMPUTED_VALUE"""),"Mens Singles Cricket")</f>
        <v>Mens Singles Cricket</v>
      </c>
      <c r="G695" s="8" t="str">
        <f>IFERROR(__xludf.DUMMYFUNCTION("""COMPUTED_VALUE"""),"2nd")</f>
        <v>2nd</v>
      </c>
      <c r="H695" s="8" t="str">
        <f>IFERROR(__xludf.DUMMYFUNCTION("""COMPUTED_VALUE"""),"NE Regional 32")</f>
        <v>NE Regional 32</v>
      </c>
      <c r="I695" s="10">
        <f>IFERROR(__xludf.DUMMYFUNCTION("""COMPUTED_VALUE"""),42887.0)</f>
        <v>42887</v>
      </c>
      <c r="J695" s="10">
        <f>IFERROR(__xludf.DUMMYFUNCTION("""COMPUTED_VALUE"""),43983.0)</f>
        <v>43983</v>
      </c>
      <c r="K695" s="11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9" t="str">
        <f>IFERROR(__xludf.DUMMYFUNCTION("""COMPUTED_VALUE"""),"Runge")</f>
        <v>Runge</v>
      </c>
      <c r="B696" s="8" t="str">
        <f>IFERROR(__xludf.DUMMYFUNCTION("""COMPUTED_VALUE"""),"Larry")</f>
        <v>Larry</v>
      </c>
      <c r="C696" s="8" t="str">
        <f>IFERROR(__xludf.DUMMYFUNCTION("""COMPUTED_VALUE"""),"Bellevue")</f>
        <v>Bellevue</v>
      </c>
      <c r="D696" s="8" t="str">
        <f>IFERROR(__xludf.DUMMYFUNCTION("""COMPUTED_VALUE"""),"NE")</f>
        <v>NE</v>
      </c>
      <c r="E696" s="8" t="str">
        <f>IFERROR(__xludf.DUMMYFUNCTION("""COMPUTED_VALUE"""),"USA")</f>
        <v>USA</v>
      </c>
      <c r="F696" s="8" t="str">
        <f>IFERROR(__xludf.DUMMYFUNCTION("""COMPUTED_VALUE"""),"Mens Singles Cricket")</f>
        <v>Mens Singles Cricket</v>
      </c>
      <c r="G696" s="8" t="str">
        <f>IFERROR(__xludf.DUMMYFUNCTION("""COMPUTED_VALUE"""),"3rd")</f>
        <v>3rd</v>
      </c>
      <c r="H696" s="8" t="str">
        <f>IFERROR(__xludf.DUMMYFUNCTION("""COMPUTED_VALUE"""),"NE Regional 32")</f>
        <v>NE Regional 32</v>
      </c>
      <c r="I696" s="10">
        <f>IFERROR(__xludf.DUMMYFUNCTION("""COMPUTED_VALUE"""),42887.0)</f>
        <v>42887</v>
      </c>
      <c r="J696" s="10">
        <f>IFERROR(__xludf.DUMMYFUNCTION("""COMPUTED_VALUE"""),43983.0)</f>
        <v>43983</v>
      </c>
      <c r="K696" s="11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9" t="str">
        <f>IFERROR(__xludf.DUMMYFUNCTION("""COMPUTED_VALUE"""),"Rutsky")</f>
        <v>Rutsky</v>
      </c>
      <c r="B697" s="8" t="str">
        <f>IFERROR(__xludf.DUMMYFUNCTION("""COMPUTED_VALUE"""),"Joe")</f>
        <v>Joe</v>
      </c>
      <c r="C697" s="8" t="str">
        <f>IFERROR(__xludf.DUMMYFUNCTION("""COMPUTED_VALUE"""),"")</f>
        <v/>
      </c>
      <c r="D697" s="8" t="str">
        <f>IFERROR(__xludf.DUMMYFUNCTION("""COMPUTED_VALUE"""),"UNK")</f>
        <v>UNK</v>
      </c>
      <c r="E697" s="8" t="str">
        <f>IFERROR(__xludf.DUMMYFUNCTION("""COMPUTED_VALUE"""),"UNK")</f>
        <v>UNK</v>
      </c>
      <c r="F697" s="8" t="str">
        <f>IFERROR(__xludf.DUMMYFUNCTION("""COMPUTED_VALUE"""),"ADO 2016")</f>
        <v>ADO 2016</v>
      </c>
      <c r="G697" s="8" t="str">
        <f>IFERROR(__xludf.DUMMYFUNCTION("""COMPUTED_VALUE"""),"36th")</f>
        <v>36th</v>
      </c>
      <c r="H697" s="8" t="str">
        <f>IFERROR(__xludf.DUMMYFUNCTION("""COMPUTED_VALUE"""),"ADO 2016")</f>
        <v>ADO 2016</v>
      </c>
      <c r="I697" s="10">
        <f>IFERROR(__xludf.DUMMYFUNCTION("""COMPUTED_VALUE"""),42401.0)</f>
        <v>42401</v>
      </c>
      <c r="J697" s="10">
        <f>IFERROR(__xludf.DUMMYFUNCTION("""COMPUTED_VALUE"""),44713.0)</f>
        <v>44713</v>
      </c>
      <c r="K697" s="11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9" t="str">
        <f>IFERROR(__xludf.DUMMYFUNCTION("""COMPUTED_VALUE"""),"Rydeen")</f>
        <v>Rydeen</v>
      </c>
      <c r="B698" s="8" t="str">
        <f>IFERROR(__xludf.DUMMYFUNCTION("""COMPUTED_VALUE"""),"Michael")</f>
        <v>Michael</v>
      </c>
      <c r="C698" s="8" t="str">
        <f>IFERROR(__xludf.DUMMYFUNCTION("""COMPUTED_VALUE"""),"Somerset")</f>
        <v>Somerset</v>
      </c>
      <c r="D698" s="8" t="str">
        <f>IFERROR(__xludf.DUMMYFUNCTION("""COMPUTED_VALUE"""),"WI")</f>
        <v>WI</v>
      </c>
      <c r="E698" s="8" t="str">
        <f>IFERROR(__xludf.DUMMYFUNCTION("""COMPUTED_VALUE"""),"USA")</f>
        <v>USA</v>
      </c>
      <c r="F698" s="8" t="str">
        <f>IFERROR(__xludf.DUMMYFUNCTION("""COMPUTED_VALUE"""),"Mixed Triples")</f>
        <v>Mixed Triples</v>
      </c>
      <c r="G698" s="8" t="str">
        <f>IFERROR(__xludf.DUMMYFUNCTION("""COMPUTED_VALUE"""),"1st")</f>
        <v>1st</v>
      </c>
      <c r="H698" s="8" t="str">
        <f>IFERROR(__xludf.DUMMYFUNCTION("""COMPUTED_VALUE"""),"BS 33 Finals")</f>
        <v>BS 33 Finals</v>
      </c>
      <c r="I698" s="10">
        <f>IFERROR(__xludf.DUMMYFUNCTION("""COMPUTED_VALUE"""),43252.0)</f>
        <v>43252</v>
      </c>
      <c r="J698" s="10">
        <f>IFERROR(__xludf.DUMMYFUNCTION("""COMPUTED_VALUE"""),44348.0)</f>
        <v>44348</v>
      </c>
      <c r="K698" s="11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9" t="str">
        <f>IFERROR(__xludf.DUMMYFUNCTION("""COMPUTED_VALUE"""),"Ryder")</f>
        <v>Ryder</v>
      </c>
      <c r="B699" s="8" t="str">
        <f>IFERROR(__xludf.DUMMYFUNCTION("""COMPUTED_VALUE"""),"Laurence")</f>
        <v>Laurence</v>
      </c>
      <c r="C699" s="8" t="str">
        <f>IFERROR(__xludf.DUMMYFUNCTION("""COMPUTED_VALUE"""),"")</f>
        <v/>
      </c>
      <c r="D699" s="8" t="str">
        <f>IFERROR(__xludf.DUMMYFUNCTION("""COMPUTED_VALUE"""),"UNK")</f>
        <v>UNK</v>
      </c>
      <c r="E699" s="8" t="str">
        <f>IFERROR(__xludf.DUMMYFUNCTION("""COMPUTED_VALUE"""),"Australia")</f>
        <v>Australia</v>
      </c>
      <c r="F699" s="8" t="str">
        <f>IFERROR(__xludf.DUMMYFUNCTION("""COMPUTED_VALUE"""),"PDC Merit Ranking")</f>
        <v>PDC Merit Ranking</v>
      </c>
      <c r="G699" s="8" t="str">
        <f>IFERROR(__xludf.DUMMYFUNCTION("""COMPUTED_VALUE"""),"83rd")</f>
        <v>83rd</v>
      </c>
      <c r="H699" s="8" t="str">
        <f>IFERROR(__xludf.DUMMYFUNCTION("""COMPUTED_VALUE"""),"PDC Merit Ranking")</f>
        <v>PDC Merit Ranking</v>
      </c>
      <c r="I699" s="10">
        <f>IFERROR(__xludf.DUMMYFUNCTION("""COMPUTED_VALUE"""),42401.0)</f>
        <v>42401</v>
      </c>
      <c r="J699" s="10">
        <f>IFERROR(__xludf.DUMMYFUNCTION("""COMPUTED_VALUE"""),44713.0)</f>
        <v>44713</v>
      </c>
      <c r="K699" s="11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9" t="str">
        <f>IFERROR(__xludf.DUMMYFUNCTION("""COMPUTED_VALUE"""),"Salazar")</f>
        <v>Salazar</v>
      </c>
      <c r="B700" s="8" t="str">
        <f>IFERROR(__xludf.DUMMYFUNCTION("""COMPUTED_VALUE"""),"Johnny")</f>
        <v>Johnny</v>
      </c>
      <c r="C700" s="8" t="str">
        <f>IFERROR(__xludf.DUMMYFUNCTION("""COMPUTED_VALUE"""),"Pasadena")</f>
        <v>Pasadena</v>
      </c>
      <c r="D700" s="8" t="str">
        <f>IFERROR(__xludf.DUMMYFUNCTION("""COMPUTED_VALUE"""),"TX")</f>
        <v>TX</v>
      </c>
      <c r="E700" s="8" t="str">
        <f>IFERROR(__xludf.DUMMYFUNCTION("""COMPUTED_VALUE"""),"USA")</f>
        <v>USA</v>
      </c>
      <c r="F700" s="8" t="str">
        <f>IFERROR(__xludf.DUMMYFUNCTION("""COMPUTED_VALUE"""),"Pro Doubles")</f>
        <v>Pro Doubles</v>
      </c>
      <c r="G700" s="8" t="str">
        <f>IFERROR(__xludf.DUMMYFUNCTION("""COMPUTED_VALUE"""),"3rd")</f>
        <v>3rd</v>
      </c>
      <c r="H700" s="8" t="str">
        <f>IFERROR(__xludf.DUMMYFUNCTION("""COMPUTED_VALUE"""),"TX Regional 32")</f>
        <v>TX Regional 32</v>
      </c>
      <c r="I700" s="10">
        <f>IFERROR(__xludf.DUMMYFUNCTION("""COMPUTED_VALUE"""),42887.0)</f>
        <v>42887</v>
      </c>
      <c r="J700" s="10">
        <f>IFERROR(__xludf.DUMMYFUNCTION("""COMPUTED_VALUE"""),43983.0)</f>
        <v>43983</v>
      </c>
      <c r="K700" s="11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9" t="str">
        <f>IFERROR(__xludf.DUMMYFUNCTION("""COMPUTED_VALUE"""),"Sale")</f>
        <v>Sale</v>
      </c>
      <c r="B701" s="8" t="str">
        <f>IFERROR(__xludf.DUMMYFUNCTION("""COMPUTED_VALUE"""),"Ron")</f>
        <v>Ron</v>
      </c>
      <c r="C701" s="8" t="str">
        <f>IFERROR(__xludf.DUMMYFUNCTION("""COMPUTED_VALUE"""),"Mapleton")</f>
        <v>Mapleton</v>
      </c>
      <c r="D701" s="8" t="str">
        <f>IFERROR(__xludf.DUMMYFUNCTION("""COMPUTED_VALUE"""),"IL")</f>
        <v>IL</v>
      </c>
      <c r="E701" s="8" t="str">
        <f>IFERROR(__xludf.DUMMYFUNCTION("""COMPUTED_VALUE"""),"USA")</f>
        <v>USA</v>
      </c>
      <c r="F701" s="8" t="str">
        <f>IFERROR(__xludf.DUMMYFUNCTION("""COMPUTED_VALUE"""),"Mens Cricket Doubles")</f>
        <v>Mens Cricket Doubles</v>
      </c>
      <c r="G701" s="8" t="str">
        <f>IFERROR(__xludf.DUMMYFUNCTION("""COMPUTED_VALUE"""),"2nd")</f>
        <v>2nd</v>
      </c>
      <c r="H701" s="8" t="str">
        <f>IFERROR(__xludf.DUMMYFUNCTION("""COMPUTED_VALUE"""),"OH Regional 33")</f>
        <v>OH Regional 33</v>
      </c>
      <c r="I701" s="10">
        <f>IFERROR(__xludf.DUMMYFUNCTION("""COMPUTED_VALUE"""),43252.0)</f>
        <v>43252</v>
      </c>
      <c r="J701" s="10">
        <f>IFERROR(__xludf.DUMMYFUNCTION("""COMPUTED_VALUE"""),44348.0)</f>
        <v>44348</v>
      </c>
      <c r="K701" s="11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9" t="str">
        <f>IFERROR(__xludf.DUMMYFUNCTION("""COMPUTED_VALUE"""),"Sams")</f>
        <v>Sams</v>
      </c>
      <c r="B702" s="8" t="str">
        <f>IFERROR(__xludf.DUMMYFUNCTION("""COMPUTED_VALUE"""),"Chris")</f>
        <v>Chris</v>
      </c>
      <c r="C702" s="8" t="str">
        <f>IFERROR(__xludf.DUMMYFUNCTION("""COMPUTED_VALUE"""),"Green Cove Springs")</f>
        <v>Green Cove Springs</v>
      </c>
      <c r="D702" s="8" t="str">
        <f>IFERROR(__xludf.DUMMYFUNCTION("""COMPUTED_VALUE"""),"FL")</f>
        <v>FL</v>
      </c>
      <c r="E702" s="8" t="str">
        <f>IFERROR(__xludf.DUMMYFUNCTION("""COMPUTED_VALUE"""),"USA")</f>
        <v>USA</v>
      </c>
      <c r="F702" s="8" t="str">
        <f>IFERROR(__xludf.DUMMYFUNCTION("""COMPUTED_VALUE"""),"Pro Singles Cricket")</f>
        <v>Pro Singles Cricket</v>
      </c>
      <c r="G702" s="8" t="str">
        <f>IFERROR(__xludf.DUMMYFUNCTION("""COMPUTED_VALUE"""),"3rd")</f>
        <v>3rd</v>
      </c>
      <c r="H702" s="8" t="str">
        <f>IFERROR(__xludf.DUMMYFUNCTION("""COMPUTED_VALUE"""),"Florida BS 34")</f>
        <v>Florida BS 34</v>
      </c>
      <c r="I702" s="10">
        <f>IFERROR(__xludf.DUMMYFUNCTION("""COMPUTED_VALUE"""),43617.0)</f>
        <v>43617</v>
      </c>
      <c r="J702" s="10">
        <f>IFERROR(__xludf.DUMMYFUNCTION("""COMPUTED_VALUE"""),45809.0)</f>
        <v>45809</v>
      </c>
      <c r="K702" s="11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9" t="str">
        <f>IFERROR(__xludf.DUMMYFUNCTION("""COMPUTED_VALUE"""),"Sanden")</f>
        <v>Sanden</v>
      </c>
      <c r="B703" s="8" t="str">
        <f>IFERROR(__xludf.DUMMYFUNCTION("""COMPUTED_VALUE"""),"Dennis")</f>
        <v>Dennis</v>
      </c>
      <c r="C703" s="8" t="str">
        <f>IFERROR(__xludf.DUMMYFUNCTION("""COMPUTED_VALUE"""),"Baldwin")</f>
        <v>Baldwin</v>
      </c>
      <c r="D703" s="8" t="str">
        <f>IFERROR(__xludf.DUMMYFUNCTION("""COMPUTED_VALUE"""),"IL")</f>
        <v>IL</v>
      </c>
      <c r="E703" s="8" t="str">
        <f>IFERROR(__xludf.DUMMYFUNCTION("""COMPUTED_VALUE"""),"USA")</f>
        <v>USA</v>
      </c>
      <c r="F703" s="8" t="str">
        <f>IFERROR(__xludf.DUMMYFUNCTION("""COMPUTED_VALUE"""),"")</f>
        <v/>
      </c>
      <c r="G703" s="8" t="str">
        <f>IFERROR(__xludf.DUMMYFUNCTION("""COMPUTED_VALUE"""),"")</f>
        <v/>
      </c>
      <c r="H703" s="8" t="str">
        <f>IFERROR(__xludf.DUMMYFUNCTION("""COMPUTED_VALUE"""),"BS 30 Finals")</f>
        <v>BS 30 Finals</v>
      </c>
      <c r="I703" s="10">
        <f>IFERROR(__xludf.DUMMYFUNCTION("""COMPUTED_VALUE"""),43252.0)</f>
        <v>43252</v>
      </c>
      <c r="J703" s="10">
        <f>IFERROR(__xludf.DUMMYFUNCTION("""COMPUTED_VALUE"""),44348.0)</f>
        <v>44348</v>
      </c>
      <c r="K703" s="11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9" t="str">
        <f>IFERROR(__xludf.DUMMYFUNCTION("""COMPUTED_VALUE"""),"Sanko, Jr.")</f>
        <v>Sanko, Jr.</v>
      </c>
      <c r="B704" s="8" t="str">
        <f>IFERROR(__xludf.DUMMYFUNCTION("""COMPUTED_VALUE"""),"Michael")</f>
        <v>Michael</v>
      </c>
      <c r="C704" s="8" t="str">
        <f>IFERROR(__xludf.DUMMYFUNCTION("""COMPUTED_VALUE"""),"Aliquippa")</f>
        <v>Aliquippa</v>
      </c>
      <c r="D704" s="8" t="str">
        <f>IFERROR(__xludf.DUMMYFUNCTION("""COMPUTED_VALUE"""),"PA")</f>
        <v>PA</v>
      </c>
      <c r="E704" s="8" t="str">
        <f>IFERROR(__xludf.DUMMYFUNCTION("""COMPUTED_VALUE"""),"USA")</f>
        <v>USA</v>
      </c>
      <c r="F704" s="8" t="str">
        <f>IFERROR(__xludf.DUMMYFUNCTION("""COMPUTED_VALUE"""),"Mens Singles Cricket")</f>
        <v>Mens Singles Cricket</v>
      </c>
      <c r="G704" s="8" t="str">
        <f>IFERROR(__xludf.DUMMYFUNCTION("""COMPUTED_VALUE"""),"1st")</f>
        <v>1st</v>
      </c>
      <c r="H704" s="8" t="str">
        <f>IFERROR(__xludf.DUMMYFUNCTION("""COMPUTED_VALUE"""),"PA Regional 32")</f>
        <v>PA Regional 32</v>
      </c>
      <c r="I704" s="10">
        <f>IFERROR(__xludf.DUMMYFUNCTION("""COMPUTED_VALUE"""),42887.0)</f>
        <v>42887</v>
      </c>
      <c r="J704" s="10">
        <f>IFERROR(__xludf.DUMMYFUNCTION("""COMPUTED_VALUE"""),43983.0)</f>
        <v>43983</v>
      </c>
      <c r="K704" s="11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9" t="str">
        <f>IFERROR(__xludf.DUMMYFUNCTION("""COMPUTED_VALUE"""),"Santos")</f>
        <v>Santos</v>
      </c>
      <c r="B705" s="8" t="str">
        <f>IFERROR(__xludf.DUMMYFUNCTION("""COMPUTED_VALUE"""),"Eduardo")</f>
        <v>Eduardo</v>
      </c>
      <c r="C705" s="8" t="str">
        <f>IFERROR(__xludf.DUMMYFUNCTION("""COMPUTED_VALUE"""),"")</f>
        <v/>
      </c>
      <c r="D705" s="8" t="str">
        <f>IFERROR(__xludf.DUMMYFUNCTION("""COMPUTED_VALUE"""),"UNK")</f>
        <v>UNK</v>
      </c>
      <c r="E705" s="8" t="str">
        <f>IFERROR(__xludf.DUMMYFUNCTION("""COMPUTED_VALUE"""),"Philippines")</f>
        <v>Philippines</v>
      </c>
      <c r="F705" s="8" t="str">
        <f>IFERROR(__xludf.DUMMYFUNCTION("""COMPUTED_VALUE"""),"DL")</f>
        <v>DL</v>
      </c>
      <c r="G705" s="8" t="str">
        <f>IFERROR(__xludf.DUMMYFUNCTION("""COMPUTED_VALUE"""),"46th")</f>
        <v>46th</v>
      </c>
      <c r="H705" s="8" t="str">
        <f>IFERROR(__xludf.DUMMYFUNCTION("""COMPUTED_VALUE"""),"DL")</f>
        <v>DL</v>
      </c>
      <c r="I705" s="10">
        <f>IFERROR(__xludf.DUMMYFUNCTION("""COMPUTED_VALUE"""),42401.0)</f>
        <v>42401</v>
      </c>
      <c r="J705" s="10">
        <f>IFERROR(__xludf.DUMMYFUNCTION("""COMPUTED_VALUE"""),44713.0)</f>
        <v>44713</v>
      </c>
      <c r="K705" s="11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9" t="str">
        <f>IFERROR(__xludf.DUMMYFUNCTION("""COMPUTED_VALUE"""),"Scarberry")</f>
        <v>Scarberry</v>
      </c>
      <c r="B706" s="8" t="str">
        <f>IFERROR(__xludf.DUMMYFUNCTION("""COMPUTED_VALUE"""),"Rick")</f>
        <v>Rick</v>
      </c>
      <c r="C706" s="8" t="str">
        <f>IFERROR(__xludf.DUMMYFUNCTION("""COMPUTED_VALUE"""),"Kenova")</f>
        <v>Kenova</v>
      </c>
      <c r="D706" s="8" t="str">
        <f>IFERROR(__xludf.DUMMYFUNCTION("""COMPUTED_VALUE"""),"WV")</f>
        <v>WV</v>
      </c>
      <c r="E706" s="8" t="str">
        <f>IFERROR(__xludf.DUMMYFUNCTION("""COMPUTED_VALUE"""),"USA")</f>
        <v>USA</v>
      </c>
      <c r="F706" s="8" t="str">
        <f>IFERROR(__xludf.DUMMYFUNCTION("""COMPUTED_VALUE"""),"Mens Doubles")</f>
        <v>Mens Doubles</v>
      </c>
      <c r="G706" s="8" t="str">
        <f>IFERROR(__xludf.DUMMYFUNCTION("""COMPUTED_VALUE"""),"1st")</f>
        <v>1st</v>
      </c>
      <c r="H706" s="8" t="str">
        <f>IFERROR(__xludf.DUMMYFUNCTION("""COMPUTED_VALUE"""),"OH Regional 33")</f>
        <v>OH Regional 33</v>
      </c>
      <c r="I706" s="10">
        <f>IFERROR(__xludf.DUMMYFUNCTION("""COMPUTED_VALUE"""),43252.0)</f>
        <v>43252</v>
      </c>
      <c r="J706" s="10">
        <f>IFERROR(__xludf.DUMMYFUNCTION("""COMPUTED_VALUE"""),44348.0)</f>
        <v>44348</v>
      </c>
      <c r="K706" s="11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9" t="str">
        <f>IFERROR(__xludf.DUMMYFUNCTION("""COMPUTED_VALUE"""),"Schaumann")</f>
        <v>Schaumann</v>
      </c>
      <c r="B707" s="8" t="str">
        <f>IFERROR(__xludf.DUMMYFUNCTION("""COMPUTED_VALUE"""),"John")</f>
        <v>John</v>
      </c>
      <c r="C707" s="8" t="str">
        <f>IFERROR(__xludf.DUMMYFUNCTION("""COMPUTED_VALUE"""),"")</f>
        <v/>
      </c>
      <c r="D707" s="8" t="str">
        <f>IFERROR(__xludf.DUMMYFUNCTION("""COMPUTED_VALUE"""),"UNK")</f>
        <v>UNK</v>
      </c>
      <c r="E707" s="8" t="str">
        <f>IFERROR(__xludf.DUMMYFUNCTION("""COMPUTED_VALUE"""),"UNK")</f>
        <v>UNK</v>
      </c>
      <c r="F707" s="8" t="str">
        <f>IFERROR(__xludf.DUMMYFUNCTION("""COMPUTED_VALUE"""),"ADO 2016")</f>
        <v>ADO 2016</v>
      </c>
      <c r="G707" s="8" t="str">
        <f>IFERROR(__xludf.DUMMYFUNCTION("""COMPUTED_VALUE"""),"42nd")</f>
        <v>42nd</v>
      </c>
      <c r="H707" s="8" t="str">
        <f>IFERROR(__xludf.DUMMYFUNCTION("""COMPUTED_VALUE"""),"ADO 2016")</f>
        <v>ADO 2016</v>
      </c>
      <c r="I707" s="10">
        <f>IFERROR(__xludf.DUMMYFUNCTION("""COMPUTED_VALUE"""),42401.0)</f>
        <v>42401</v>
      </c>
      <c r="J707" s="10">
        <f>IFERROR(__xludf.DUMMYFUNCTION("""COMPUTED_VALUE"""),44713.0)</f>
        <v>44713</v>
      </c>
      <c r="K707" s="11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9" t="str">
        <f>IFERROR(__xludf.DUMMYFUNCTION("""COMPUTED_VALUE"""),"Schirmbick")</f>
        <v>Schirmbick</v>
      </c>
      <c r="B708" s="8" t="str">
        <f>IFERROR(__xludf.DUMMYFUNCTION("""COMPUTED_VALUE"""),"Brandon")</f>
        <v>Brandon</v>
      </c>
      <c r="C708" s="8" t="str">
        <f>IFERROR(__xludf.DUMMYFUNCTION("""COMPUTED_VALUE"""),"Churdan")</f>
        <v>Churdan</v>
      </c>
      <c r="D708" s="8" t="str">
        <f>IFERROR(__xludf.DUMMYFUNCTION("""COMPUTED_VALUE"""),"IA")</f>
        <v>IA</v>
      </c>
      <c r="E708" s="8" t="str">
        <f>IFERROR(__xludf.DUMMYFUNCTION("""COMPUTED_VALUE"""),"USA")</f>
        <v>USA</v>
      </c>
      <c r="F708" s="8" t="str">
        <f>IFERROR(__xludf.DUMMYFUNCTION("""COMPUTED_VALUE"""),"Mens Cricket Doubles")</f>
        <v>Mens Cricket Doubles</v>
      </c>
      <c r="G708" s="8" t="str">
        <f>IFERROR(__xludf.DUMMYFUNCTION("""COMPUTED_VALUE"""),"1st")</f>
        <v>1st</v>
      </c>
      <c r="H708" s="8" t="str">
        <f>IFERROR(__xludf.DUMMYFUNCTION("""COMPUTED_VALUE"""),"NE Regional 33")</f>
        <v>NE Regional 33</v>
      </c>
      <c r="I708" s="10">
        <f>IFERROR(__xludf.DUMMYFUNCTION("""COMPUTED_VALUE"""),43252.0)</f>
        <v>43252</v>
      </c>
      <c r="J708" s="10">
        <f>IFERROR(__xludf.DUMMYFUNCTION("""COMPUTED_VALUE"""),44348.0)</f>
        <v>44348</v>
      </c>
      <c r="K708" s="11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9" t="str">
        <f>IFERROR(__xludf.DUMMYFUNCTION("""COMPUTED_VALUE"""),"Schiro")</f>
        <v>Schiro</v>
      </c>
      <c r="B709" s="8" t="str">
        <f>IFERROR(__xludf.DUMMYFUNCTION("""COMPUTED_VALUE"""),"Pete")</f>
        <v>Pete</v>
      </c>
      <c r="C709" s="8" t="str">
        <f>IFERROR(__xludf.DUMMYFUNCTION("""COMPUTED_VALUE"""),"Plainfield")</f>
        <v>Plainfield</v>
      </c>
      <c r="D709" s="8" t="str">
        <f>IFERROR(__xludf.DUMMYFUNCTION("""COMPUTED_VALUE"""),"IL")</f>
        <v>IL</v>
      </c>
      <c r="E709" s="8" t="str">
        <f>IFERROR(__xludf.DUMMYFUNCTION("""COMPUTED_VALUE"""),"USA")</f>
        <v>USA</v>
      </c>
      <c r="F709" s="8" t="str">
        <f>IFERROR(__xludf.DUMMYFUNCTION("""COMPUTED_VALUE"""),"Pro Doubles")</f>
        <v>Pro Doubles</v>
      </c>
      <c r="G709" s="8" t="str">
        <f>IFERROR(__xludf.DUMMYFUNCTION("""COMPUTED_VALUE"""),"3rd")</f>
        <v>3rd</v>
      </c>
      <c r="H709" s="8" t="str">
        <f>IFERROR(__xludf.DUMMYFUNCTION("""COMPUTED_VALUE"""),"BullShooter 31")</f>
        <v>BullShooter 31</v>
      </c>
      <c r="I709" s="10">
        <f>IFERROR(__xludf.DUMMYFUNCTION("""COMPUTED_VALUE"""),42522.0)</f>
        <v>42522</v>
      </c>
      <c r="J709" s="10">
        <f>IFERROR(__xludf.DUMMYFUNCTION("""COMPUTED_VALUE"""),44713.0)</f>
        <v>44713</v>
      </c>
      <c r="K709" s="11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9" t="str">
        <f>IFERROR(__xludf.DUMMYFUNCTION("""COMPUTED_VALUE"""),"Schlick")</f>
        <v>Schlick</v>
      </c>
      <c r="B710" s="8" t="str">
        <f>IFERROR(__xludf.DUMMYFUNCTION("""COMPUTED_VALUE"""),"Jeffery")</f>
        <v>Jeffery</v>
      </c>
      <c r="C710" s="8" t="str">
        <f>IFERROR(__xludf.DUMMYFUNCTION("""COMPUTED_VALUE"""),"Altoona")</f>
        <v>Altoona</v>
      </c>
      <c r="D710" s="8" t="str">
        <f>IFERROR(__xludf.DUMMYFUNCTION("""COMPUTED_VALUE"""),"PA")</f>
        <v>PA</v>
      </c>
      <c r="E710" s="8" t="str">
        <f>IFERROR(__xludf.DUMMYFUNCTION("""COMPUTED_VALUE"""),"USA")</f>
        <v>USA</v>
      </c>
      <c r="F710" s="8" t="str">
        <f>IFERROR(__xludf.DUMMYFUNCTION("""COMPUTED_VALUE"""),"Men Doubles 501")</f>
        <v>Men Doubles 501</v>
      </c>
      <c r="G710" s="8" t="str">
        <f>IFERROR(__xludf.DUMMYFUNCTION("""COMPUTED_VALUE"""),"3rd")</f>
        <v>3rd</v>
      </c>
      <c r="H710" s="8" t="str">
        <f>IFERROR(__xludf.DUMMYFUNCTION("""COMPUTED_VALUE"""),"Pennsylvania BS 34")</f>
        <v>Pennsylvania BS 34</v>
      </c>
      <c r="I710" s="10">
        <f>IFERROR(__xludf.DUMMYFUNCTION("""COMPUTED_VALUE"""),43617.0)</f>
        <v>43617</v>
      </c>
      <c r="J710" s="10">
        <f>IFERROR(__xludf.DUMMYFUNCTION("""COMPUTED_VALUE"""),44713.0)</f>
        <v>44713</v>
      </c>
      <c r="K710" s="11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9" t="str">
        <f>IFERROR(__xludf.DUMMYFUNCTION("""COMPUTED_VALUE"""),"Schmitt")</f>
        <v>Schmitt</v>
      </c>
      <c r="B711" s="8" t="str">
        <f>IFERROR(__xludf.DUMMYFUNCTION("""COMPUTED_VALUE"""),"Eugene")</f>
        <v>Eugene</v>
      </c>
      <c r="C711" s="8" t="str">
        <f>IFERROR(__xludf.DUMMYFUNCTION("""COMPUTED_VALUE"""),"Decker")</f>
        <v>Decker</v>
      </c>
      <c r="D711" s="8" t="str">
        <f>IFERROR(__xludf.DUMMYFUNCTION("""COMPUTED_VALUE"""),"IN")</f>
        <v>IN</v>
      </c>
      <c r="E711" s="8" t="str">
        <f>IFERROR(__xludf.DUMMYFUNCTION("""COMPUTED_VALUE"""),"USA")</f>
        <v>USA</v>
      </c>
      <c r="F711" s="8" t="str">
        <f>IFERROR(__xludf.DUMMYFUNCTION("""COMPUTED_VALUE"""),"Top Gun Pro/AA Triples")</f>
        <v>Top Gun Pro/AA Triples</v>
      </c>
      <c r="G711" s="8" t="str">
        <f>IFERROR(__xludf.DUMMYFUNCTION("""COMPUTED_VALUE"""),"3rd")</f>
        <v>3rd</v>
      </c>
      <c r="H711" s="8" t="str">
        <f>IFERROR(__xludf.DUMMYFUNCTION("""COMPUTED_VALUE"""),"Off AA List")</f>
        <v>Off AA List</v>
      </c>
      <c r="I711" s="10">
        <f>IFERROR(__xludf.DUMMYFUNCTION("""COMPUTED_VALUE"""),42887.0)</f>
        <v>42887</v>
      </c>
      <c r="J711" s="10">
        <f>IFERROR(__xludf.DUMMYFUNCTION("""COMPUTED_VALUE"""),43983.0)</f>
        <v>43983</v>
      </c>
      <c r="K711" s="11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9" t="str">
        <f>IFERROR(__xludf.DUMMYFUNCTION("""COMPUTED_VALUE"""),"Schmonsees")</f>
        <v>Schmonsees</v>
      </c>
      <c r="B712" s="8" t="str">
        <f>IFERROR(__xludf.DUMMYFUNCTION("""COMPUTED_VALUE"""),"Ryan")</f>
        <v>Ryan</v>
      </c>
      <c r="C712" s="8" t="str">
        <f>IFERROR(__xludf.DUMMYFUNCTION("""COMPUTED_VALUE"""),"Chattanooga")</f>
        <v>Chattanooga</v>
      </c>
      <c r="D712" s="8" t="str">
        <f>IFERROR(__xludf.DUMMYFUNCTION("""COMPUTED_VALUE"""),"TN")</f>
        <v>TN</v>
      </c>
      <c r="E712" s="8" t="str">
        <f>IFERROR(__xludf.DUMMYFUNCTION("""COMPUTED_VALUE"""),"USA")</f>
        <v>USA</v>
      </c>
      <c r="F712" s="8" t="str">
        <f>IFERROR(__xludf.DUMMYFUNCTION("""COMPUTED_VALUE"""),"Men Singles Cricket")</f>
        <v>Men Singles Cricket</v>
      </c>
      <c r="G712" s="8" t="str">
        <f>IFERROR(__xludf.DUMMYFUNCTION("""COMPUTED_VALUE"""),"3rd")</f>
        <v>3rd</v>
      </c>
      <c r="H712" s="8" t="str">
        <f>IFERROR(__xludf.DUMMYFUNCTION("""COMPUTED_VALUE"""),"Tennessee BS 34")</f>
        <v>Tennessee BS 34</v>
      </c>
      <c r="I712" s="10">
        <f>IFERROR(__xludf.DUMMYFUNCTION("""COMPUTED_VALUE"""),43617.0)</f>
        <v>43617</v>
      </c>
      <c r="J712" s="10">
        <f>IFERROR(__xludf.DUMMYFUNCTION("""COMPUTED_VALUE"""),44713.0)</f>
        <v>44713</v>
      </c>
      <c r="K712" s="11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9" t="str">
        <f>IFERROR(__xludf.DUMMYFUNCTION("""COMPUTED_VALUE"""),"Schoultheis")</f>
        <v>Schoultheis</v>
      </c>
      <c r="B713" s="8" t="str">
        <f>IFERROR(__xludf.DUMMYFUNCTION("""COMPUTED_VALUE"""),"Doug")</f>
        <v>Doug</v>
      </c>
      <c r="C713" s="8" t="str">
        <f>IFERROR(__xludf.DUMMYFUNCTION("""COMPUTED_VALUE"""),"Ft. Mitchell")</f>
        <v>Ft. Mitchell</v>
      </c>
      <c r="D713" s="8" t="str">
        <f>IFERROR(__xludf.DUMMYFUNCTION("""COMPUTED_VALUE"""),"KY")</f>
        <v>KY</v>
      </c>
      <c r="E713" s="8" t="str">
        <f>IFERROR(__xludf.DUMMYFUNCTION("""COMPUTED_VALUE"""),"USA")</f>
        <v>USA</v>
      </c>
      <c r="F713" s="8" t="str">
        <f>IFERROR(__xludf.DUMMYFUNCTION("""COMPUTED_VALUE"""),"Pro Doubles")</f>
        <v>Pro Doubles</v>
      </c>
      <c r="G713" s="8" t="str">
        <f>IFERROR(__xludf.DUMMYFUNCTION("""COMPUTED_VALUE"""),"1st")</f>
        <v>1st</v>
      </c>
      <c r="H713" s="8" t="str">
        <f>IFERROR(__xludf.DUMMYFUNCTION("""COMPUTED_VALUE"""),"BullShooter 31")</f>
        <v>BullShooter 31</v>
      </c>
      <c r="I713" s="10">
        <f>IFERROR(__xludf.DUMMYFUNCTION("""COMPUTED_VALUE"""),42522.0)</f>
        <v>42522</v>
      </c>
      <c r="J713" s="10">
        <f>IFERROR(__xludf.DUMMYFUNCTION("""COMPUTED_VALUE"""),44713.0)</f>
        <v>44713</v>
      </c>
      <c r="K713" s="11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9" t="str">
        <f>IFERROR(__xludf.DUMMYFUNCTION("""COMPUTED_VALUE"""),"Schultz")</f>
        <v>Schultz</v>
      </c>
      <c r="B714" s="8" t="str">
        <f>IFERROR(__xludf.DUMMYFUNCTION("""COMPUTED_VALUE"""),"Christopher")</f>
        <v>Christopher</v>
      </c>
      <c r="C714" s="8" t="str">
        <f>IFERROR(__xludf.DUMMYFUNCTION("""COMPUTED_VALUE"""),"Machesney Park")</f>
        <v>Machesney Park</v>
      </c>
      <c r="D714" s="8" t="str">
        <f>IFERROR(__xludf.DUMMYFUNCTION("""COMPUTED_VALUE"""),"IL")</f>
        <v>IL</v>
      </c>
      <c r="E714" s="8" t="str">
        <f>IFERROR(__xludf.DUMMYFUNCTION("""COMPUTED_VALUE"""),"USA")</f>
        <v>USA</v>
      </c>
      <c r="F714" s="8" t="str">
        <f>IFERROR(__xludf.DUMMYFUNCTION("""COMPUTED_VALUE"""),"Men Doubles Cricket")</f>
        <v>Men Doubles Cricket</v>
      </c>
      <c r="G714" s="8" t="str">
        <f>IFERROR(__xludf.DUMMYFUNCTION("""COMPUTED_VALUE"""),"2nd")</f>
        <v>2nd</v>
      </c>
      <c r="H714" s="8" t="str">
        <f>IFERROR(__xludf.DUMMYFUNCTION("""COMPUTED_VALUE"""),"Wisconsin BS 34")</f>
        <v>Wisconsin BS 34</v>
      </c>
      <c r="I714" s="10">
        <f>IFERROR(__xludf.DUMMYFUNCTION("""COMPUTED_VALUE"""),43617.0)</f>
        <v>43617</v>
      </c>
      <c r="J714" s="10">
        <f>IFERROR(__xludf.DUMMYFUNCTION("""COMPUTED_VALUE"""),44713.0)</f>
        <v>44713</v>
      </c>
      <c r="K714" s="11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9" t="str">
        <f>IFERROR(__xludf.DUMMYFUNCTION("""COMPUTED_VALUE"""),"Schultz")</f>
        <v>Schultz</v>
      </c>
      <c r="B715" s="8" t="str">
        <f>IFERROR(__xludf.DUMMYFUNCTION("""COMPUTED_VALUE"""),"Dan")</f>
        <v>Dan</v>
      </c>
      <c r="C715" s="8" t="str">
        <f>IFERROR(__xludf.DUMMYFUNCTION("""COMPUTED_VALUE"""),"Waupaca")</f>
        <v>Waupaca</v>
      </c>
      <c r="D715" s="8" t="str">
        <f>IFERROR(__xludf.DUMMYFUNCTION("""COMPUTED_VALUE"""),"WI")</f>
        <v>WI</v>
      </c>
      <c r="E715" s="8" t="str">
        <f>IFERROR(__xludf.DUMMYFUNCTION("""COMPUTED_VALUE"""),"USA")</f>
        <v>USA</v>
      </c>
      <c r="F715" s="8" t="str">
        <f>IFERROR(__xludf.DUMMYFUNCTION("""COMPUTED_VALUE"""),"Men Doubles Cricket")</f>
        <v>Men Doubles Cricket</v>
      </c>
      <c r="G715" s="8" t="str">
        <f>IFERROR(__xludf.DUMMYFUNCTION("""COMPUTED_VALUE"""),"1st")</f>
        <v>1st</v>
      </c>
      <c r="H715" s="8" t="str">
        <f>IFERROR(__xludf.DUMMYFUNCTION("""COMPUTED_VALUE"""),"Wisconsin BS 34")</f>
        <v>Wisconsin BS 34</v>
      </c>
      <c r="I715" s="10">
        <f>IFERROR(__xludf.DUMMYFUNCTION("""COMPUTED_VALUE"""),43617.0)</f>
        <v>43617</v>
      </c>
      <c r="J715" s="10">
        <f>IFERROR(__xludf.DUMMYFUNCTION("""COMPUTED_VALUE"""),44713.0)</f>
        <v>44713</v>
      </c>
      <c r="K715" s="11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9" t="str">
        <f>IFERROR(__xludf.DUMMYFUNCTION("""COMPUTED_VALUE"""),"Schutsch")</f>
        <v>Schutsch</v>
      </c>
      <c r="B716" s="8" t="str">
        <f>IFERROR(__xludf.DUMMYFUNCTION("""COMPUTED_VALUE"""),"Dieter")</f>
        <v>Dieter</v>
      </c>
      <c r="C716" s="8" t="str">
        <f>IFERROR(__xludf.DUMMYFUNCTION("""COMPUTED_VALUE"""),"")</f>
        <v/>
      </c>
      <c r="D716" s="8" t="str">
        <f>IFERROR(__xludf.DUMMYFUNCTION("""COMPUTED_VALUE"""),"UNK")</f>
        <v>UNK</v>
      </c>
      <c r="E716" s="8" t="str">
        <f>IFERROR(__xludf.DUMMYFUNCTION("""COMPUTED_VALUE"""),"USA")</f>
        <v>USA</v>
      </c>
      <c r="F716" s="8" t="str">
        <f>IFERROR(__xludf.DUMMYFUNCTION("""COMPUTED_VALUE"""),"ADO 2014")</f>
        <v>ADO 2014</v>
      </c>
      <c r="G716" s="8" t="str">
        <f>IFERROR(__xludf.DUMMYFUNCTION("""COMPUTED_VALUE"""),"18th")</f>
        <v>18th</v>
      </c>
      <c r="H716" s="8" t="str">
        <f>IFERROR(__xludf.DUMMYFUNCTION("""COMPUTED_VALUE"""),"Off AA List")</f>
        <v>Off AA List</v>
      </c>
      <c r="I716" s="10">
        <f>IFERROR(__xludf.DUMMYFUNCTION("""COMPUTED_VALUE"""),42887.0)</f>
        <v>42887</v>
      </c>
      <c r="J716" s="10">
        <f>IFERROR(__xludf.DUMMYFUNCTION("""COMPUTED_VALUE"""),43983.0)</f>
        <v>43983</v>
      </c>
      <c r="K716" s="11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9" t="str">
        <f>IFERROR(__xludf.DUMMYFUNCTION("""COMPUTED_VALUE"""),"Sealey")</f>
        <v>Sealey</v>
      </c>
      <c r="B717" s="8" t="str">
        <f>IFERROR(__xludf.DUMMYFUNCTION("""COMPUTED_VALUE"""),"Gerald")</f>
        <v>Gerald</v>
      </c>
      <c r="C717" s="8" t="str">
        <f>IFERROR(__xludf.DUMMYFUNCTION("""COMPUTED_VALUE"""),"Altus")</f>
        <v>Altus</v>
      </c>
      <c r="D717" s="8" t="str">
        <f>IFERROR(__xludf.DUMMYFUNCTION("""COMPUTED_VALUE"""),"OK")</f>
        <v>OK</v>
      </c>
      <c r="E717" s="8" t="str">
        <f>IFERROR(__xludf.DUMMYFUNCTION("""COMPUTED_VALUE"""),"USA")</f>
        <v>USA</v>
      </c>
      <c r="F717" s="8" t="str">
        <f>IFERROR(__xludf.DUMMYFUNCTION("""COMPUTED_VALUE"""),"Mens Doubles")</f>
        <v>Mens Doubles</v>
      </c>
      <c r="G717" s="8" t="str">
        <f>IFERROR(__xludf.DUMMYFUNCTION("""COMPUTED_VALUE"""),"2nd")</f>
        <v>2nd</v>
      </c>
      <c r="H717" s="8" t="str">
        <f>IFERROR(__xludf.DUMMYFUNCTION("""COMPUTED_VALUE"""),"TX Regional 33")</f>
        <v>TX Regional 33</v>
      </c>
      <c r="I717" s="10">
        <f>IFERROR(__xludf.DUMMYFUNCTION("""COMPUTED_VALUE"""),43252.0)</f>
        <v>43252</v>
      </c>
      <c r="J717" s="10">
        <f>IFERROR(__xludf.DUMMYFUNCTION("""COMPUTED_VALUE"""),44348.0)</f>
        <v>44348</v>
      </c>
      <c r="K717" s="11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9" t="str">
        <f>IFERROR(__xludf.DUMMYFUNCTION("""COMPUTED_VALUE"""),"Seger")</f>
        <v>Seger</v>
      </c>
      <c r="B718" s="8" t="str">
        <f>IFERROR(__xludf.DUMMYFUNCTION("""COMPUTED_VALUE"""),"Jason")</f>
        <v>Jason</v>
      </c>
      <c r="C718" s="8" t="str">
        <f>IFERROR(__xludf.DUMMYFUNCTION("""COMPUTED_VALUE"""),"Columbus")</f>
        <v>Columbus</v>
      </c>
      <c r="D718" s="8" t="str">
        <f>IFERROR(__xludf.DUMMYFUNCTION("""COMPUTED_VALUE"""),"OH")</f>
        <v>OH</v>
      </c>
      <c r="E718" s="8" t="str">
        <f>IFERROR(__xludf.DUMMYFUNCTION("""COMPUTED_VALUE"""),"USA")</f>
        <v>USA</v>
      </c>
      <c r="F718" s="8" t="str">
        <f>IFERROR(__xludf.DUMMYFUNCTION("""COMPUTED_VALUE"""),"Men Doubles Cricket")</f>
        <v>Men Doubles Cricket</v>
      </c>
      <c r="G718" s="8" t="str">
        <f>IFERROR(__xludf.DUMMYFUNCTION("""COMPUTED_VALUE"""),"2nd")</f>
        <v>2nd</v>
      </c>
      <c r="H718" s="8" t="str">
        <f>IFERROR(__xludf.DUMMYFUNCTION("""COMPUTED_VALUE"""),"New York BS 34")</f>
        <v>New York BS 34</v>
      </c>
      <c r="I718" s="10">
        <f>IFERROR(__xludf.DUMMYFUNCTION("""COMPUTED_VALUE"""),43617.0)</f>
        <v>43617</v>
      </c>
      <c r="J718" s="10">
        <f>IFERROR(__xludf.DUMMYFUNCTION("""COMPUTED_VALUE"""),44713.0)</f>
        <v>44713</v>
      </c>
      <c r="K718" s="11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9" t="str">
        <f>IFERROR(__xludf.DUMMYFUNCTION("""COMPUTED_VALUE"""),"Segers")</f>
        <v>Segers</v>
      </c>
      <c r="B719" s="8" t="str">
        <f>IFERROR(__xludf.DUMMYFUNCTION("""COMPUTED_VALUE"""),"Michael")</f>
        <v>Michael</v>
      </c>
      <c r="C719" s="8" t="str">
        <f>IFERROR(__xludf.DUMMYFUNCTION("""COMPUTED_VALUE"""),"")</f>
        <v/>
      </c>
      <c r="D719" s="8" t="str">
        <f>IFERROR(__xludf.DUMMYFUNCTION("""COMPUTED_VALUE"""),"UNK")</f>
        <v>UNK</v>
      </c>
      <c r="E719" s="8" t="str">
        <f>IFERROR(__xludf.DUMMYFUNCTION("""COMPUTED_VALUE"""),"Belgium")</f>
        <v>Belgium</v>
      </c>
      <c r="F719" s="8" t="str">
        <f>IFERROR(__xludf.DUMMYFUNCTION("""COMPUTED_VALUE"""),"Known Pro")</f>
        <v>Known Pro</v>
      </c>
      <c r="G719" s="8" t="str">
        <f>IFERROR(__xludf.DUMMYFUNCTION("""COMPUTED_VALUE"""),"")</f>
        <v/>
      </c>
      <c r="H719" s="8" t="str">
        <f>IFERROR(__xludf.DUMMYFUNCTION("""COMPUTED_VALUE"""),"Known Ability")</f>
        <v>Known Ability</v>
      </c>
      <c r="I719" s="10">
        <f>IFERROR(__xludf.DUMMYFUNCTION("""COMPUTED_VALUE"""),36892.0)</f>
        <v>36892</v>
      </c>
      <c r="J719" s="10">
        <f>IFERROR(__xludf.DUMMYFUNCTION("""COMPUTED_VALUE"""),45809.0)</f>
        <v>45809</v>
      </c>
      <c r="K719" s="11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9" t="str">
        <f>IFERROR(__xludf.DUMMYFUNCTION("""COMPUTED_VALUE"""),"Selepec")</f>
        <v>Selepec</v>
      </c>
      <c r="B720" s="8" t="str">
        <f>IFERROR(__xludf.DUMMYFUNCTION("""COMPUTED_VALUE"""),"Nick")</f>
        <v>Nick</v>
      </c>
      <c r="C720" s="8" t="str">
        <f>IFERROR(__xludf.DUMMYFUNCTION("""COMPUTED_VALUE"""),"Orlando")</f>
        <v>Orlando</v>
      </c>
      <c r="D720" s="8" t="str">
        <f>IFERROR(__xludf.DUMMYFUNCTION("""COMPUTED_VALUE"""),"FL")</f>
        <v>FL</v>
      </c>
      <c r="E720" s="8" t="str">
        <f>IFERROR(__xludf.DUMMYFUNCTION("""COMPUTED_VALUE"""),"USA")</f>
        <v>USA</v>
      </c>
      <c r="F720" s="8" t="str">
        <f>IFERROR(__xludf.DUMMYFUNCTION("""COMPUTED_VALUE"""),"Pro Doubles 501")</f>
        <v>Pro Doubles 501</v>
      </c>
      <c r="G720" s="8" t="str">
        <f>IFERROR(__xludf.DUMMYFUNCTION("""COMPUTED_VALUE"""),"1st")</f>
        <v>1st</v>
      </c>
      <c r="H720" s="8" t="str">
        <f>IFERROR(__xludf.DUMMYFUNCTION("""COMPUTED_VALUE"""),"Florida BS 34")</f>
        <v>Florida BS 34</v>
      </c>
      <c r="I720" s="10">
        <f>IFERROR(__xludf.DUMMYFUNCTION("""COMPUTED_VALUE"""),43617.0)</f>
        <v>43617</v>
      </c>
      <c r="J720" s="10">
        <f>IFERROR(__xludf.DUMMYFUNCTION("""COMPUTED_VALUE"""),44713.0)</f>
        <v>44713</v>
      </c>
      <c r="K720" s="11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9" t="str">
        <f>IFERROR(__xludf.DUMMYFUNCTION("""COMPUTED_VALUE"""),"Serena")</f>
        <v>Serena</v>
      </c>
      <c r="B721" s="8" t="str">
        <f>IFERROR(__xludf.DUMMYFUNCTION("""COMPUTED_VALUE"""),"Mathew")</f>
        <v>Mathew</v>
      </c>
      <c r="C721" s="8" t="str">
        <f>IFERROR(__xludf.DUMMYFUNCTION("""COMPUTED_VALUE"""),"Lower Burrell")</f>
        <v>Lower Burrell</v>
      </c>
      <c r="D721" s="8" t="str">
        <f>IFERROR(__xludf.DUMMYFUNCTION("""COMPUTED_VALUE"""),"PA")</f>
        <v>PA</v>
      </c>
      <c r="E721" s="8" t="str">
        <f>IFERROR(__xludf.DUMMYFUNCTION("""COMPUTED_VALUE"""),"USA")</f>
        <v>USA</v>
      </c>
      <c r="F721" s="8" t="str">
        <f>IFERROR(__xludf.DUMMYFUNCTION("""COMPUTED_VALUE"""),"Mens Cricket Doubles")</f>
        <v>Mens Cricket Doubles</v>
      </c>
      <c r="G721" s="8" t="str">
        <f>IFERROR(__xludf.DUMMYFUNCTION("""COMPUTED_VALUE"""),"2nd")</f>
        <v>2nd</v>
      </c>
      <c r="H721" s="8" t="str">
        <f>IFERROR(__xludf.DUMMYFUNCTION("""COMPUTED_VALUE"""),"PA Regional 33")</f>
        <v>PA Regional 33</v>
      </c>
      <c r="I721" s="10">
        <f>IFERROR(__xludf.DUMMYFUNCTION("""COMPUTED_VALUE"""),43252.0)</f>
        <v>43252</v>
      </c>
      <c r="J721" s="10">
        <f>IFERROR(__xludf.DUMMYFUNCTION("""COMPUTED_VALUE"""),44348.0)</f>
        <v>44348</v>
      </c>
      <c r="K721" s="11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9" t="str">
        <f>IFERROR(__xludf.DUMMYFUNCTION("""COMPUTED_VALUE"""),"Sestan")</f>
        <v>Sestan</v>
      </c>
      <c r="B722" s="8" t="str">
        <f>IFERROR(__xludf.DUMMYFUNCTION("""COMPUTED_VALUE"""),"Igor")</f>
        <v>Igor</v>
      </c>
      <c r="C722" s="8" t="str">
        <f>IFERROR(__xludf.DUMMYFUNCTION("""COMPUTED_VALUE"""),"")</f>
        <v/>
      </c>
      <c r="D722" s="8" t="str">
        <f>IFERROR(__xludf.DUMMYFUNCTION("""COMPUTED_VALUE"""),"UNK")</f>
        <v>UNK</v>
      </c>
      <c r="E722" s="8" t="str">
        <f>IFERROR(__xludf.DUMMYFUNCTION("""COMPUTED_VALUE"""),"Croatia")</f>
        <v>Croatia</v>
      </c>
      <c r="F722" s="8" t="str">
        <f>IFERROR(__xludf.DUMMYFUNCTION("""COMPUTED_VALUE"""),"Mens 501 Singles")</f>
        <v>Mens 501 Singles</v>
      </c>
      <c r="G722" s="8" t="str">
        <f>IFERROR(__xludf.DUMMYFUNCTION("""COMPUTED_VALUE"""),"1st")</f>
        <v>1st</v>
      </c>
      <c r="H722" s="8" t="str">
        <f>IFERROR(__xludf.DUMMYFUNCTION("""COMPUTED_VALUE"""),"BullShooter 32")</f>
        <v>BullShooter 32</v>
      </c>
      <c r="I722" s="10">
        <f>IFERROR(__xludf.DUMMYFUNCTION("""COMPUTED_VALUE"""),42887.0)</f>
        <v>42887</v>
      </c>
      <c r="J722" s="10">
        <f>IFERROR(__xludf.DUMMYFUNCTION("""COMPUTED_VALUE"""),43983.0)</f>
        <v>43983</v>
      </c>
      <c r="K722" s="11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9" t="str">
        <f>IFERROR(__xludf.DUMMYFUNCTION("""COMPUTED_VALUE"""),"Sevada")</f>
        <v>Sevada</v>
      </c>
      <c r="B723" s="8" t="str">
        <f>IFERROR(__xludf.DUMMYFUNCTION("""COMPUTED_VALUE"""),"Adam")</f>
        <v>Adam</v>
      </c>
      <c r="C723" s="8" t="str">
        <f>IFERROR(__xludf.DUMMYFUNCTION("""COMPUTED_VALUE"""),"Parker")</f>
        <v>Parker</v>
      </c>
      <c r="D723" s="8" t="str">
        <f>IFERROR(__xludf.DUMMYFUNCTION("""COMPUTED_VALUE"""),"AZ")</f>
        <v>AZ</v>
      </c>
      <c r="E723" s="8" t="str">
        <f>IFERROR(__xludf.DUMMYFUNCTION("""COMPUTED_VALUE"""),"USA")</f>
        <v>USA</v>
      </c>
      <c r="F723" s="8" t="str">
        <f>IFERROR(__xludf.DUMMYFUNCTION("""COMPUTED_VALUE"""),"Pro Doubles")</f>
        <v>Pro Doubles</v>
      </c>
      <c r="G723" s="8" t="str">
        <f>IFERROR(__xludf.DUMMYFUNCTION("""COMPUTED_VALUE"""),"1st")</f>
        <v>1st</v>
      </c>
      <c r="H723" s="8" t="str">
        <f>IFERROR(__xludf.DUMMYFUNCTION("""COMPUTED_VALUE"""),"NV Regional 32")</f>
        <v>NV Regional 32</v>
      </c>
      <c r="I723" s="10">
        <f>IFERROR(__xludf.DUMMYFUNCTION("""COMPUTED_VALUE"""),42887.0)</f>
        <v>42887</v>
      </c>
      <c r="J723" s="10">
        <f>IFERROR(__xludf.DUMMYFUNCTION("""COMPUTED_VALUE"""),43983.0)</f>
        <v>43983</v>
      </c>
      <c r="K723" s="11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9" t="str">
        <f>IFERROR(__xludf.DUMMYFUNCTION("""COMPUTED_VALUE"""),"Sharpless")</f>
        <v>Sharpless</v>
      </c>
      <c r="B724" s="8" t="str">
        <f>IFERROR(__xludf.DUMMYFUNCTION("""COMPUTED_VALUE"""),"Robert")</f>
        <v>Robert</v>
      </c>
      <c r="C724" s="8" t="str">
        <f>IFERROR(__xludf.DUMMYFUNCTION("""COMPUTED_VALUE"""),"Covington")</f>
        <v>Covington</v>
      </c>
      <c r="D724" s="8" t="str">
        <f>IFERROR(__xludf.DUMMYFUNCTION("""COMPUTED_VALUE"""),"GA")</f>
        <v>GA</v>
      </c>
      <c r="E724" s="8" t="str">
        <f>IFERROR(__xludf.DUMMYFUNCTION("""COMPUTED_VALUE"""),"USA")</f>
        <v>USA</v>
      </c>
      <c r="F724" s="8" t="str">
        <f>IFERROR(__xludf.DUMMYFUNCTION("""COMPUTED_VALUE"""),"Mens Cricket Doubles")</f>
        <v>Mens Cricket Doubles</v>
      </c>
      <c r="G724" s="8" t="str">
        <f>IFERROR(__xludf.DUMMYFUNCTION("""COMPUTED_VALUE"""),"1st")</f>
        <v>1st</v>
      </c>
      <c r="H724" s="8" t="str">
        <f>IFERROR(__xludf.DUMMYFUNCTION("""COMPUTED_VALUE"""),"GA Regional 33")</f>
        <v>GA Regional 33</v>
      </c>
      <c r="I724" s="10">
        <f>IFERROR(__xludf.DUMMYFUNCTION("""COMPUTED_VALUE"""),43252.0)</f>
        <v>43252</v>
      </c>
      <c r="J724" s="10">
        <f>IFERROR(__xludf.DUMMYFUNCTION("""COMPUTED_VALUE"""),44348.0)</f>
        <v>44348</v>
      </c>
      <c r="K724" s="11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9" t="str">
        <f>IFERROR(__xludf.DUMMYFUNCTION("""COMPUTED_VALUE"""),"Shaw")</f>
        <v>Shaw</v>
      </c>
      <c r="B725" s="8" t="str">
        <f>IFERROR(__xludf.DUMMYFUNCTION("""COMPUTED_VALUE"""),"Gregory")</f>
        <v>Gregory</v>
      </c>
      <c r="C725" s="8" t="str">
        <f>IFERROR(__xludf.DUMMYFUNCTION("""COMPUTED_VALUE"""),"Deland")</f>
        <v>Deland</v>
      </c>
      <c r="D725" s="8" t="str">
        <f>IFERROR(__xludf.DUMMYFUNCTION("""COMPUTED_VALUE"""),"FL")</f>
        <v>FL</v>
      </c>
      <c r="E725" s="8" t="str">
        <f>IFERROR(__xludf.DUMMYFUNCTION("""COMPUTED_VALUE"""),"USA")</f>
        <v>USA</v>
      </c>
      <c r="F725" s="8" t="str">
        <f>IFERROR(__xludf.DUMMYFUNCTION("""COMPUTED_VALUE"""),"Mens Singles")</f>
        <v>Mens Singles</v>
      </c>
      <c r="G725" s="8" t="str">
        <f>IFERROR(__xludf.DUMMYFUNCTION("""COMPUTED_VALUE"""),"2nd")</f>
        <v>2nd</v>
      </c>
      <c r="H725" s="8" t="str">
        <f>IFERROR(__xludf.DUMMYFUNCTION("""COMPUTED_VALUE"""),"GA Regional 33")</f>
        <v>GA Regional 33</v>
      </c>
      <c r="I725" s="10">
        <f>IFERROR(__xludf.DUMMYFUNCTION("""COMPUTED_VALUE"""),43252.0)</f>
        <v>43252</v>
      </c>
      <c r="J725" s="10">
        <f>IFERROR(__xludf.DUMMYFUNCTION("""COMPUTED_VALUE"""),44348.0)</f>
        <v>44348</v>
      </c>
      <c r="K725" s="11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12" t="str">
        <f>IFERROR(__xludf.DUMMYFUNCTION("""COMPUTED_VALUE"""),"Sheehan")</f>
        <v>Sheehan</v>
      </c>
      <c r="B726" s="13" t="str">
        <f>IFERROR(__xludf.DUMMYFUNCTION("""COMPUTED_VALUE"""),"Timothy")</f>
        <v>Timothy</v>
      </c>
      <c r="C726" s="13" t="str">
        <f>IFERROR(__xludf.DUMMYFUNCTION("""COMPUTED_VALUE"""),"Royal Oaks")</f>
        <v>Royal Oaks</v>
      </c>
      <c r="D726" s="13" t="str">
        <f>IFERROR(__xludf.DUMMYFUNCTION("""COMPUTED_VALUE"""),"MI")</f>
        <v>MI</v>
      </c>
      <c r="E726" s="13" t="str">
        <f>IFERROR(__xludf.DUMMYFUNCTION("""COMPUTED_VALUE"""),"USA")</f>
        <v>USA</v>
      </c>
      <c r="F726" s="13" t="str">
        <f>IFERROR(__xludf.DUMMYFUNCTION("""COMPUTED_VALUE"""),"")</f>
        <v/>
      </c>
      <c r="G726" s="13" t="str">
        <f>IFERROR(__xludf.DUMMYFUNCTION("""COMPUTED_VALUE"""),"")</f>
        <v/>
      </c>
      <c r="H726" s="13" t="str">
        <f>IFERROR(__xludf.DUMMYFUNCTION("""COMPUTED_VALUE"""),"BS 30 Finals")</f>
        <v>BS 30 Finals</v>
      </c>
      <c r="I726" s="15">
        <f>IFERROR(__xludf.DUMMYFUNCTION("""COMPUTED_VALUE"""),43252.0)</f>
        <v>43252</v>
      </c>
      <c r="J726" s="15">
        <f>IFERROR(__xludf.DUMMYFUNCTION("""COMPUTED_VALUE"""),44348.0)</f>
        <v>44348</v>
      </c>
      <c r="K726" s="11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9" t="str">
        <f>IFERROR(__xludf.DUMMYFUNCTION("""COMPUTED_VALUE"""),"Sheils Jr.")</f>
        <v>Sheils Jr.</v>
      </c>
      <c r="B727" s="8" t="str">
        <f>IFERROR(__xludf.DUMMYFUNCTION("""COMPUTED_VALUE"""),"Joseph")</f>
        <v>Joseph</v>
      </c>
      <c r="C727" s="8" t="str">
        <f>IFERROR(__xludf.DUMMYFUNCTION("""COMPUTED_VALUE"""),"Auburndale")</f>
        <v>Auburndale</v>
      </c>
      <c r="D727" s="8" t="str">
        <f>IFERROR(__xludf.DUMMYFUNCTION("""COMPUTED_VALUE"""),"FL")</f>
        <v>FL</v>
      </c>
      <c r="E727" s="8" t="str">
        <f>IFERROR(__xludf.DUMMYFUNCTION("""COMPUTED_VALUE"""),"USA")</f>
        <v>USA</v>
      </c>
      <c r="F727" s="8" t="str">
        <f>IFERROR(__xludf.DUMMYFUNCTION("""COMPUTED_VALUE"""),"Men Doubles Cricket")</f>
        <v>Men Doubles Cricket</v>
      </c>
      <c r="G727" s="8" t="str">
        <f>IFERROR(__xludf.DUMMYFUNCTION("""COMPUTED_VALUE"""),"2nd")</f>
        <v>2nd</v>
      </c>
      <c r="H727" s="8" t="str">
        <f>IFERROR(__xludf.DUMMYFUNCTION("""COMPUTED_VALUE"""),"Tennessee BS 34")</f>
        <v>Tennessee BS 34</v>
      </c>
      <c r="I727" s="10">
        <f>IFERROR(__xludf.DUMMYFUNCTION("""COMPUTED_VALUE"""),43617.0)</f>
        <v>43617</v>
      </c>
      <c r="J727" s="10">
        <f>IFERROR(__xludf.DUMMYFUNCTION("""COMPUTED_VALUE"""),44713.0)</f>
        <v>44713</v>
      </c>
      <c r="K727" s="11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9" t="str">
        <f>IFERROR(__xludf.DUMMYFUNCTION("""COMPUTED_VALUE"""),"Shek")</f>
        <v>Shek</v>
      </c>
      <c r="B728" s="8" t="str">
        <f>IFERROR(__xludf.DUMMYFUNCTION("""COMPUTED_VALUE"""),"Prince")</f>
        <v>Prince</v>
      </c>
      <c r="C728" s="8" t="str">
        <f>IFERROR(__xludf.DUMMYFUNCTION("""COMPUTED_VALUE"""),"")</f>
        <v/>
      </c>
      <c r="D728" s="8" t="str">
        <f>IFERROR(__xludf.DUMMYFUNCTION("""COMPUTED_VALUE"""),"UNK")</f>
        <v>UNK</v>
      </c>
      <c r="E728" s="8" t="str">
        <f>IFERROR(__xludf.DUMMYFUNCTION("""COMPUTED_VALUE"""),"Hong Kong")</f>
        <v>Hong Kong</v>
      </c>
      <c r="F728" s="8" t="str">
        <f>IFERROR(__xludf.DUMMYFUNCTION("""COMPUTED_VALUE"""),"DL")</f>
        <v>DL</v>
      </c>
      <c r="G728" s="8" t="str">
        <f>IFERROR(__xludf.DUMMYFUNCTION("""COMPUTED_VALUE"""),"53rd")</f>
        <v>53rd</v>
      </c>
      <c r="H728" s="8" t="str">
        <f>IFERROR(__xludf.DUMMYFUNCTION("""COMPUTED_VALUE"""),"DL 2018")</f>
        <v>DL 2018</v>
      </c>
      <c r="I728" s="10">
        <f>IFERROR(__xludf.DUMMYFUNCTION("""COMPUTED_VALUE"""),43136.0)</f>
        <v>43136</v>
      </c>
      <c r="J728" s="10">
        <f>IFERROR(__xludf.DUMMYFUNCTION("""COMPUTED_VALUE"""),44348.0)</f>
        <v>44348</v>
      </c>
      <c r="K728" s="11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9" t="str">
        <f>IFERROR(__xludf.DUMMYFUNCTION("""COMPUTED_VALUE"""),"Sherrock")</f>
        <v>Sherrock</v>
      </c>
      <c r="B729" s="8" t="str">
        <f>IFERROR(__xludf.DUMMYFUNCTION("""COMPUTED_VALUE"""),"Fallon")</f>
        <v>Fallon</v>
      </c>
      <c r="C729" s="8" t="str">
        <f>IFERROR(__xludf.DUMMYFUNCTION("""COMPUTED_VALUE"""),"")</f>
        <v/>
      </c>
      <c r="D729" s="8" t="str">
        <f>IFERROR(__xludf.DUMMYFUNCTION("""COMPUTED_VALUE"""),"UNK")</f>
        <v>UNK</v>
      </c>
      <c r="E729" s="8" t="str">
        <f>IFERROR(__xludf.DUMMYFUNCTION("""COMPUTED_VALUE"""),"England")</f>
        <v>England</v>
      </c>
      <c r="F729" s="8" t="str">
        <f>IFERROR(__xludf.DUMMYFUNCTION("""COMPUTED_VALUE"""),"PDC Merit Ranking")</f>
        <v>PDC Merit Ranking</v>
      </c>
      <c r="G729" s="8" t="str">
        <f>IFERROR(__xludf.DUMMYFUNCTION("""COMPUTED_VALUE"""),"96th")</f>
        <v>96th</v>
      </c>
      <c r="H729" s="8" t="str">
        <f>IFERROR(__xludf.DUMMYFUNCTION("""COMPUTED_VALUE"""),"PDC Merit Ranking")</f>
        <v>PDC Merit Ranking</v>
      </c>
      <c r="I729" s="10">
        <f>IFERROR(__xludf.DUMMYFUNCTION("""COMPUTED_VALUE"""),42401.0)</f>
        <v>42401</v>
      </c>
      <c r="J729" s="10">
        <f>IFERROR(__xludf.DUMMYFUNCTION("""COMPUTED_VALUE"""),44713.0)</f>
        <v>44713</v>
      </c>
      <c r="K729" s="11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9" t="str">
        <f>IFERROR(__xludf.DUMMYFUNCTION("""COMPUTED_VALUE"""),"Shields")</f>
        <v>Shields</v>
      </c>
      <c r="B730" s="8" t="str">
        <f>IFERROR(__xludf.DUMMYFUNCTION("""COMPUTED_VALUE"""),"Danny")</f>
        <v>Danny</v>
      </c>
      <c r="C730" s="8" t="str">
        <f>IFERROR(__xludf.DUMMYFUNCTION("""COMPUTED_VALUE"""),"Ringtown")</f>
        <v>Ringtown</v>
      </c>
      <c r="D730" s="8" t="str">
        <f>IFERROR(__xludf.DUMMYFUNCTION("""COMPUTED_VALUE"""),"PA")</f>
        <v>PA</v>
      </c>
      <c r="E730" s="8" t="str">
        <f>IFERROR(__xludf.DUMMYFUNCTION("""COMPUTED_VALUE"""),"USA")</f>
        <v>USA</v>
      </c>
      <c r="F730" s="8" t="str">
        <f>IFERROR(__xludf.DUMMYFUNCTION("""COMPUTED_VALUE"""),"Mens Doubles")</f>
        <v>Mens Doubles</v>
      </c>
      <c r="G730" s="8" t="str">
        <f>IFERROR(__xludf.DUMMYFUNCTION("""COMPUTED_VALUE"""),"2nd")</f>
        <v>2nd</v>
      </c>
      <c r="H730" s="8" t="str">
        <f>IFERROR(__xludf.DUMMYFUNCTION("""COMPUTED_VALUE"""),"PA Regional 33")</f>
        <v>PA Regional 33</v>
      </c>
      <c r="I730" s="10">
        <f>IFERROR(__xludf.DUMMYFUNCTION("""COMPUTED_VALUE"""),43252.0)</f>
        <v>43252</v>
      </c>
      <c r="J730" s="10">
        <f>IFERROR(__xludf.DUMMYFUNCTION("""COMPUTED_VALUE"""),44348.0)</f>
        <v>44348</v>
      </c>
      <c r="K730" s="11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9" t="str">
        <f>IFERROR(__xludf.DUMMYFUNCTION("""COMPUTED_VALUE"""),"Shih Hua")</f>
        <v>Shih Hua</v>
      </c>
      <c r="B731" s="8" t="str">
        <f>IFERROR(__xludf.DUMMYFUNCTION("""COMPUTED_VALUE"""),"Huang")</f>
        <v>Huang</v>
      </c>
      <c r="C731" s="8" t="str">
        <f>IFERROR(__xludf.DUMMYFUNCTION("""COMPUTED_VALUE"""),"")</f>
        <v/>
      </c>
      <c r="D731" s="8" t="str">
        <f>IFERROR(__xludf.DUMMYFUNCTION("""COMPUTED_VALUE"""),"UNK")</f>
        <v>UNK</v>
      </c>
      <c r="E731" s="8" t="str">
        <f>IFERROR(__xludf.DUMMYFUNCTION("""COMPUTED_VALUE"""),"Taiwan")</f>
        <v>Taiwan</v>
      </c>
      <c r="F731" s="8" t="str">
        <f>IFERROR(__xludf.DUMMYFUNCTION("""COMPUTED_VALUE"""),"DL")</f>
        <v>DL</v>
      </c>
      <c r="G731" s="8" t="str">
        <f>IFERROR(__xludf.DUMMYFUNCTION("""COMPUTED_VALUE"""),"68th")</f>
        <v>68th</v>
      </c>
      <c r="H731" s="8" t="str">
        <f>IFERROR(__xludf.DUMMYFUNCTION("""COMPUTED_VALUE"""),"Taiwan")</f>
        <v>Taiwan</v>
      </c>
      <c r="I731" s="10">
        <f>IFERROR(__xludf.DUMMYFUNCTION("""COMPUTED_VALUE"""),42401.0)</f>
        <v>42401</v>
      </c>
      <c r="J731" s="10">
        <f>IFERROR(__xludf.DUMMYFUNCTION("""COMPUTED_VALUE"""),44713.0)</f>
        <v>44713</v>
      </c>
      <c r="K731" s="11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9" t="str">
        <f>IFERROR(__xludf.DUMMYFUNCTION("""COMPUTED_VALUE"""),"Shirey")</f>
        <v>Shirey</v>
      </c>
      <c r="B732" s="8" t="str">
        <f>IFERROR(__xludf.DUMMYFUNCTION("""COMPUTED_VALUE"""),"Robert")</f>
        <v>Robert</v>
      </c>
      <c r="C732" s="8" t="str">
        <f>IFERROR(__xludf.DUMMYFUNCTION("""COMPUTED_VALUE"""),"Bernville")</f>
        <v>Bernville</v>
      </c>
      <c r="D732" s="8" t="str">
        <f>IFERROR(__xludf.DUMMYFUNCTION("""COMPUTED_VALUE"""),"PA")</f>
        <v>PA</v>
      </c>
      <c r="E732" s="8" t="str">
        <f>IFERROR(__xludf.DUMMYFUNCTION("""COMPUTED_VALUE"""),"USA")</f>
        <v>USA</v>
      </c>
      <c r="F732" s="8" t="str">
        <f>IFERROR(__xludf.DUMMYFUNCTION("""COMPUTED_VALUE"""),"Mens Doubles")</f>
        <v>Mens Doubles</v>
      </c>
      <c r="G732" s="8" t="str">
        <f>IFERROR(__xludf.DUMMYFUNCTION("""COMPUTED_VALUE"""),"3rd")</f>
        <v>3rd</v>
      </c>
      <c r="H732" s="8" t="str">
        <f>IFERROR(__xludf.DUMMYFUNCTION("""COMPUTED_VALUE"""),"PA Regional 32")</f>
        <v>PA Regional 32</v>
      </c>
      <c r="I732" s="10">
        <f>IFERROR(__xludf.DUMMYFUNCTION("""COMPUTED_VALUE"""),42887.0)</f>
        <v>42887</v>
      </c>
      <c r="J732" s="10">
        <f>IFERROR(__xludf.DUMMYFUNCTION("""COMPUTED_VALUE"""),43983.0)</f>
        <v>43983</v>
      </c>
      <c r="K732" s="11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9" t="str">
        <f>IFERROR(__xludf.DUMMYFUNCTION("""COMPUTED_VALUE"""),"Shollenberger")</f>
        <v>Shollenberger</v>
      </c>
      <c r="B733" s="8" t="str">
        <f>IFERROR(__xludf.DUMMYFUNCTION("""COMPUTED_VALUE"""),"Bill (Sholly)")</f>
        <v>Bill (Sholly)</v>
      </c>
      <c r="C733" s="8" t="str">
        <f>IFERROR(__xludf.DUMMYFUNCTION("""COMPUTED_VALUE"""),"Ashley")</f>
        <v>Ashley</v>
      </c>
      <c r="D733" s="8" t="str">
        <f>IFERROR(__xludf.DUMMYFUNCTION("""COMPUTED_VALUE"""),"IL")</f>
        <v>IL</v>
      </c>
      <c r="E733" s="8" t="str">
        <f>IFERROR(__xludf.DUMMYFUNCTION("""COMPUTED_VALUE"""),"USA")</f>
        <v>USA</v>
      </c>
      <c r="F733" s="8" t="str">
        <f>IFERROR(__xludf.DUMMYFUNCTION("""COMPUTED_VALUE"""),"Pro/AA Cricket Luck")</f>
        <v>Pro/AA Cricket Luck</v>
      </c>
      <c r="G733" s="8" t="str">
        <f>IFERROR(__xludf.DUMMYFUNCTION("""COMPUTED_VALUE"""),"4th")</f>
        <v>4th</v>
      </c>
      <c r="H733" s="8" t="str">
        <f>IFERROR(__xludf.DUMMYFUNCTION("""COMPUTED_VALUE"""),"Off AA List")</f>
        <v>Off AA List</v>
      </c>
      <c r="I733" s="10">
        <f>IFERROR(__xludf.DUMMYFUNCTION("""COMPUTED_VALUE"""),42887.0)</f>
        <v>42887</v>
      </c>
      <c r="J733" s="10">
        <f>IFERROR(__xludf.DUMMYFUNCTION("""COMPUTED_VALUE"""),43983.0)</f>
        <v>43983</v>
      </c>
      <c r="K733" s="11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9" t="str">
        <f>IFERROR(__xludf.DUMMYFUNCTION("""COMPUTED_VALUE"""),"Simon")</f>
        <v>Simon</v>
      </c>
      <c r="B734" s="8" t="str">
        <f>IFERROR(__xludf.DUMMYFUNCTION("""COMPUTED_VALUE"""),"Steve")</f>
        <v>Steve</v>
      </c>
      <c r="C734" s="8" t="str">
        <f>IFERROR(__xludf.DUMMYFUNCTION("""COMPUTED_VALUE"""),"")</f>
        <v/>
      </c>
      <c r="D734" s="8" t="str">
        <f>IFERROR(__xludf.DUMMYFUNCTION("""COMPUTED_VALUE"""),"UNK")</f>
        <v>UNK</v>
      </c>
      <c r="E734" s="8" t="str">
        <f>IFERROR(__xludf.DUMMYFUNCTION("""COMPUTED_VALUE"""),"Belgium")</f>
        <v>Belgium</v>
      </c>
      <c r="F734" s="8" t="str">
        <f>IFERROR(__xludf.DUMMYFUNCTION("""COMPUTED_VALUE"""),"Known Pro")</f>
        <v>Known Pro</v>
      </c>
      <c r="G734" s="8" t="str">
        <f>IFERROR(__xludf.DUMMYFUNCTION("""COMPUTED_VALUE"""),"")</f>
        <v/>
      </c>
      <c r="H734" s="8" t="str">
        <f>IFERROR(__xludf.DUMMYFUNCTION("""COMPUTED_VALUE"""),"Known Ability")</f>
        <v>Known Ability</v>
      </c>
      <c r="I734" s="10">
        <f>IFERROR(__xludf.DUMMYFUNCTION("""COMPUTED_VALUE"""),36892.0)</f>
        <v>36892</v>
      </c>
      <c r="J734" s="10">
        <f>IFERROR(__xludf.DUMMYFUNCTION("""COMPUTED_VALUE"""),45809.0)</f>
        <v>45809</v>
      </c>
      <c r="K734" s="11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9" t="str">
        <f>IFERROR(__xludf.DUMMYFUNCTION("""COMPUTED_VALUE"""),"Simonis")</f>
        <v>Simonis</v>
      </c>
      <c r="B735" s="8" t="str">
        <f>IFERROR(__xludf.DUMMYFUNCTION("""COMPUTED_VALUE"""),"Kevin")</f>
        <v>Kevin</v>
      </c>
      <c r="C735" s="8" t="str">
        <f>IFERROR(__xludf.DUMMYFUNCTION("""COMPUTED_VALUE"""),"")</f>
        <v/>
      </c>
      <c r="D735" s="8" t="str">
        <f>IFERROR(__xludf.DUMMYFUNCTION("""COMPUTED_VALUE"""),"CA")</f>
        <v>CA</v>
      </c>
      <c r="E735" s="8" t="str">
        <f>IFERROR(__xludf.DUMMYFUNCTION("""COMPUTED_VALUE"""),"USA")</f>
        <v>USA</v>
      </c>
      <c r="F735" s="8" t="str">
        <f>IFERROR(__xludf.DUMMYFUNCTION("""COMPUTED_VALUE"""),"Mens Cricket Doubles")</f>
        <v>Mens Cricket Doubles</v>
      </c>
      <c r="G735" s="8" t="str">
        <f>IFERROR(__xludf.DUMMYFUNCTION("""COMPUTED_VALUE"""),"2nd")</f>
        <v>2nd</v>
      </c>
      <c r="H735" s="8" t="str">
        <f>IFERROR(__xludf.DUMMYFUNCTION("""COMPUTED_VALUE"""),"CA Regional 33")</f>
        <v>CA Regional 33</v>
      </c>
      <c r="I735" s="10">
        <f>IFERROR(__xludf.DUMMYFUNCTION("""COMPUTED_VALUE"""),43252.0)</f>
        <v>43252</v>
      </c>
      <c r="J735" s="10">
        <f>IFERROR(__xludf.DUMMYFUNCTION("""COMPUTED_VALUE"""),44348.0)</f>
        <v>44348</v>
      </c>
      <c r="K735" s="11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9" t="str">
        <f>IFERROR(__xludf.DUMMYFUNCTION("""COMPUTED_VALUE"""),"Sims")</f>
        <v>Sims</v>
      </c>
      <c r="B736" s="8" t="str">
        <f>IFERROR(__xludf.DUMMYFUNCTION("""COMPUTED_VALUE"""),"Terrence")</f>
        <v>Terrence</v>
      </c>
      <c r="C736" s="8" t="str">
        <f>IFERROR(__xludf.DUMMYFUNCTION("""COMPUTED_VALUE"""),"Cincinatti")</f>
        <v>Cincinatti</v>
      </c>
      <c r="D736" s="8" t="str">
        <f>IFERROR(__xludf.DUMMYFUNCTION("""COMPUTED_VALUE"""),"OH")</f>
        <v>OH</v>
      </c>
      <c r="E736" s="8" t="str">
        <f>IFERROR(__xludf.DUMMYFUNCTION("""COMPUTED_VALUE"""),"USA")</f>
        <v>USA</v>
      </c>
      <c r="F736" s="8" t="str">
        <f>IFERROR(__xludf.DUMMYFUNCTION("""COMPUTED_VALUE"""),"Mens Cricket Doubles")</f>
        <v>Mens Cricket Doubles</v>
      </c>
      <c r="G736" s="8" t="str">
        <f>IFERROR(__xludf.DUMMYFUNCTION("""COMPUTED_VALUE"""),"1st")</f>
        <v>1st</v>
      </c>
      <c r="H736" s="8" t="str">
        <f>IFERROR(__xludf.DUMMYFUNCTION("""COMPUTED_VALUE"""),"OH Regional 33")</f>
        <v>OH Regional 33</v>
      </c>
      <c r="I736" s="10">
        <f>IFERROR(__xludf.DUMMYFUNCTION("""COMPUTED_VALUE"""),43252.0)</f>
        <v>43252</v>
      </c>
      <c r="J736" s="10">
        <f>IFERROR(__xludf.DUMMYFUNCTION("""COMPUTED_VALUE"""),44348.0)</f>
        <v>44348</v>
      </c>
      <c r="K736" s="11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9" t="str">
        <f>IFERROR(__xludf.DUMMYFUNCTION("""COMPUTED_VALUE"""),"Siong")</f>
        <v>Siong</v>
      </c>
      <c r="B737" s="8" t="str">
        <f>IFERROR(__xludf.DUMMYFUNCTION("""COMPUTED_VALUE"""),"Kho Kian")</f>
        <v>Kho Kian</v>
      </c>
      <c r="C737" s="8" t="str">
        <f>IFERROR(__xludf.DUMMYFUNCTION("""COMPUTED_VALUE"""),"")</f>
        <v/>
      </c>
      <c r="D737" s="8" t="str">
        <f>IFERROR(__xludf.DUMMYFUNCTION("""COMPUTED_VALUE"""),"UNK")</f>
        <v>UNK</v>
      </c>
      <c r="E737" s="8" t="str">
        <f>IFERROR(__xludf.DUMMYFUNCTION("""COMPUTED_VALUE"""),"Malaysia")</f>
        <v>Malaysia</v>
      </c>
      <c r="F737" s="8" t="str">
        <f>IFERROR(__xludf.DUMMYFUNCTION("""COMPUTED_VALUE"""),"DL")</f>
        <v>DL</v>
      </c>
      <c r="G737" s="8" t="str">
        <f>IFERROR(__xludf.DUMMYFUNCTION("""COMPUTED_VALUE"""),"64th")</f>
        <v>64th</v>
      </c>
      <c r="H737" s="8" t="str">
        <f>IFERROR(__xludf.DUMMYFUNCTION("""COMPUTED_VALUE"""),"DL")</f>
        <v>DL</v>
      </c>
      <c r="I737" s="10">
        <f>IFERROR(__xludf.DUMMYFUNCTION("""COMPUTED_VALUE"""),42401.0)</f>
        <v>42401</v>
      </c>
      <c r="J737" s="10">
        <f>IFERROR(__xludf.DUMMYFUNCTION("""COMPUTED_VALUE"""),44713.0)</f>
        <v>44713</v>
      </c>
      <c r="K737" s="11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9" t="str">
        <f>IFERROR(__xludf.DUMMYFUNCTION("""COMPUTED_VALUE"""),"Sison")</f>
        <v>Sison</v>
      </c>
      <c r="B738" s="8" t="str">
        <f>IFERROR(__xludf.DUMMYFUNCTION("""COMPUTED_VALUE"""),"John")</f>
        <v>John</v>
      </c>
      <c r="C738" s="8" t="str">
        <f>IFERROR(__xludf.DUMMYFUNCTION("""COMPUTED_VALUE"""),"")</f>
        <v/>
      </c>
      <c r="D738" s="8" t="str">
        <f>IFERROR(__xludf.DUMMYFUNCTION("""COMPUTED_VALUE"""),"UNK")</f>
        <v>UNK</v>
      </c>
      <c r="E738" s="8" t="str">
        <f>IFERROR(__xludf.DUMMYFUNCTION("""COMPUTED_VALUE"""),"USA")</f>
        <v>USA</v>
      </c>
      <c r="F738" s="8" t="str">
        <f>IFERROR(__xludf.DUMMYFUNCTION("""COMPUTED_VALUE"""),"ADO 2014")</f>
        <v>ADO 2014</v>
      </c>
      <c r="G738" s="8" t="str">
        <f>IFERROR(__xludf.DUMMYFUNCTION("""COMPUTED_VALUE"""),"21st")</f>
        <v>21st</v>
      </c>
      <c r="H738" s="8" t="str">
        <f>IFERROR(__xludf.DUMMYFUNCTION("""COMPUTED_VALUE"""),"Off AA List")</f>
        <v>Off AA List</v>
      </c>
      <c r="I738" s="10">
        <f>IFERROR(__xludf.DUMMYFUNCTION("""COMPUTED_VALUE"""),42887.0)</f>
        <v>42887</v>
      </c>
      <c r="J738" s="10">
        <f>IFERROR(__xludf.DUMMYFUNCTION("""COMPUTED_VALUE"""),43983.0)</f>
        <v>43983</v>
      </c>
      <c r="K738" s="11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9" t="str">
        <f>IFERROR(__xludf.DUMMYFUNCTION("""COMPUTED_VALUE"""),"Skill")</f>
        <v>Skill</v>
      </c>
      <c r="B739" s="8" t="str">
        <f>IFERROR(__xludf.DUMMYFUNCTION("""COMPUTED_VALUE"""),"Charles")</f>
        <v>Charles</v>
      </c>
      <c r="C739" s="8" t="str">
        <f>IFERROR(__xludf.DUMMYFUNCTION("""COMPUTED_VALUE"""),"Jacksonville")</f>
        <v>Jacksonville</v>
      </c>
      <c r="D739" s="8" t="str">
        <f>IFERROR(__xludf.DUMMYFUNCTION("""COMPUTED_VALUE"""),"FL")</f>
        <v>FL</v>
      </c>
      <c r="E739" s="8" t="str">
        <f>IFERROR(__xludf.DUMMYFUNCTION("""COMPUTED_VALUE"""),"USA")</f>
        <v>USA</v>
      </c>
      <c r="F739" s="8" t="str">
        <f>IFERROR(__xludf.DUMMYFUNCTION("""COMPUTED_VALUE"""),"Pro Doubles")</f>
        <v>Pro Doubles</v>
      </c>
      <c r="G739" s="8" t="str">
        <f>IFERROR(__xludf.DUMMYFUNCTION("""COMPUTED_VALUE"""),"3rd")</f>
        <v>3rd</v>
      </c>
      <c r="H739" s="8" t="str">
        <f>IFERROR(__xludf.DUMMYFUNCTION("""COMPUTED_VALUE"""),"FL Regional 33")</f>
        <v>FL Regional 33</v>
      </c>
      <c r="I739" s="10">
        <f>IFERROR(__xludf.DUMMYFUNCTION("""COMPUTED_VALUE"""),43252.0)</f>
        <v>43252</v>
      </c>
      <c r="J739" s="10">
        <f>IFERROR(__xludf.DUMMYFUNCTION("""COMPUTED_VALUE"""),44348.0)</f>
        <v>44348</v>
      </c>
      <c r="K739" s="11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9" t="str">
        <f>IFERROR(__xludf.DUMMYFUNCTION("""COMPUTED_VALUE"""),"Smith")</f>
        <v>Smith</v>
      </c>
      <c r="B740" s="8" t="str">
        <f>IFERROR(__xludf.DUMMYFUNCTION("""COMPUTED_VALUE"""),"Andy")</f>
        <v>Andy</v>
      </c>
      <c r="C740" s="8" t="str">
        <f>IFERROR(__xludf.DUMMYFUNCTION("""COMPUTED_VALUE"""),"")</f>
        <v/>
      </c>
      <c r="D740" s="8" t="str">
        <f>IFERROR(__xludf.DUMMYFUNCTION("""COMPUTED_VALUE"""),"UNK")</f>
        <v>UNK</v>
      </c>
      <c r="E740" s="8" t="str">
        <f>IFERROR(__xludf.DUMMYFUNCTION("""COMPUTED_VALUE"""),"England")</f>
        <v>England</v>
      </c>
      <c r="F740" s="8" t="str">
        <f>IFERROR(__xludf.DUMMYFUNCTION("""COMPUTED_VALUE"""),"PDC Merit Ranking")</f>
        <v>PDC Merit Ranking</v>
      </c>
      <c r="G740" s="8" t="str">
        <f>IFERROR(__xludf.DUMMYFUNCTION("""COMPUTED_VALUE"""),"48th")</f>
        <v>48th</v>
      </c>
      <c r="H740" s="8" t="str">
        <f>IFERROR(__xludf.DUMMYFUNCTION("""COMPUTED_VALUE"""),"PDC Merit Ranking")</f>
        <v>PDC Merit Ranking</v>
      </c>
      <c r="I740" s="10">
        <f>IFERROR(__xludf.DUMMYFUNCTION("""COMPUTED_VALUE"""),42401.0)</f>
        <v>42401</v>
      </c>
      <c r="J740" s="10">
        <f>IFERROR(__xludf.DUMMYFUNCTION("""COMPUTED_VALUE"""),44713.0)</f>
        <v>44713</v>
      </c>
      <c r="K740" s="11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9" t="str">
        <f>IFERROR(__xludf.DUMMYFUNCTION("""COMPUTED_VALUE"""),"Smith")</f>
        <v>Smith</v>
      </c>
      <c r="B741" s="8" t="str">
        <f>IFERROR(__xludf.DUMMYFUNCTION("""COMPUTED_VALUE"""),"Brandon")</f>
        <v>Brandon</v>
      </c>
      <c r="C741" s="8" t="str">
        <f>IFERROR(__xludf.DUMMYFUNCTION("""COMPUTED_VALUE"""),"Florence")</f>
        <v>Florence</v>
      </c>
      <c r="D741" s="8" t="str">
        <f>IFERROR(__xludf.DUMMYFUNCTION("""COMPUTED_VALUE"""),"KY")</f>
        <v>KY</v>
      </c>
      <c r="E741" s="8" t="str">
        <f>IFERROR(__xludf.DUMMYFUNCTION("""COMPUTED_VALUE"""),"USA")</f>
        <v>USA</v>
      </c>
      <c r="F741" s="8" t="str">
        <f>IFERROR(__xludf.DUMMYFUNCTION("""COMPUTED_VALUE"""),"Pro Doubles 501")</f>
        <v>Pro Doubles 501</v>
      </c>
      <c r="G741" s="8" t="str">
        <f>IFERROR(__xludf.DUMMYFUNCTION("""COMPUTED_VALUE"""),"1st")</f>
        <v>1st</v>
      </c>
      <c r="H741" s="8" t="str">
        <f>IFERROR(__xludf.DUMMYFUNCTION("""COMPUTED_VALUE"""),"Indiana BS 34")</f>
        <v>Indiana BS 34</v>
      </c>
      <c r="I741" s="10">
        <f>IFERROR(__xludf.DUMMYFUNCTION("""COMPUTED_VALUE"""),43617.0)</f>
        <v>43617</v>
      </c>
      <c r="J741" s="10">
        <f>IFERROR(__xludf.DUMMYFUNCTION("""COMPUTED_VALUE"""),44713.0)</f>
        <v>44713</v>
      </c>
      <c r="K741" s="11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9" t="str">
        <f>IFERROR(__xludf.DUMMYFUNCTION("""COMPUTED_VALUE"""),"Smith")</f>
        <v>Smith</v>
      </c>
      <c r="B742" s="8" t="str">
        <f>IFERROR(__xludf.DUMMYFUNCTION("""COMPUTED_VALUE"""),"Dennis")</f>
        <v>Dennis</v>
      </c>
      <c r="C742" s="8" t="str">
        <f>IFERROR(__xludf.DUMMYFUNCTION("""COMPUTED_VALUE"""),"")</f>
        <v/>
      </c>
      <c r="D742" s="8" t="str">
        <f>IFERROR(__xludf.DUMMYFUNCTION("""COMPUTED_VALUE"""),"UNK")</f>
        <v>UNK</v>
      </c>
      <c r="E742" s="8" t="str">
        <f>IFERROR(__xludf.DUMMYFUNCTION("""COMPUTED_VALUE"""),"England")</f>
        <v>England</v>
      </c>
      <c r="F742" s="8" t="str">
        <f>IFERROR(__xludf.DUMMYFUNCTION("""COMPUTED_VALUE"""),"PDC Merit Ranking")</f>
        <v>PDC Merit Ranking</v>
      </c>
      <c r="G742" s="8" t="str">
        <f>IFERROR(__xludf.DUMMYFUNCTION("""COMPUTED_VALUE"""),"47th")</f>
        <v>47th</v>
      </c>
      <c r="H742" s="8" t="str">
        <f>IFERROR(__xludf.DUMMYFUNCTION("""COMPUTED_VALUE"""),"Off AA List")</f>
        <v>Off AA List</v>
      </c>
      <c r="I742" s="10">
        <f>IFERROR(__xludf.DUMMYFUNCTION("""COMPUTED_VALUE"""),42887.0)</f>
        <v>42887</v>
      </c>
      <c r="J742" s="10">
        <f>IFERROR(__xludf.DUMMYFUNCTION("""COMPUTED_VALUE"""),43983.0)</f>
        <v>43983</v>
      </c>
      <c r="K742" s="11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9" t="str">
        <f>IFERROR(__xludf.DUMMYFUNCTION("""COMPUTED_VALUE"""),"Smith")</f>
        <v>Smith</v>
      </c>
      <c r="B743" s="8" t="str">
        <f>IFERROR(__xludf.DUMMYFUNCTION("""COMPUTED_VALUE"""),"Jake")</f>
        <v>Jake</v>
      </c>
      <c r="C743" s="8" t="str">
        <f>IFERROR(__xludf.DUMMYFUNCTION("""COMPUTED_VALUE"""),"Sioux Falls")</f>
        <v>Sioux Falls</v>
      </c>
      <c r="D743" s="8" t="str">
        <f>IFERROR(__xludf.DUMMYFUNCTION("""COMPUTED_VALUE"""),"SD")</f>
        <v>SD</v>
      </c>
      <c r="E743" s="8" t="str">
        <f>IFERROR(__xludf.DUMMYFUNCTION("""COMPUTED_VALUE"""),"USA")</f>
        <v>USA</v>
      </c>
      <c r="F743" s="8" t="str">
        <f>IFERROR(__xludf.DUMMYFUNCTION("""COMPUTED_VALUE"""),"Mens Cricket Doubles")</f>
        <v>Mens Cricket Doubles</v>
      </c>
      <c r="G743" s="8" t="str">
        <f>IFERROR(__xludf.DUMMYFUNCTION("""COMPUTED_VALUE"""),"2nd")</f>
        <v>2nd</v>
      </c>
      <c r="H743" s="8" t="str">
        <f>IFERROR(__xludf.DUMMYFUNCTION("""COMPUTED_VALUE"""),"NE Regional 32")</f>
        <v>NE Regional 32</v>
      </c>
      <c r="I743" s="10">
        <f>IFERROR(__xludf.DUMMYFUNCTION("""COMPUTED_VALUE"""),42887.0)</f>
        <v>42887</v>
      </c>
      <c r="J743" s="10">
        <f>IFERROR(__xludf.DUMMYFUNCTION("""COMPUTED_VALUE"""),43983.0)</f>
        <v>43983</v>
      </c>
      <c r="K743" s="11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9" t="str">
        <f>IFERROR(__xludf.DUMMYFUNCTION("""COMPUTED_VALUE"""),"Smith")</f>
        <v>Smith</v>
      </c>
      <c r="B744" s="8" t="str">
        <f>IFERROR(__xludf.DUMMYFUNCTION("""COMPUTED_VALUE"""),"James")</f>
        <v>James</v>
      </c>
      <c r="C744" s="8" t="str">
        <f>IFERROR(__xludf.DUMMYFUNCTION("""COMPUTED_VALUE"""),"Jacksonville")</f>
        <v>Jacksonville</v>
      </c>
      <c r="D744" s="8" t="str">
        <f>IFERROR(__xludf.DUMMYFUNCTION("""COMPUTED_VALUE"""),"AL")</f>
        <v>AL</v>
      </c>
      <c r="E744" s="8" t="str">
        <f>IFERROR(__xludf.DUMMYFUNCTION("""COMPUTED_VALUE"""),"USA")</f>
        <v>USA</v>
      </c>
      <c r="F744" s="8" t="str">
        <f>IFERROR(__xludf.DUMMYFUNCTION("""COMPUTED_VALUE"""),"Mens Cricket Doubles")</f>
        <v>Mens Cricket Doubles</v>
      </c>
      <c r="G744" s="8" t="str">
        <f>IFERROR(__xludf.DUMMYFUNCTION("""COMPUTED_VALUE"""),"2nd")</f>
        <v>2nd</v>
      </c>
      <c r="H744" s="8" t="str">
        <f>IFERROR(__xludf.DUMMYFUNCTION("""COMPUTED_VALUE"""),"GA Regional 32")</f>
        <v>GA Regional 32</v>
      </c>
      <c r="I744" s="10">
        <f>IFERROR(__xludf.DUMMYFUNCTION("""COMPUTED_VALUE"""),42887.0)</f>
        <v>42887</v>
      </c>
      <c r="J744" s="10">
        <f>IFERROR(__xludf.DUMMYFUNCTION("""COMPUTED_VALUE"""),43983.0)</f>
        <v>43983</v>
      </c>
      <c r="K744" s="11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9" t="str">
        <f>IFERROR(__xludf.DUMMYFUNCTION("""COMPUTED_VALUE"""),"Smith")</f>
        <v>Smith</v>
      </c>
      <c r="B745" s="8" t="str">
        <f>IFERROR(__xludf.DUMMYFUNCTION("""COMPUTED_VALUE"""),"Jason")</f>
        <v>Jason</v>
      </c>
      <c r="C745" s="8" t="str">
        <f>IFERROR(__xludf.DUMMYFUNCTION("""COMPUTED_VALUE"""),"Connellsdale")</f>
        <v>Connellsdale</v>
      </c>
      <c r="D745" s="8" t="str">
        <f>IFERROR(__xludf.DUMMYFUNCTION("""COMPUTED_VALUE"""),"PA")</f>
        <v>PA</v>
      </c>
      <c r="E745" s="8" t="str">
        <f>IFERROR(__xludf.DUMMYFUNCTION("""COMPUTED_VALUE"""),"USA")</f>
        <v>USA</v>
      </c>
      <c r="F745" s="8" t="str">
        <f>IFERROR(__xludf.DUMMYFUNCTION("""COMPUTED_VALUE"""),"Mens Cricket Doubles")</f>
        <v>Mens Cricket Doubles</v>
      </c>
      <c r="G745" s="8" t="str">
        <f>IFERROR(__xludf.DUMMYFUNCTION("""COMPUTED_VALUE"""),"3rd")</f>
        <v>3rd</v>
      </c>
      <c r="H745" s="8" t="str">
        <f>IFERROR(__xludf.DUMMYFUNCTION("""COMPUTED_VALUE"""),"PA Regional 33")</f>
        <v>PA Regional 33</v>
      </c>
      <c r="I745" s="10">
        <f>IFERROR(__xludf.DUMMYFUNCTION("""COMPUTED_VALUE"""),43252.0)</f>
        <v>43252</v>
      </c>
      <c r="J745" s="10">
        <f>IFERROR(__xludf.DUMMYFUNCTION("""COMPUTED_VALUE"""),44348.0)</f>
        <v>44348</v>
      </c>
      <c r="K745" s="11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9" t="str">
        <f>IFERROR(__xludf.DUMMYFUNCTION("""COMPUTED_VALUE"""),"Smith")</f>
        <v>Smith</v>
      </c>
      <c r="B746" s="8" t="str">
        <f>IFERROR(__xludf.DUMMYFUNCTION("""COMPUTED_VALUE"""),"Mitchell")</f>
        <v>Mitchell</v>
      </c>
      <c r="C746" s="8" t="str">
        <f>IFERROR(__xludf.DUMMYFUNCTION("""COMPUTED_VALUE"""),"Chesapeake")</f>
        <v>Chesapeake</v>
      </c>
      <c r="D746" s="8" t="str">
        <f>IFERROR(__xludf.DUMMYFUNCTION("""COMPUTED_VALUE"""),"VA")</f>
        <v>VA</v>
      </c>
      <c r="E746" s="8" t="str">
        <f>IFERROR(__xludf.DUMMYFUNCTION("""COMPUTED_VALUE"""),"USA")</f>
        <v>USA</v>
      </c>
      <c r="F746" s="8" t="str">
        <f>IFERROR(__xludf.DUMMYFUNCTION("""COMPUTED_VALUE"""),"Mens Cricket Doubles")</f>
        <v>Mens Cricket Doubles</v>
      </c>
      <c r="G746" s="8" t="str">
        <f>IFERROR(__xludf.DUMMYFUNCTION("""COMPUTED_VALUE"""),"2nd")</f>
        <v>2nd</v>
      </c>
      <c r="H746" s="8" t="str">
        <f>IFERROR(__xludf.DUMMYFUNCTION("""COMPUTED_VALUE"""),"SC Regional 33")</f>
        <v>SC Regional 33</v>
      </c>
      <c r="I746" s="10">
        <f>IFERROR(__xludf.DUMMYFUNCTION("""COMPUTED_VALUE"""),43252.0)</f>
        <v>43252</v>
      </c>
      <c r="J746" s="10">
        <f>IFERROR(__xludf.DUMMYFUNCTION("""COMPUTED_VALUE"""),44348.0)</f>
        <v>44348</v>
      </c>
      <c r="K746" s="11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9" t="str">
        <f>IFERROR(__xludf.DUMMYFUNCTION("""COMPUTED_VALUE"""),"Smith")</f>
        <v>Smith</v>
      </c>
      <c r="B747" s="8" t="str">
        <f>IFERROR(__xludf.DUMMYFUNCTION("""COMPUTED_VALUE"""),"Ric")</f>
        <v>Ric</v>
      </c>
      <c r="C747" s="8" t="str">
        <f>IFERROR(__xludf.DUMMYFUNCTION("""COMPUTED_VALUE"""),"Kansas City")</f>
        <v>Kansas City</v>
      </c>
      <c r="D747" s="8" t="str">
        <f>IFERROR(__xludf.DUMMYFUNCTION("""COMPUTED_VALUE"""),"MO")</f>
        <v>MO</v>
      </c>
      <c r="E747" s="8" t="str">
        <f>IFERROR(__xludf.DUMMYFUNCTION("""COMPUTED_VALUE"""),"USA")</f>
        <v>USA</v>
      </c>
      <c r="F747" s="8" t="str">
        <f>IFERROR(__xludf.DUMMYFUNCTION("""COMPUTED_VALUE"""),"Pro Doubles")</f>
        <v>Pro Doubles</v>
      </c>
      <c r="G747" s="8" t="str">
        <f>IFERROR(__xludf.DUMMYFUNCTION("""COMPUTED_VALUE"""),"1st")</f>
        <v>1st</v>
      </c>
      <c r="H747" s="8" t="str">
        <f>IFERROR(__xludf.DUMMYFUNCTION("""COMPUTED_VALUE"""),"NE Regional 32")</f>
        <v>NE Regional 32</v>
      </c>
      <c r="I747" s="10">
        <f>IFERROR(__xludf.DUMMYFUNCTION("""COMPUTED_VALUE"""),42887.0)</f>
        <v>42887</v>
      </c>
      <c r="J747" s="10">
        <f>IFERROR(__xludf.DUMMYFUNCTION("""COMPUTED_VALUE"""),43983.0)</f>
        <v>43983</v>
      </c>
      <c r="K747" s="11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9" t="str">
        <f>IFERROR(__xludf.DUMMYFUNCTION("""COMPUTED_VALUE"""),"Smith")</f>
        <v>Smith</v>
      </c>
      <c r="B748" s="8" t="str">
        <f>IFERROR(__xludf.DUMMYFUNCTION("""COMPUTED_VALUE"""),"Scott")</f>
        <v>Scott</v>
      </c>
      <c r="C748" s="8" t="str">
        <f>IFERROR(__xludf.DUMMYFUNCTION("""COMPUTED_VALUE"""),"Trinity")</f>
        <v>Trinity</v>
      </c>
      <c r="D748" s="8" t="str">
        <f>IFERROR(__xludf.DUMMYFUNCTION("""COMPUTED_VALUE"""),"NC")</f>
        <v>NC</v>
      </c>
      <c r="E748" s="8" t="str">
        <f>IFERROR(__xludf.DUMMYFUNCTION("""COMPUTED_VALUE"""),"USA")</f>
        <v>USA</v>
      </c>
      <c r="F748" s="8" t="str">
        <f>IFERROR(__xludf.DUMMYFUNCTION("""COMPUTED_VALUE"""),"Men Singles Cricket")</f>
        <v>Men Singles Cricket</v>
      </c>
      <c r="G748" s="8" t="str">
        <f>IFERROR(__xludf.DUMMYFUNCTION("""COMPUTED_VALUE"""),"1st")</f>
        <v>1st</v>
      </c>
      <c r="H748" s="8" t="str">
        <f>IFERROR(__xludf.DUMMYFUNCTION("""COMPUTED_VALUE"""),"South Carolina BS 34")</f>
        <v>South Carolina BS 34</v>
      </c>
      <c r="I748" s="10">
        <f>IFERROR(__xludf.DUMMYFUNCTION("""COMPUTED_VALUE"""),43617.0)</f>
        <v>43617</v>
      </c>
      <c r="J748" s="10">
        <f>IFERROR(__xludf.DUMMYFUNCTION("""COMPUTED_VALUE"""),44713.0)</f>
        <v>44713</v>
      </c>
      <c r="K748" s="11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9" t="str">
        <f>IFERROR(__xludf.DUMMYFUNCTION("""COMPUTED_VALUE"""),"Smith")</f>
        <v>Smith</v>
      </c>
      <c r="B749" s="8" t="str">
        <f>IFERROR(__xludf.DUMMYFUNCTION("""COMPUTED_VALUE"""),"Seth")</f>
        <v>Seth</v>
      </c>
      <c r="C749" s="8" t="str">
        <f>IFERROR(__xludf.DUMMYFUNCTION("""COMPUTED_VALUE"""),"Phelps")</f>
        <v>Phelps</v>
      </c>
      <c r="D749" s="8" t="str">
        <f>IFERROR(__xludf.DUMMYFUNCTION("""COMPUTED_VALUE"""),"NY")</f>
        <v>NY</v>
      </c>
      <c r="E749" s="8" t="str">
        <f>IFERROR(__xludf.DUMMYFUNCTION("""COMPUTED_VALUE"""),"USA")</f>
        <v>USA</v>
      </c>
      <c r="F749" s="8" t="str">
        <f>IFERROR(__xludf.DUMMYFUNCTION("""COMPUTED_VALUE"""),"Mens Cricket Doubles")</f>
        <v>Mens Cricket Doubles</v>
      </c>
      <c r="G749" s="8" t="str">
        <f>IFERROR(__xludf.DUMMYFUNCTION("""COMPUTED_VALUE"""),"1st")</f>
        <v>1st</v>
      </c>
      <c r="H749" s="8" t="str">
        <f>IFERROR(__xludf.DUMMYFUNCTION("""COMPUTED_VALUE"""),"NY Regional 32")</f>
        <v>NY Regional 32</v>
      </c>
      <c r="I749" s="10">
        <f>IFERROR(__xludf.DUMMYFUNCTION("""COMPUTED_VALUE"""),42887.0)</f>
        <v>42887</v>
      </c>
      <c r="J749" s="10">
        <f>IFERROR(__xludf.DUMMYFUNCTION("""COMPUTED_VALUE"""),43983.0)</f>
        <v>43983</v>
      </c>
      <c r="K749" s="11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9" t="str">
        <f>IFERROR(__xludf.DUMMYFUNCTION("""COMPUTED_VALUE"""),"Snyder")</f>
        <v>Snyder</v>
      </c>
      <c r="B750" s="8" t="str">
        <f>IFERROR(__xludf.DUMMYFUNCTION("""COMPUTED_VALUE"""),"John")</f>
        <v>John</v>
      </c>
      <c r="C750" s="8" t="str">
        <f>IFERROR(__xludf.DUMMYFUNCTION("""COMPUTED_VALUE"""),"Goshen")</f>
        <v>Goshen</v>
      </c>
      <c r="D750" s="8" t="str">
        <f>IFERROR(__xludf.DUMMYFUNCTION("""COMPUTED_VALUE"""),"IN")</f>
        <v>IN</v>
      </c>
      <c r="E750" s="8" t="str">
        <f>IFERROR(__xludf.DUMMYFUNCTION("""COMPUTED_VALUE"""),"USA")</f>
        <v>USA</v>
      </c>
      <c r="F750" s="8" t="str">
        <f>IFERROR(__xludf.DUMMYFUNCTION("""COMPUTED_VALUE"""),"")</f>
        <v/>
      </c>
      <c r="G750" s="8" t="str">
        <f>IFERROR(__xludf.DUMMYFUNCTION("""COMPUTED_VALUE"""),"")</f>
        <v/>
      </c>
      <c r="H750" s="8" t="str">
        <f>IFERROR(__xludf.DUMMYFUNCTION("""COMPUTED_VALUE"""),"BS 30 Finals")</f>
        <v>BS 30 Finals</v>
      </c>
      <c r="I750" s="10">
        <f>IFERROR(__xludf.DUMMYFUNCTION("""COMPUTED_VALUE"""),43252.0)</f>
        <v>43252</v>
      </c>
      <c r="J750" s="10">
        <f>IFERROR(__xludf.DUMMYFUNCTION("""COMPUTED_VALUE"""),44348.0)</f>
        <v>44348</v>
      </c>
      <c r="K750" s="11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9" t="str">
        <f>IFERROR(__xludf.DUMMYFUNCTION("""COMPUTED_VALUE"""),"Sockwell")</f>
        <v>Sockwell</v>
      </c>
      <c r="B751" s="8" t="str">
        <f>IFERROR(__xludf.DUMMYFUNCTION("""COMPUTED_VALUE"""),"Dimbaza")</f>
        <v>Dimbaza</v>
      </c>
      <c r="C751" s="8" t="str">
        <f>IFERROR(__xludf.DUMMYFUNCTION("""COMPUTED_VALUE"""),"Rockford")</f>
        <v>Rockford</v>
      </c>
      <c r="D751" s="8" t="str">
        <f>IFERROR(__xludf.DUMMYFUNCTION("""COMPUTED_VALUE"""),"IL")</f>
        <v>IL</v>
      </c>
      <c r="E751" s="8" t="str">
        <f>IFERROR(__xludf.DUMMYFUNCTION("""COMPUTED_VALUE"""),"USA")</f>
        <v>USA</v>
      </c>
      <c r="F751" s="8" t="str">
        <f>IFERROR(__xludf.DUMMYFUNCTION("""COMPUTED_VALUE"""),"Mens Doubles")</f>
        <v>Mens Doubles</v>
      </c>
      <c r="G751" s="8" t="str">
        <f>IFERROR(__xludf.DUMMYFUNCTION("""COMPUTED_VALUE"""),"1st")</f>
        <v>1st</v>
      </c>
      <c r="H751" s="8" t="str">
        <f>IFERROR(__xludf.DUMMYFUNCTION("""COMPUTED_VALUE"""),"WI Regional 33")</f>
        <v>WI Regional 33</v>
      </c>
      <c r="I751" s="10">
        <f>IFERROR(__xludf.DUMMYFUNCTION("""COMPUTED_VALUE"""),43252.0)</f>
        <v>43252</v>
      </c>
      <c r="J751" s="10">
        <f>IFERROR(__xludf.DUMMYFUNCTION("""COMPUTED_VALUE"""),44348.0)</f>
        <v>44348</v>
      </c>
      <c r="K751" s="11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9" t="str">
        <f>IFERROR(__xludf.DUMMYFUNCTION("""COMPUTED_VALUE"""),"Soltero")</f>
        <v>Soltero</v>
      </c>
      <c r="B752" s="8" t="str">
        <f>IFERROR(__xludf.DUMMYFUNCTION("""COMPUTED_VALUE"""),"Frank")</f>
        <v>Frank</v>
      </c>
      <c r="C752" s="8" t="str">
        <f>IFERROR(__xludf.DUMMYFUNCTION("""COMPUTED_VALUE"""),"Rockford")</f>
        <v>Rockford</v>
      </c>
      <c r="D752" s="8" t="str">
        <f>IFERROR(__xludf.DUMMYFUNCTION("""COMPUTED_VALUE"""),"IL")</f>
        <v>IL</v>
      </c>
      <c r="E752" s="8" t="str">
        <f>IFERROR(__xludf.DUMMYFUNCTION("""COMPUTED_VALUE"""),"USA")</f>
        <v>USA</v>
      </c>
      <c r="F752" s="8" t="str">
        <f>IFERROR(__xludf.DUMMYFUNCTION("""COMPUTED_VALUE"""),"Mens Cricket Doubles")</f>
        <v>Mens Cricket Doubles</v>
      </c>
      <c r="G752" s="8" t="str">
        <f>IFERROR(__xludf.DUMMYFUNCTION("""COMPUTED_VALUE"""),"1st")</f>
        <v>1st</v>
      </c>
      <c r="H752" s="8" t="str">
        <f>IFERROR(__xludf.DUMMYFUNCTION("""COMPUTED_VALUE"""),"WI Regional 33")</f>
        <v>WI Regional 33</v>
      </c>
      <c r="I752" s="10">
        <f>IFERROR(__xludf.DUMMYFUNCTION("""COMPUTED_VALUE"""),43252.0)</f>
        <v>43252</v>
      </c>
      <c r="J752" s="10">
        <f>IFERROR(__xludf.DUMMYFUNCTION("""COMPUTED_VALUE"""),44348.0)</f>
        <v>44348</v>
      </c>
      <c r="K752" s="11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9" t="str">
        <f>IFERROR(__xludf.DUMMYFUNCTION("""COMPUTED_VALUE"""),"Soltys")</f>
        <v>Soltys</v>
      </c>
      <c r="B753" s="8" t="str">
        <f>IFERROR(__xludf.DUMMYFUNCTION("""COMPUTED_VALUE"""),"Robert")</f>
        <v>Robert</v>
      </c>
      <c r="C753" s="8" t="str">
        <f>IFERROR(__xludf.DUMMYFUNCTION("""COMPUTED_VALUE"""),"Simpsonville")</f>
        <v>Simpsonville</v>
      </c>
      <c r="D753" s="8" t="str">
        <f>IFERROR(__xludf.DUMMYFUNCTION("""COMPUTED_VALUE"""),"SC")</f>
        <v>SC</v>
      </c>
      <c r="E753" s="8" t="str">
        <f>IFERROR(__xludf.DUMMYFUNCTION("""COMPUTED_VALUE"""),"USA")</f>
        <v>USA</v>
      </c>
      <c r="F753" s="8" t="str">
        <f>IFERROR(__xludf.DUMMYFUNCTION("""COMPUTED_VALUE"""),"Mens Doubles")</f>
        <v>Mens Doubles</v>
      </c>
      <c r="G753" s="8" t="str">
        <f>IFERROR(__xludf.DUMMYFUNCTION("""COMPUTED_VALUE"""),"1st")</f>
        <v>1st</v>
      </c>
      <c r="H753" s="8" t="str">
        <f>IFERROR(__xludf.DUMMYFUNCTION("""COMPUTED_VALUE"""),"TN Regional 33")</f>
        <v>TN Regional 33</v>
      </c>
      <c r="I753" s="10">
        <f>IFERROR(__xludf.DUMMYFUNCTION("""COMPUTED_VALUE"""),43252.0)</f>
        <v>43252</v>
      </c>
      <c r="J753" s="10">
        <f>IFERROR(__xludf.DUMMYFUNCTION("""COMPUTED_VALUE"""),44348.0)</f>
        <v>44348</v>
      </c>
      <c r="K753" s="11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9" t="str">
        <f>IFERROR(__xludf.DUMMYFUNCTION("""COMPUTED_VALUE"""),"Spratley")</f>
        <v>Spratley</v>
      </c>
      <c r="B754" s="8" t="str">
        <f>IFERROR(__xludf.DUMMYFUNCTION("""COMPUTED_VALUE"""),"Eric")</f>
        <v>Eric</v>
      </c>
      <c r="C754" s="8" t="str">
        <f>IFERROR(__xludf.DUMMYFUNCTION("""COMPUTED_VALUE"""),"Newark")</f>
        <v>Newark</v>
      </c>
      <c r="D754" s="8" t="str">
        <f>IFERROR(__xludf.DUMMYFUNCTION("""COMPUTED_VALUE"""),"NY")</f>
        <v>NY</v>
      </c>
      <c r="E754" s="8" t="str">
        <f>IFERROR(__xludf.DUMMYFUNCTION("""COMPUTED_VALUE"""),"USA")</f>
        <v>USA</v>
      </c>
      <c r="F754" s="8" t="str">
        <f>IFERROR(__xludf.DUMMYFUNCTION("""COMPUTED_VALUE"""),"Mens Cricket Doubles")</f>
        <v>Mens Cricket Doubles</v>
      </c>
      <c r="G754" s="8" t="str">
        <f>IFERROR(__xludf.DUMMYFUNCTION("""COMPUTED_VALUE"""),"1st")</f>
        <v>1st</v>
      </c>
      <c r="H754" s="8" t="str">
        <f>IFERROR(__xludf.DUMMYFUNCTION("""COMPUTED_VALUE"""),"NY Regional 32")</f>
        <v>NY Regional 32</v>
      </c>
      <c r="I754" s="10">
        <f>IFERROR(__xludf.DUMMYFUNCTION("""COMPUTED_VALUE"""),42887.0)</f>
        <v>42887</v>
      </c>
      <c r="J754" s="10">
        <f>IFERROR(__xludf.DUMMYFUNCTION("""COMPUTED_VALUE"""),43983.0)</f>
        <v>43983</v>
      </c>
      <c r="K754" s="11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9" t="str">
        <f>IFERROR(__xludf.DUMMYFUNCTION("""COMPUTED_VALUE"""),"Spurgeon")</f>
        <v>Spurgeon</v>
      </c>
      <c r="B755" s="8" t="str">
        <f>IFERROR(__xludf.DUMMYFUNCTION("""COMPUTED_VALUE"""),"Scott")</f>
        <v>Scott</v>
      </c>
      <c r="C755" s="8" t="str">
        <f>IFERROR(__xludf.DUMMYFUNCTION("""COMPUTED_VALUE"""),"Marshalltown")</f>
        <v>Marshalltown</v>
      </c>
      <c r="D755" s="8" t="str">
        <f>IFERROR(__xludf.DUMMYFUNCTION("""COMPUTED_VALUE"""),"IA")</f>
        <v>IA</v>
      </c>
      <c r="E755" s="8" t="str">
        <f>IFERROR(__xludf.DUMMYFUNCTION("""COMPUTED_VALUE"""),"USA")</f>
        <v>USA</v>
      </c>
      <c r="F755" s="8" t="str">
        <f>IFERROR(__xludf.DUMMYFUNCTION("""COMPUTED_VALUE"""),"Mens Cricket Doubles")</f>
        <v>Mens Cricket Doubles</v>
      </c>
      <c r="G755" s="8" t="str">
        <f>IFERROR(__xludf.DUMMYFUNCTION("""COMPUTED_VALUE"""),"3rd")</f>
        <v>3rd</v>
      </c>
      <c r="H755" s="8" t="str">
        <f>IFERROR(__xludf.DUMMYFUNCTION("""COMPUTED_VALUE"""),"NE Regional 33")</f>
        <v>NE Regional 33</v>
      </c>
      <c r="I755" s="10">
        <f>IFERROR(__xludf.DUMMYFUNCTION("""COMPUTED_VALUE"""),43252.0)</f>
        <v>43252</v>
      </c>
      <c r="J755" s="10">
        <f>IFERROR(__xludf.DUMMYFUNCTION("""COMPUTED_VALUE"""),44348.0)</f>
        <v>44348</v>
      </c>
      <c r="K755" s="11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9" t="str">
        <f>IFERROR(__xludf.DUMMYFUNCTION("""COMPUTED_VALUE"""),"Stamey")</f>
        <v>Stamey</v>
      </c>
      <c r="B756" s="8" t="str">
        <f>IFERROR(__xludf.DUMMYFUNCTION("""COMPUTED_VALUE"""),"Bryan")</f>
        <v>Bryan</v>
      </c>
      <c r="C756" s="8" t="str">
        <f>IFERROR(__xludf.DUMMYFUNCTION("""COMPUTED_VALUE"""),"Conway")</f>
        <v>Conway</v>
      </c>
      <c r="D756" s="8" t="str">
        <f>IFERROR(__xludf.DUMMYFUNCTION("""COMPUTED_VALUE"""),"SC")</f>
        <v>SC</v>
      </c>
      <c r="E756" s="8" t="str">
        <f>IFERROR(__xludf.DUMMYFUNCTION("""COMPUTED_VALUE"""),"USA")</f>
        <v>USA</v>
      </c>
      <c r="F756" s="8" t="str">
        <f>IFERROR(__xludf.DUMMYFUNCTION("""COMPUTED_VALUE"""),"Mixed Triples")</f>
        <v>Mixed Triples</v>
      </c>
      <c r="G756" s="8" t="str">
        <f>IFERROR(__xludf.DUMMYFUNCTION("""COMPUTED_VALUE"""),"1st")</f>
        <v>1st</v>
      </c>
      <c r="H756" s="8" t="str">
        <f>IFERROR(__xludf.DUMMYFUNCTION("""COMPUTED_VALUE"""),"SC Regional 32")</f>
        <v>SC Regional 32</v>
      </c>
      <c r="I756" s="10">
        <f>IFERROR(__xludf.DUMMYFUNCTION("""COMPUTED_VALUE"""),42887.0)</f>
        <v>42887</v>
      </c>
      <c r="J756" s="10">
        <f>IFERROR(__xludf.DUMMYFUNCTION("""COMPUTED_VALUE"""),43983.0)</f>
        <v>43983</v>
      </c>
      <c r="K756" s="11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9" t="str">
        <f>IFERROR(__xludf.DUMMYFUNCTION("""COMPUTED_VALUE"""),"Statezny")</f>
        <v>Statezny</v>
      </c>
      <c r="B757" s="8" t="str">
        <f>IFERROR(__xludf.DUMMYFUNCTION("""COMPUTED_VALUE"""),"Luke")</f>
        <v>Luke</v>
      </c>
      <c r="C757" s="8" t="str">
        <f>IFERROR(__xludf.DUMMYFUNCTION("""COMPUTED_VALUE"""),"Antigo")</f>
        <v>Antigo</v>
      </c>
      <c r="D757" s="8" t="str">
        <f>IFERROR(__xludf.DUMMYFUNCTION("""COMPUTED_VALUE"""),"WI")</f>
        <v>WI</v>
      </c>
      <c r="E757" s="8" t="str">
        <f>IFERROR(__xludf.DUMMYFUNCTION("""COMPUTED_VALUE"""),"USA")</f>
        <v>USA</v>
      </c>
      <c r="F757" s="8" t="str">
        <f>IFERROR(__xludf.DUMMYFUNCTION("""COMPUTED_VALUE"""),"Mixed 701 Triples")</f>
        <v>Mixed 701 Triples</v>
      </c>
      <c r="G757" s="8" t="str">
        <f>IFERROR(__xludf.DUMMYFUNCTION("""COMPUTED_VALUE"""),"1st")</f>
        <v>1st</v>
      </c>
      <c r="H757" s="8" t="str">
        <f>IFERROR(__xludf.DUMMYFUNCTION("""COMPUTED_VALUE"""),"BullShooter 34 Finals")</f>
        <v>BullShooter 34 Finals</v>
      </c>
      <c r="I757" s="10">
        <f>IFERROR(__xludf.DUMMYFUNCTION("""COMPUTED_VALUE"""),43617.0)</f>
        <v>43617</v>
      </c>
      <c r="J757" s="10">
        <f>IFERROR(__xludf.DUMMYFUNCTION("""COMPUTED_VALUE"""),44713.0)</f>
        <v>44713</v>
      </c>
      <c r="K757" s="11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9" t="str">
        <f>IFERROR(__xludf.DUMMYFUNCTION("""COMPUTED_VALUE"""),"Staub")</f>
        <v>Staub</v>
      </c>
      <c r="B758" s="8" t="str">
        <f>IFERROR(__xludf.DUMMYFUNCTION("""COMPUTED_VALUE"""),"Bryan")</f>
        <v>Bryan</v>
      </c>
      <c r="C758" s="8" t="str">
        <f>IFERROR(__xludf.DUMMYFUNCTION("""COMPUTED_VALUE"""),"Hanover")</f>
        <v>Hanover</v>
      </c>
      <c r="D758" s="8" t="str">
        <f>IFERROR(__xludf.DUMMYFUNCTION("""COMPUTED_VALUE"""),"PA")</f>
        <v>PA</v>
      </c>
      <c r="E758" s="8" t="str">
        <f>IFERROR(__xludf.DUMMYFUNCTION("""COMPUTED_VALUE"""),"USA")</f>
        <v>USA</v>
      </c>
      <c r="F758" s="8" t="str">
        <f>IFERROR(__xludf.DUMMYFUNCTION("""COMPUTED_VALUE"""),"Mens Doubles")</f>
        <v>Mens Doubles</v>
      </c>
      <c r="G758" s="8" t="str">
        <f>IFERROR(__xludf.DUMMYFUNCTION("""COMPUTED_VALUE"""),"1st")</f>
        <v>1st</v>
      </c>
      <c r="H758" s="8" t="str">
        <f>IFERROR(__xludf.DUMMYFUNCTION("""COMPUTED_VALUE"""),"PA Regional 32")</f>
        <v>PA Regional 32</v>
      </c>
      <c r="I758" s="10">
        <f>IFERROR(__xludf.DUMMYFUNCTION("""COMPUTED_VALUE"""),42887.0)</f>
        <v>42887</v>
      </c>
      <c r="J758" s="10">
        <f>IFERROR(__xludf.DUMMYFUNCTION("""COMPUTED_VALUE"""),43983.0)</f>
        <v>43983</v>
      </c>
      <c r="K758" s="11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9" t="str">
        <f>IFERROR(__xludf.DUMMYFUNCTION("""COMPUTED_VALUE"""),"Staudt")</f>
        <v>Staudt</v>
      </c>
      <c r="B759" s="8" t="str">
        <f>IFERROR(__xludf.DUMMYFUNCTION("""COMPUTED_VALUE"""),"Thomas")</f>
        <v>Thomas</v>
      </c>
      <c r="C759" s="8" t="str">
        <f>IFERROR(__xludf.DUMMYFUNCTION("""COMPUTED_VALUE"""),"Waukesha")</f>
        <v>Waukesha</v>
      </c>
      <c r="D759" s="8" t="str">
        <f>IFERROR(__xludf.DUMMYFUNCTION("""COMPUTED_VALUE"""),"WI")</f>
        <v>WI</v>
      </c>
      <c r="E759" s="8" t="str">
        <f>IFERROR(__xludf.DUMMYFUNCTION("""COMPUTED_VALUE"""),"USA")</f>
        <v>USA</v>
      </c>
      <c r="F759" s="8" t="str">
        <f>IFERROR(__xludf.DUMMYFUNCTION("""COMPUTED_VALUE"""),"Men Doubles 501")</f>
        <v>Men Doubles 501</v>
      </c>
      <c r="G759" s="8" t="str">
        <f>IFERROR(__xludf.DUMMYFUNCTION("""COMPUTED_VALUE"""),"2nd")</f>
        <v>2nd</v>
      </c>
      <c r="H759" s="8" t="str">
        <f>IFERROR(__xludf.DUMMYFUNCTION("""COMPUTED_VALUE"""),"Wisconsin BS 34")</f>
        <v>Wisconsin BS 34</v>
      </c>
      <c r="I759" s="10">
        <f>IFERROR(__xludf.DUMMYFUNCTION("""COMPUTED_VALUE"""),43617.0)</f>
        <v>43617</v>
      </c>
      <c r="J759" s="10">
        <f>IFERROR(__xludf.DUMMYFUNCTION("""COMPUTED_VALUE"""),44713.0)</f>
        <v>44713</v>
      </c>
      <c r="K759" s="11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9" t="str">
        <f>IFERROR(__xludf.DUMMYFUNCTION("""COMPUTED_VALUE"""),"Steinberg")</f>
        <v>Steinberg</v>
      </c>
      <c r="B760" s="8" t="str">
        <f>IFERROR(__xludf.DUMMYFUNCTION("""COMPUTED_VALUE"""),"Jeffrey")</f>
        <v>Jeffrey</v>
      </c>
      <c r="C760" s="8" t="str">
        <f>IFERROR(__xludf.DUMMYFUNCTION("""COMPUTED_VALUE"""),"")</f>
        <v/>
      </c>
      <c r="D760" s="8" t="str">
        <f>IFERROR(__xludf.DUMMYFUNCTION("""COMPUTED_VALUE"""),"UNK")</f>
        <v>UNK</v>
      </c>
      <c r="E760" s="8" t="str">
        <f>IFERROR(__xludf.DUMMYFUNCTION("""COMPUTED_VALUE"""),"USA")</f>
        <v>USA</v>
      </c>
      <c r="F760" s="8" t="str">
        <f>IFERROR(__xludf.DUMMYFUNCTION("""COMPUTED_VALUE"""),"ADO 2014")</f>
        <v>ADO 2014</v>
      </c>
      <c r="G760" s="8" t="str">
        <f>IFERROR(__xludf.DUMMYFUNCTION("""COMPUTED_VALUE"""),"14th")</f>
        <v>14th</v>
      </c>
      <c r="H760" s="8" t="str">
        <f>IFERROR(__xludf.DUMMYFUNCTION("""COMPUTED_VALUE"""),"Off AA List")</f>
        <v>Off AA List</v>
      </c>
      <c r="I760" s="10">
        <f>IFERROR(__xludf.DUMMYFUNCTION("""COMPUTED_VALUE"""),42887.0)</f>
        <v>42887</v>
      </c>
      <c r="J760" s="10">
        <f>IFERROR(__xludf.DUMMYFUNCTION("""COMPUTED_VALUE"""),43983.0)</f>
        <v>43983</v>
      </c>
      <c r="K760" s="11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9" t="str">
        <f>IFERROR(__xludf.DUMMYFUNCTION("""COMPUTED_VALUE"""),"Steiner")</f>
        <v>Steiner</v>
      </c>
      <c r="B761" s="8" t="str">
        <f>IFERROR(__xludf.DUMMYFUNCTION("""COMPUTED_VALUE"""),"Zachary")</f>
        <v>Zachary</v>
      </c>
      <c r="C761" s="8" t="str">
        <f>IFERROR(__xludf.DUMMYFUNCTION("""COMPUTED_VALUE"""),"Papillon")</f>
        <v>Papillon</v>
      </c>
      <c r="D761" s="8" t="str">
        <f>IFERROR(__xludf.DUMMYFUNCTION("""COMPUTED_VALUE"""),"NE")</f>
        <v>NE</v>
      </c>
      <c r="E761" s="8" t="str">
        <f>IFERROR(__xludf.DUMMYFUNCTION("""COMPUTED_VALUE"""),"USA")</f>
        <v>USA</v>
      </c>
      <c r="F761" s="8" t="str">
        <f>IFERROR(__xludf.DUMMYFUNCTION("""COMPUTED_VALUE"""),"Mens Doubles")</f>
        <v>Mens Doubles</v>
      </c>
      <c r="G761" s="8" t="str">
        <f>IFERROR(__xludf.DUMMYFUNCTION("""COMPUTED_VALUE"""),"1st")</f>
        <v>1st</v>
      </c>
      <c r="H761" s="8" t="str">
        <f>IFERROR(__xludf.DUMMYFUNCTION("""COMPUTED_VALUE"""),"NE Regional 33")</f>
        <v>NE Regional 33</v>
      </c>
      <c r="I761" s="10">
        <f>IFERROR(__xludf.DUMMYFUNCTION("""COMPUTED_VALUE"""),43252.0)</f>
        <v>43252</v>
      </c>
      <c r="J761" s="10">
        <f>IFERROR(__xludf.DUMMYFUNCTION("""COMPUTED_VALUE"""),44348.0)</f>
        <v>44348</v>
      </c>
      <c r="K761" s="11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9" t="str">
        <f>IFERROR(__xludf.DUMMYFUNCTION("""COMPUTED_VALUE"""),"Steinhofer")</f>
        <v>Steinhofer</v>
      </c>
      <c r="B762" s="8" t="str">
        <f>IFERROR(__xludf.DUMMYFUNCTION("""COMPUTED_VALUE"""),"John")</f>
        <v>John</v>
      </c>
      <c r="C762" s="8" t="str">
        <f>IFERROR(__xludf.DUMMYFUNCTION("""COMPUTED_VALUE"""),"")</f>
        <v/>
      </c>
      <c r="D762" s="8" t="str">
        <f>IFERROR(__xludf.DUMMYFUNCTION("""COMPUTED_VALUE"""),"")</f>
        <v/>
      </c>
      <c r="E762" s="8" t="str">
        <f>IFERROR(__xludf.DUMMYFUNCTION("""COMPUTED_VALUE"""),"UNK")</f>
        <v>UNK</v>
      </c>
      <c r="F762" s="8" t="str">
        <f>IFERROR(__xludf.DUMMYFUNCTION("""COMPUTED_VALUE"""),"ADO 2014")</f>
        <v>ADO 2014</v>
      </c>
      <c r="G762" s="8" t="str">
        <f>IFERROR(__xludf.DUMMYFUNCTION("""COMPUTED_VALUE"""),"33rd")</f>
        <v>33rd</v>
      </c>
      <c r="H762" s="8" t="str">
        <f>IFERROR(__xludf.DUMMYFUNCTION("""COMPUTED_VALUE"""),"Off AA List")</f>
        <v>Off AA List</v>
      </c>
      <c r="I762" s="10">
        <f>IFERROR(__xludf.DUMMYFUNCTION("""COMPUTED_VALUE"""),42887.0)</f>
        <v>42887</v>
      </c>
      <c r="J762" s="10">
        <f>IFERROR(__xludf.DUMMYFUNCTION("""COMPUTED_VALUE"""),43983.0)</f>
        <v>43983</v>
      </c>
      <c r="K762" s="11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9" t="str">
        <f>IFERROR(__xludf.DUMMYFUNCTION("""COMPUTED_VALUE"""),"Sterling")</f>
        <v>Sterling</v>
      </c>
      <c r="B763" s="8" t="str">
        <f>IFERROR(__xludf.DUMMYFUNCTION("""COMPUTED_VALUE"""),"Kimber")</f>
        <v>Kimber</v>
      </c>
      <c r="C763" s="8" t="str">
        <f>IFERROR(__xludf.DUMMYFUNCTION("""COMPUTED_VALUE"""),"")</f>
        <v/>
      </c>
      <c r="D763" s="8" t="str">
        <f>IFERROR(__xludf.DUMMYFUNCTION("""COMPUTED_VALUE"""),"CA")</f>
        <v>CA</v>
      </c>
      <c r="E763" s="8" t="str">
        <f>IFERROR(__xludf.DUMMYFUNCTION("""COMPUTED_VALUE"""),"USA")</f>
        <v>USA</v>
      </c>
      <c r="F763" s="8" t="str">
        <f>IFERROR(__xludf.DUMMYFUNCTION("""COMPUTED_VALUE"""),"Mens Singles")</f>
        <v>Mens Singles</v>
      </c>
      <c r="G763" s="8" t="str">
        <f>IFERROR(__xludf.DUMMYFUNCTION("""COMPUTED_VALUE"""),"1st")</f>
        <v>1st</v>
      </c>
      <c r="H763" s="8" t="str">
        <f>IFERROR(__xludf.DUMMYFUNCTION("""COMPUTED_VALUE"""),"CA Regional 33")</f>
        <v>CA Regional 33</v>
      </c>
      <c r="I763" s="10">
        <f>IFERROR(__xludf.DUMMYFUNCTION("""COMPUTED_VALUE"""),43252.0)</f>
        <v>43252</v>
      </c>
      <c r="J763" s="10">
        <f>IFERROR(__xludf.DUMMYFUNCTION("""COMPUTED_VALUE"""),44348.0)</f>
        <v>44348</v>
      </c>
      <c r="K763" s="11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9" t="str">
        <f>IFERROR(__xludf.DUMMYFUNCTION("""COMPUTED_VALUE"""),"Stevens")</f>
        <v>Stevens</v>
      </c>
      <c r="B764" s="8" t="str">
        <f>IFERROR(__xludf.DUMMYFUNCTION("""COMPUTED_VALUE"""),"Gary")</f>
        <v>Gary</v>
      </c>
      <c r="C764" s="8" t="str">
        <f>IFERROR(__xludf.DUMMYFUNCTION("""COMPUTED_VALUE"""),"Appleton")</f>
        <v>Appleton</v>
      </c>
      <c r="D764" s="8" t="str">
        <f>IFERROR(__xludf.DUMMYFUNCTION("""COMPUTED_VALUE"""),"WI")</f>
        <v>WI</v>
      </c>
      <c r="E764" s="8" t="str">
        <f>IFERROR(__xludf.DUMMYFUNCTION("""COMPUTED_VALUE"""),"USA")</f>
        <v>USA</v>
      </c>
      <c r="F764" s="8" t="str">
        <f>IFERROR(__xludf.DUMMYFUNCTION("""COMPUTED_VALUE"""),"Top Gun Triples")</f>
        <v>Top Gun Triples</v>
      </c>
      <c r="G764" s="8" t="str">
        <f>IFERROR(__xludf.DUMMYFUNCTION("""COMPUTED_VALUE"""),"3rd")</f>
        <v>3rd</v>
      </c>
      <c r="H764" s="8" t="str">
        <f>IFERROR(__xludf.DUMMYFUNCTION("""COMPUTED_VALUE"""),"BS 33 Finals")</f>
        <v>BS 33 Finals</v>
      </c>
      <c r="I764" s="10">
        <f>IFERROR(__xludf.DUMMYFUNCTION("""COMPUTED_VALUE"""),43252.0)</f>
        <v>43252</v>
      </c>
      <c r="J764" s="10">
        <f>IFERROR(__xludf.DUMMYFUNCTION("""COMPUTED_VALUE"""),44348.0)</f>
        <v>44348</v>
      </c>
      <c r="K764" s="11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9" t="str">
        <f>IFERROR(__xludf.DUMMYFUNCTION("""COMPUTED_VALUE"""),"Stewart")</f>
        <v>Stewart</v>
      </c>
      <c r="B765" s="8" t="str">
        <f>IFERROR(__xludf.DUMMYFUNCTION("""COMPUTED_VALUE"""),"Peter")</f>
        <v>Peter</v>
      </c>
      <c r="C765" s="8" t="str">
        <f>IFERROR(__xludf.DUMMYFUNCTION("""COMPUTED_VALUE"""),"Clayton")</f>
        <v>Clayton</v>
      </c>
      <c r="D765" s="8" t="str">
        <f>IFERROR(__xludf.DUMMYFUNCTION("""COMPUTED_VALUE"""),"NC")</f>
        <v>NC</v>
      </c>
      <c r="E765" s="8" t="str">
        <f>IFERROR(__xludf.DUMMYFUNCTION("""COMPUTED_VALUE"""),"USA")</f>
        <v>USA</v>
      </c>
      <c r="F765" s="8" t="str">
        <f>IFERROR(__xludf.DUMMYFUNCTION("""COMPUTED_VALUE"""),"Men Doubles 501")</f>
        <v>Men Doubles 501</v>
      </c>
      <c r="G765" s="8" t="str">
        <f>IFERROR(__xludf.DUMMYFUNCTION("""COMPUTED_VALUE"""),"1st")</f>
        <v>1st</v>
      </c>
      <c r="H765" s="8" t="str">
        <f>IFERROR(__xludf.DUMMYFUNCTION("""COMPUTED_VALUE"""),"South Carolina BS 34")</f>
        <v>South Carolina BS 34</v>
      </c>
      <c r="I765" s="10">
        <f>IFERROR(__xludf.DUMMYFUNCTION("""COMPUTED_VALUE"""),43617.0)</f>
        <v>43617</v>
      </c>
      <c r="J765" s="10">
        <f>IFERROR(__xludf.DUMMYFUNCTION("""COMPUTED_VALUE"""),44713.0)</f>
        <v>44713</v>
      </c>
      <c r="K765" s="11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9" t="str">
        <f>IFERROR(__xludf.DUMMYFUNCTION("""COMPUTED_VALUE"""),"Stites")</f>
        <v>Stites</v>
      </c>
      <c r="B766" s="8" t="str">
        <f>IFERROR(__xludf.DUMMYFUNCTION("""COMPUTED_VALUE"""),"Jonathan")</f>
        <v>Jonathan</v>
      </c>
      <c r="C766" s="8" t="str">
        <f>IFERROR(__xludf.DUMMYFUNCTION("""COMPUTED_VALUE"""),"Acworth")</f>
        <v>Acworth</v>
      </c>
      <c r="D766" s="8" t="str">
        <f>IFERROR(__xludf.DUMMYFUNCTION("""COMPUTED_VALUE"""),"GA")</f>
        <v>GA</v>
      </c>
      <c r="E766" s="8" t="str">
        <f>IFERROR(__xludf.DUMMYFUNCTION("""COMPUTED_VALUE"""),"USA")</f>
        <v>USA</v>
      </c>
      <c r="F766" s="8" t="str">
        <f>IFERROR(__xludf.DUMMYFUNCTION("""COMPUTED_VALUE"""),"Men Doubles 501")</f>
        <v>Men Doubles 501</v>
      </c>
      <c r="G766" s="8" t="str">
        <f>IFERROR(__xludf.DUMMYFUNCTION("""COMPUTED_VALUE"""),"3rd")</f>
        <v>3rd</v>
      </c>
      <c r="H766" s="8" t="str">
        <f>IFERROR(__xludf.DUMMYFUNCTION("""COMPUTED_VALUE"""),"Georgia BS 34")</f>
        <v>Georgia BS 34</v>
      </c>
      <c r="I766" s="10">
        <f>IFERROR(__xludf.DUMMYFUNCTION("""COMPUTED_VALUE"""),43617.0)</f>
        <v>43617</v>
      </c>
      <c r="J766" s="10">
        <f>IFERROR(__xludf.DUMMYFUNCTION("""COMPUTED_VALUE"""),44713.0)</f>
        <v>44713</v>
      </c>
      <c r="K766" s="11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9" t="str">
        <f>IFERROR(__xludf.DUMMYFUNCTION("""COMPUTED_VALUE"""),"Stockinger")</f>
        <v>Stockinger</v>
      </c>
      <c r="B767" s="8" t="str">
        <f>IFERROR(__xludf.DUMMYFUNCTION("""COMPUTED_VALUE"""),"Troy")</f>
        <v>Troy</v>
      </c>
      <c r="C767" s="8" t="str">
        <f>IFERROR(__xludf.DUMMYFUNCTION("""COMPUTED_VALUE"""),"Smyrna")</f>
        <v>Smyrna</v>
      </c>
      <c r="D767" s="8" t="str">
        <f>IFERROR(__xludf.DUMMYFUNCTION("""COMPUTED_VALUE"""),"GA")</f>
        <v>GA</v>
      </c>
      <c r="E767" s="8" t="str">
        <f>IFERROR(__xludf.DUMMYFUNCTION("""COMPUTED_VALUE"""),"USA")</f>
        <v>USA</v>
      </c>
      <c r="F767" s="8" t="str">
        <f>IFERROR(__xludf.DUMMYFUNCTION("""COMPUTED_VALUE"""),"Mens Doubles")</f>
        <v>Mens Doubles</v>
      </c>
      <c r="G767" s="8" t="str">
        <f>IFERROR(__xludf.DUMMYFUNCTION("""COMPUTED_VALUE"""),"1st")</f>
        <v>1st</v>
      </c>
      <c r="H767" s="8" t="str">
        <f>IFERROR(__xludf.DUMMYFUNCTION("""COMPUTED_VALUE"""),"GA Regional 32")</f>
        <v>GA Regional 32</v>
      </c>
      <c r="I767" s="10">
        <f>IFERROR(__xludf.DUMMYFUNCTION("""COMPUTED_VALUE"""),42887.0)</f>
        <v>42887</v>
      </c>
      <c r="J767" s="10">
        <f>IFERROR(__xludf.DUMMYFUNCTION("""COMPUTED_VALUE"""),43983.0)</f>
        <v>43983</v>
      </c>
      <c r="K767" s="11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9" t="str">
        <f>IFERROR(__xludf.DUMMYFUNCTION("""COMPUTED_VALUE"""),"Strand")</f>
        <v>Strand</v>
      </c>
      <c r="B768" s="8" t="str">
        <f>IFERROR(__xludf.DUMMYFUNCTION("""COMPUTED_VALUE"""),"Greg")</f>
        <v>Greg</v>
      </c>
      <c r="C768" s="8" t="str">
        <f>IFERROR(__xludf.DUMMYFUNCTION("""COMPUTED_VALUE"""),"Ithaca")</f>
        <v>Ithaca</v>
      </c>
      <c r="D768" s="8" t="str">
        <f>IFERROR(__xludf.DUMMYFUNCTION("""COMPUTED_VALUE"""),"MI")</f>
        <v>MI</v>
      </c>
      <c r="E768" s="8" t="str">
        <f>IFERROR(__xludf.DUMMYFUNCTION("""COMPUTED_VALUE"""),"USA")</f>
        <v>USA</v>
      </c>
      <c r="F768" s="8" t="str">
        <f>IFERROR(__xludf.DUMMYFUNCTION("""COMPUTED_VALUE"""),"Mixed Triples 701")</f>
        <v>Mixed Triples 701</v>
      </c>
      <c r="G768" s="8" t="str">
        <f>IFERROR(__xludf.DUMMYFUNCTION("""COMPUTED_VALUE"""),"4th")</f>
        <v>4th</v>
      </c>
      <c r="H768" s="8" t="str">
        <f>IFERROR(__xludf.DUMMYFUNCTION("""COMPUTED_VALUE"""),"BullShooter 32")</f>
        <v>BullShooter 32</v>
      </c>
      <c r="I768" s="10">
        <f>IFERROR(__xludf.DUMMYFUNCTION("""COMPUTED_VALUE"""),42887.0)</f>
        <v>42887</v>
      </c>
      <c r="J768" s="10">
        <f>IFERROR(__xludf.DUMMYFUNCTION("""COMPUTED_VALUE"""),43983.0)</f>
        <v>43983</v>
      </c>
      <c r="K768" s="11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9" t="str">
        <f>IFERROR(__xludf.DUMMYFUNCTION("""COMPUTED_VALUE"""),"Strawbridge")</f>
        <v>Strawbridge</v>
      </c>
      <c r="B769" s="8" t="str">
        <f>IFERROR(__xludf.DUMMYFUNCTION("""COMPUTED_VALUE"""),"Dayton")</f>
        <v>Dayton</v>
      </c>
      <c r="C769" s="8" t="str">
        <f>IFERROR(__xludf.DUMMYFUNCTION("""COMPUTED_VALUE"""),"Bensonville")</f>
        <v>Bensonville</v>
      </c>
      <c r="D769" s="8" t="str">
        <f>IFERROR(__xludf.DUMMYFUNCTION("""COMPUTED_VALUE"""),"IL")</f>
        <v>IL</v>
      </c>
      <c r="E769" s="8" t="str">
        <f>IFERROR(__xludf.DUMMYFUNCTION("""COMPUTED_VALUE"""),"USA")</f>
        <v>USA</v>
      </c>
      <c r="F769" s="8" t="str">
        <f>IFERROR(__xludf.DUMMYFUNCTION("""COMPUTED_VALUE"""),"ADO 2018")</f>
        <v>ADO 2018</v>
      </c>
      <c r="G769" s="8" t="str">
        <f>IFERROR(__xludf.DUMMYFUNCTION("""COMPUTED_VALUE"""),"23rd")</f>
        <v>23rd</v>
      </c>
      <c r="H769" s="8" t="str">
        <f>IFERROR(__xludf.DUMMYFUNCTION("""COMPUTED_VALUE"""),"Known Ability")</f>
        <v>Known Ability</v>
      </c>
      <c r="I769" s="10">
        <f>IFERROR(__xludf.DUMMYFUNCTION("""COMPUTED_VALUE"""),43132.0)</f>
        <v>43132</v>
      </c>
      <c r="J769" s="10">
        <f>IFERROR(__xludf.DUMMYFUNCTION("""COMPUTED_VALUE"""),45809.0)</f>
        <v>45809</v>
      </c>
      <c r="K769" s="11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9" t="str">
        <f>IFERROR(__xludf.DUMMYFUNCTION("""COMPUTED_VALUE"""),"Streitz")</f>
        <v>Streitz</v>
      </c>
      <c r="B770" s="8" t="str">
        <f>IFERROR(__xludf.DUMMYFUNCTION("""COMPUTED_VALUE"""),"Dan")</f>
        <v>Dan</v>
      </c>
      <c r="C770" s="8" t="str">
        <f>IFERROR(__xludf.DUMMYFUNCTION("""COMPUTED_VALUE"""),"Waterloo")</f>
        <v>Waterloo</v>
      </c>
      <c r="D770" s="8" t="str">
        <f>IFERROR(__xludf.DUMMYFUNCTION("""COMPUTED_VALUE"""),"NY")</f>
        <v>NY</v>
      </c>
      <c r="E770" s="8" t="str">
        <f>IFERROR(__xludf.DUMMYFUNCTION("""COMPUTED_VALUE"""),"USA")</f>
        <v>USA</v>
      </c>
      <c r="F770" s="8" t="str">
        <f>IFERROR(__xludf.DUMMYFUNCTION("""COMPUTED_VALUE"""),"Mens Cricket Doubles")</f>
        <v>Mens Cricket Doubles</v>
      </c>
      <c r="G770" s="8" t="str">
        <f>IFERROR(__xludf.DUMMYFUNCTION("""COMPUTED_VALUE"""),"1st")</f>
        <v>1st</v>
      </c>
      <c r="H770" s="8" t="str">
        <f>IFERROR(__xludf.DUMMYFUNCTION("""COMPUTED_VALUE"""),"PA Regional 33")</f>
        <v>PA Regional 33</v>
      </c>
      <c r="I770" s="10">
        <f>IFERROR(__xludf.DUMMYFUNCTION("""COMPUTED_VALUE"""),43252.0)</f>
        <v>43252</v>
      </c>
      <c r="J770" s="10">
        <f>IFERROR(__xludf.DUMMYFUNCTION("""COMPUTED_VALUE"""),44348.0)</f>
        <v>44348</v>
      </c>
      <c r="K770" s="11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9" t="str">
        <f>IFERROR(__xludf.DUMMYFUNCTION("""COMPUTED_VALUE"""),"Strickland")</f>
        <v>Strickland</v>
      </c>
      <c r="B771" s="8" t="str">
        <f>IFERROR(__xludf.DUMMYFUNCTION("""COMPUTED_VALUE"""),"Mike")</f>
        <v>Mike</v>
      </c>
      <c r="C771" s="8" t="str">
        <f>IFERROR(__xludf.DUMMYFUNCTION("""COMPUTED_VALUE"""),"Lakeland")</f>
        <v>Lakeland</v>
      </c>
      <c r="D771" s="8" t="str">
        <f>IFERROR(__xludf.DUMMYFUNCTION("""COMPUTED_VALUE"""),"FL")</f>
        <v>FL</v>
      </c>
      <c r="E771" s="8" t="str">
        <f>IFERROR(__xludf.DUMMYFUNCTION("""COMPUTED_VALUE"""),"USA")</f>
        <v>USA</v>
      </c>
      <c r="F771" s="8" t="str">
        <f>IFERROR(__xludf.DUMMYFUNCTION("""COMPUTED_VALUE"""),"Mens Cricket Doubles")</f>
        <v>Mens Cricket Doubles</v>
      </c>
      <c r="G771" s="8" t="str">
        <f>IFERROR(__xludf.DUMMYFUNCTION("""COMPUTED_VALUE"""),"2nd")</f>
        <v>2nd</v>
      </c>
      <c r="H771" s="8" t="str">
        <f>IFERROR(__xludf.DUMMYFUNCTION("""COMPUTED_VALUE"""),"FL Regional 33")</f>
        <v>FL Regional 33</v>
      </c>
      <c r="I771" s="10">
        <f>IFERROR(__xludf.DUMMYFUNCTION("""COMPUTED_VALUE"""),43252.0)</f>
        <v>43252</v>
      </c>
      <c r="J771" s="10">
        <f>IFERROR(__xludf.DUMMYFUNCTION("""COMPUTED_VALUE"""),44348.0)</f>
        <v>44348</v>
      </c>
      <c r="K771" s="11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9" t="str">
        <f>IFERROR(__xludf.DUMMYFUNCTION("""COMPUTED_VALUE"""),"Strite")</f>
        <v>Strite</v>
      </c>
      <c r="B772" s="8" t="str">
        <f>IFERROR(__xludf.DUMMYFUNCTION("""COMPUTED_VALUE"""),"Curtis")</f>
        <v>Curtis</v>
      </c>
      <c r="C772" s="8" t="str">
        <f>IFERROR(__xludf.DUMMYFUNCTION("""COMPUTED_VALUE"""),"Hillsboro")</f>
        <v>Hillsboro</v>
      </c>
      <c r="D772" s="8" t="str">
        <f>IFERROR(__xludf.DUMMYFUNCTION("""COMPUTED_VALUE"""),"MO")</f>
        <v>MO</v>
      </c>
      <c r="E772" s="8" t="str">
        <f>IFERROR(__xludf.DUMMYFUNCTION("""COMPUTED_VALUE"""),"USA")</f>
        <v>USA</v>
      </c>
      <c r="F772" s="8" t="str">
        <f>IFERROR(__xludf.DUMMYFUNCTION("""COMPUTED_VALUE"""),"Pro Doubles")</f>
        <v>Pro Doubles</v>
      </c>
      <c r="G772" s="8" t="str">
        <f>IFERROR(__xludf.DUMMYFUNCTION("""COMPUTED_VALUE"""),"3rd")</f>
        <v>3rd</v>
      </c>
      <c r="H772" s="8" t="str">
        <f>IFERROR(__xludf.DUMMYFUNCTION("""COMPUTED_VALUE"""),"NE Regional 33")</f>
        <v>NE Regional 33</v>
      </c>
      <c r="I772" s="10">
        <f>IFERROR(__xludf.DUMMYFUNCTION("""COMPUTED_VALUE"""),43252.0)</f>
        <v>43252</v>
      </c>
      <c r="J772" s="10">
        <f>IFERROR(__xludf.DUMMYFUNCTION("""COMPUTED_VALUE"""),44348.0)</f>
        <v>44348</v>
      </c>
      <c r="K772" s="11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9" t="str">
        <f>IFERROR(__xludf.DUMMYFUNCTION("""COMPUTED_VALUE"""),"Sturgis")</f>
        <v>Sturgis</v>
      </c>
      <c r="B773" s="8" t="str">
        <f>IFERROR(__xludf.DUMMYFUNCTION("""COMPUTED_VALUE"""),"Charles")</f>
        <v>Charles</v>
      </c>
      <c r="C773" s="8" t="str">
        <f>IFERROR(__xludf.DUMMYFUNCTION("""COMPUTED_VALUE"""),"Bryson City")</f>
        <v>Bryson City</v>
      </c>
      <c r="D773" s="8" t="str">
        <f>IFERROR(__xludf.DUMMYFUNCTION("""COMPUTED_VALUE"""),"NC")</f>
        <v>NC</v>
      </c>
      <c r="E773" s="8" t="str">
        <f>IFERROR(__xludf.DUMMYFUNCTION("""COMPUTED_VALUE"""),"USA")</f>
        <v>USA</v>
      </c>
      <c r="F773" s="8" t="str">
        <f>IFERROR(__xludf.DUMMYFUNCTION("""COMPUTED_VALUE"""),"Pro Doubles 501")</f>
        <v>Pro Doubles 501</v>
      </c>
      <c r="G773" s="8" t="str">
        <f>IFERROR(__xludf.DUMMYFUNCTION("""COMPUTED_VALUE"""),"3rd")</f>
        <v>3rd</v>
      </c>
      <c r="H773" s="8" t="str">
        <f>IFERROR(__xludf.DUMMYFUNCTION("""COMPUTED_VALUE"""),"South Carolina BS 34")</f>
        <v>South Carolina BS 34</v>
      </c>
      <c r="I773" s="10">
        <f>IFERROR(__xludf.DUMMYFUNCTION("""COMPUTED_VALUE"""),43617.0)</f>
        <v>43617</v>
      </c>
      <c r="J773" s="10">
        <f>IFERROR(__xludf.DUMMYFUNCTION("""COMPUTED_VALUE"""),44713.0)</f>
        <v>44713</v>
      </c>
      <c r="K773" s="11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9" t="str">
        <f>IFERROR(__xludf.DUMMYFUNCTION("""COMPUTED_VALUE"""),"Suarez")</f>
        <v>Suarez</v>
      </c>
      <c r="B774" s="8" t="str">
        <f>IFERROR(__xludf.DUMMYFUNCTION("""COMPUTED_VALUE"""),"Arturo")</f>
        <v>Arturo</v>
      </c>
      <c r="C774" s="8" t="str">
        <f>IFERROR(__xludf.DUMMYFUNCTION("""COMPUTED_VALUE"""),"Kingsville")</f>
        <v>Kingsville</v>
      </c>
      <c r="D774" s="8" t="str">
        <f>IFERROR(__xludf.DUMMYFUNCTION("""COMPUTED_VALUE"""),"TX")</f>
        <v>TX</v>
      </c>
      <c r="E774" s="8" t="str">
        <f>IFERROR(__xludf.DUMMYFUNCTION("""COMPUTED_VALUE"""),"USA")</f>
        <v>USA</v>
      </c>
      <c r="F774" s="8" t="str">
        <f>IFERROR(__xludf.DUMMYFUNCTION("""COMPUTED_VALUE"""),"Pro/Am Cricket")</f>
        <v>Pro/Am Cricket</v>
      </c>
      <c r="G774" s="8" t="str">
        <f>IFERROR(__xludf.DUMMYFUNCTION("""COMPUTED_VALUE"""),"1st")</f>
        <v>1st</v>
      </c>
      <c r="H774" s="8" t="str">
        <f>IFERROR(__xludf.DUMMYFUNCTION("""COMPUTED_VALUE"""),"TX Regional 33")</f>
        <v>TX Regional 33</v>
      </c>
      <c r="I774" s="10">
        <f>IFERROR(__xludf.DUMMYFUNCTION("""COMPUTED_VALUE"""),43252.0)</f>
        <v>43252</v>
      </c>
      <c r="J774" s="10">
        <f>IFERROR(__xludf.DUMMYFUNCTION("""COMPUTED_VALUE"""),44348.0)</f>
        <v>44348</v>
      </c>
      <c r="K774" s="11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9" t="str">
        <f>IFERROR(__xludf.DUMMYFUNCTION("""COMPUTED_VALUE"""),"Sullivan")</f>
        <v>Sullivan</v>
      </c>
      <c r="B775" s="8" t="str">
        <f>IFERROR(__xludf.DUMMYFUNCTION("""COMPUTED_VALUE"""),"Jimmy")</f>
        <v>Jimmy</v>
      </c>
      <c r="C775" s="8" t="str">
        <f>IFERROR(__xludf.DUMMYFUNCTION("""COMPUTED_VALUE"""),"Clermont")</f>
        <v>Clermont</v>
      </c>
      <c r="D775" s="8" t="str">
        <f>IFERROR(__xludf.DUMMYFUNCTION("""COMPUTED_VALUE"""),"FL")</f>
        <v>FL</v>
      </c>
      <c r="E775" s="8" t="str">
        <f>IFERROR(__xludf.DUMMYFUNCTION("""COMPUTED_VALUE"""),"USA")</f>
        <v>USA</v>
      </c>
      <c r="F775" s="8" t="str">
        <f>IFERROR(__xludf.DUMMYFUNCTION("""COMPUTED_VALUE"""),"Pro Doubles")</f>
        <v>Pro Doubles</v>
      </c>
      <c r="G775" s="8" t="str">
        <f>IFERROR(__xludf.DUMMYFUNCTION("""COMPUTED_VALUE"""),"1st")</f>
        <v>1st</v>
      </c>
      <c r="H775" s="8" t="str">
        <f>IFERROR(__xludf.DUMMYFUNCTION("""COMPUTED_VALUE"""),"FL Regional 33")</f>
        <v>FL Regional 33</v>
      </c>
      <c r="I775" s="10">
        <f>IFERROR(__xludf.DUMMYFUNCTION("""COMPUTED_VALUE"""),43252.0)</f>
        <v>43252</v>
      </c>
      <c r="J775" s="10">
        <f>IFERROR(__xludf.DUMMYFUNCTION("""COMPUTED_VALUE"""),44348.0)</f>
        <v>44348</v>
      </c>
      <c r="K775" s="11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9" t="str">
        <f>IFERROR(__xludf.DUMMYFUNCTION("""COMPUTED_VALUE"""),"Summers")</f>
        <v>Summers</v>
      </c>
      <c r="B776" s="8" t="str">
        <f>IFERROR(__xludf.DUMMYFUNCTION("""COMPUTED_VALUE"""),"Mark")</f>
        <v>Mark</v>
      </c>
      <c r="C776" s="8" t="str">
        <f>IFERROR(__xludf.DUMMYFUNCTION("""COMPUTED_VALUE"""),"Colliers")</f>
        <v>Colliers</v>
      </c>
      <c r="D776" s="8" t="str">
        <f>IFERROR(__xludf.DUMMYFUNCTION("""COMPUTED_VALUE"""),"WV")</f>
        <v>WV</v>
      </c>
      <c r="E776" s="8" t="str">
        <f>IFERROR(__xludf.DUMMYFUNCTION("""COMPUTED_VALUE"""),"USA")</f>
        <v>USA</v>
      </c>
      <c r="F776" s="8" t="str">
        <f>IFERROR(__xludf.DUMMYFUNCTION("""COMPUTED_VALUE"""),"Men Doubles Cricket")</f>
        <v>Men Doubles Cricket</v>
      </c>
      <c r="G776" s="8" t="str">
        <f>IFERROR(__xludf.DUMMYFUNCTION("""COMPUTED_VALUE"""),"3rd")</f>
        <v>3rd</v>
      </c>
      <c r="H776" s="8" t="str">
        <f>IFERROR(__xludf.DUMMYFUNCTION("""COMPUTED_VALUE"""),"Ohio BS 34")</f>
        <v>Ohio BS 34</v>
      </c>
      <c r="I776" s="10">
        <f>IFERROR(__xludf.DUMMYFUNCTION("""COMPUTED_VALUE"""),43617.0)</f>
        <v>43617</v>
      </c>
      <c r="J776" s="10">
        <f>IFERROR(__xludf.DUMMYFUNCTION("""COMPUTED_VALUE"""),44713.0)</f>
        <v>44713</v>
      </c>
      <c r="K776" s="11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12" t="str">
        <f>IFERROR(__xludf.DUMMYFUNCTION("""COMPUTED_VALUE"""),"Suzuki")</f>
        <v>Suzuki</v>
      </c>
      <c r="B777" s="13" t="str">
        <f>IFERROR(__xludf.DUMMYFUNCTION("""COMPUTED_VALUE"""),"Kentaro")</f>
        <v>Kentaro</v>
      </c>
      <c r="C777" s="13" t="str">
        <f>IFERROR(__xludf.DUMMYFUNCTION("""COMPUTED_VALUE"""),"")</f>
        <v/>
      </c>
      <c r="D777" s="13" t="str">
        <f>IFERROR(__xludf.DUMMYFUNCTION("""COMPUTED_VALUE"""),"UNK")</f>
        <v>UNK</v>
      </c>
      <c r="E777" s="13" t="str">
        <f>IFERROR(__xludf.DUMMYFUNCTION("""COMPUTED_VALUE"""),"Japan")</f>
        <v>Japan</v>
      </c>
      <c r="F777" s="13" t="str">
        <f>IFERROR(__xludf.DUMMYFUNCTION("""COMPUTED_VALUE"""),"DL")</f>
        <v>DL</v>
      </c>
      <c r="G777" s="13" t="str">
        <f>IFERROR(__xludf.DUMMYFUNCTION("""COMPUTED_VALUE"""),"19th")</f>
        <v>19th</v>
      </c>
      <c r="H777" s="13" t="str">
        <f>IFERROR(__xludf.DUMMYFUNCTION("""COMPUTED_VALUE"""),"DL")</f>
        <v>DL</v>
      </c>
      <c r="I777" s="14">
        <f>IFERROR(__xludf.DUMMYFUNCTION("""COMPUTED_VALUE"""),42401.0)</f>
        <v>42401</v>
      </c>
      <c r="J777" s="14">
        <f>IFERROR(__xludf.DUMMYFUNCTION("""COMPUTED_VALUE"""),44713.0)</f>
        <v>44713</v>
      </c>
      <c r="K777" s="11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9" t="str">
        <f>IFERROR(__xludf.DUMMYFUNCTION("""COMPUTED_VALUE"""),"Swain")</f>
        <v>Swain</v>
      </c>
      <c r="B778" s="8" t="str">
        <f>IFERROR(__xludf.DUMMYFUNCTION("""COMPUTED_VALUE"""),"Robert")</f>
        <v>Robert</v>
      </c>
      <c r="C778" s="8" t="str">
        <f>IFERROR(__xludf.DUMMYFUNCTION("""COMPUTED_VALUE"""),"Clarksville")</f>
        <v>Clarksville</v>
      </c>
      <c r="D778" s="8" t="str">
        <f>IFERROR(__xludf.DUMMYFUNCTION("""COMPUTED_VALUE"""),"TN")</f>
        <v>TN</v>
      </c>
      <c r="E778" s="8" t="str">
        <f>IFERROR(__xludf.DUMMYFUNCTION("""COMPUTED_VALUE"""),"USA")</f>
        <v>USA</v>
      </c>
      <c r="F778" s="8" t="str">
        <f>IFERROR(__xludf.DUMMYFUNCTION("""COMPUTED_VALUE"""),"Mens Cricket Doubles")</f>
        <v>Mens Cricket Doubles</v>
      </c>
      <c r="G778" s="8" t="str">
        <f>IFERROR(__xludf.DUMMYFUNCTION("""COMPUTED_VALUE"""),"3rd")</f>
        <v>3rd</v>
      </c>
      <c r="H778" s="8" t="str">
        <f>IFERROR(__xludf.DUMMYFUNCTION("""COMPUTED_VALUE"""),"TN Regional 33")</f>
        <v>TN Regional 33</v>
      </c>
      <c r="I778" s="10">
        <f>IFERROR(__xludf.DUMMYFUNCTION("""COMPUTED_VALUE"""),43252.0)</f>
        <v>43252</v>
      </c>
      <c r="J778" s="10">
        <f>IFERROR(__xludf.DUMMYFUNCTION("""COMPUTED_VALUE"""),44348.0)</f>
        <v>44348</v>
      </c>
      <c r="K778" s="11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9" t="str">
        <f>IFERROR(__xludf.DUMMYFUNCTION("""COMPUTED_VALUE"""),"Swanson")</f>
        <v>Swanson</v>
      </c>
      <c r="B779" s="8" t="str">
        <f>IFERROR(__xludf.DUMMYFUNCTION("""COMPUTED_VALUE"""),"Kenneth")</f>
        <v>Kenneth</v>
      </c>
      <c r="C779" s="8" t="str">
        <f>IFERROR(__xludf.DUMMYFUNCTION("""COMPUTED_VALUE"""),"Norman")</f>
        <v>Norman</v>
      </c>
      <c r="D779" s="8" t="str">
        <f>IFERROR(__xludf.DUMMYFUNCTION("""COMPUTED_VALUE"""),"OK")</f>
        <v>OK</v>
      </c>
      <c r="E779" s="8" t="str">
        <f>IFERROR(__xludf.DUMMYFUNCTION("""COMPUTED_VALUE"""),"USA")</f>
        <v>USA</v>
      </c>
      <c r="F779" s="8" t="str">
        <f>IFERROR(__xludf.DUMMYFUNCTION("""COMPUTED_VALUE"""),"Mixed Triples 701")</f>
        <v>Mixed Triples 701</v>
      </c>
      <c r="G779" s="8" t="str">
        <f>IFERROR(__xludf.DUMMYFUNCTION("""COMPUTED_VALUE"""),"1st")</f>
        <v>1st</v>
      </c>
      <c r="H779" s="8" t="str">
        <f>IFERROR(__xludf.DUMMYFUNCTION("""COMPUTED_VALUE"""),"Texas BS 34")</f>
        <v>Texas BS 34</v>
      </c>
      <c r="I779" s="10">
        <f>IFERROR(__xludf.DUMMYFUNCTION("""COMPUTED_VALUE"""),43617.0)</f>
        <v>43617</v>
      </c>
      <c r="J779" s="10">
        <f>IFERROR(__xludf.DUMMYFUNCTION("""COMPUTED_VALUE"""),44713.0)</f>
        <v>44713</v>
      </c>
      <c r="K779" s="11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9" t="str">
        <f>IFERROR(__xludf.DUMMYFUNCTION("""COMPUTED_VALUE"""),"Swinson")</f>
        <v>Swinson</v>
      </c>
      <c r="B780" s="8" t="str">
        <f>IFERROR(__xludf.DUMMYFUNCTION("""COMPUTED_VALUE"""),"Gregory")</f>
        <v>Gregory</v>
      </c>
      <c r="C780" s="8" t="str">
        <f>IFERROR(__xludf.DUMMYFUNCTION("""COMPUTED_VALUE"""),"Huntsville")</f>
        <v>Huntsville</v>
      </c>
      <c r="D780" s="8" t="str">
        <f>IFERROR(__xludf.DUMMYFUNCTION("""COMPUTED_VALUE"""),"AL")</f>
        <v>AL</v>
      </c>
      <c r="E780" s="8" t="str">
        <f>IFERROR(__xludf.DUMMYFUNCTION("""COMPUTED_VALUE"""),"USA")</f>
        <v>USA</v>
      </c>
      <c r="F780" s="8" t="str">
        <f>IFERROR(__xludf.DUMMYFUNCTION("""COMPUTED_VALUE"""),"Mens Doubles")</f>
        <v>Mens Doubles</v>
      </c>
      <c r="G780" s="8" t="str">
        <f>IFERROR(__xludf.DUMMYFUNCTION("""COMPUTED_VALUE"""),"2nd")</f>
        <v>2nd</v>
      </c>
      <c r="H780" s="8" t="str">
        <f>IFERROR(__xludf.DUMMYFUNCTION("""COMPUTED_VALUE"""),"TN Regional 33")</f>
        <v>TN Regional 33</v>
      </c>
      <c r="I780" s="10">
        <f>IFERROR(__xludf.DUMMYFUNCTION("""COMPUTED_VALUE"""),43252.0)</f>
        <v>43252</v>
      </c>
      <c r="J780" s="10">
        <f>IFERROR(__xludf.DUMMYFUNCTION("""COMPUTED_VALUE"""),44348.0)</f>
        <v>44348</v>
      </c>
      <c r="K780" s="11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9" t="str">
        <f>IFERROR(__xludf.DUMMYFUNCTION("""COMPUTED_VALUE"""),"Switzer")</f>
        <v>Switzer</v>
      </c>
      <c r="B781" s="8" t="str">
        <f>IFERROR(__xludf.DUMMYFUNCTION("""COMPUTED_VALUE"""),"Dave")</f>
        <v>Dave</v>
      </c>
      <c r="C781" s="8" t="str">
        <f>IFERROR(__xludf.DUMMYFUNCTION("""COMPUTED_VALUE"""),"")</f>
        <v/>
      </c>
      <c r="D781" s="8" t="str">
        <f>IFERROR(__xludf.DUMMYFUNCTION("""COMPUTED_VALUE"""),"UNK")</f>
        <v>UNK</v>
      </c>
      <c r="E781" s="8" t="str">
        <f>IFERROR(__xludf.DUMMYFUNCTION("""COMPUTED_VALUE"""),"Canada")</f>
        <v>Canada</v>
      </c>
      <c r="F781" s="8" t="str">
        <f>IFERROR(__xludf.DUMMYFUNCTION("""COMPUTED_VALUE"""),"Mens Doubles")</f>
        <v>Mens Doubles</v>
      </c>
      <c r="G781" s="8" t="str">
        <f>IFERROR(__xludf.DUMMYFUNCTION("""COMPUTED_VALUE"""),"2nd")</f>
        <v>2nd</v>
      </c>
      <c r="H781" s="8" t="str">
        <f>IFERROR(__xludf.DUMMYFUNCTION("""COMPUTED_VALUE"""),"BullShooter 32")</f>
        <v>BullShooter 32</v>
      </c>
      <c r="I781" s="10">
        <f>IFERROR(__xludf.DUMMYFUNCTION("""COMPUTED_VALUE"""),42887.0)</f>
        <v>42887</v>
      </c>
      <c r="J781" s="10">
        <f>IFERROR(__xludf.DUMMYFUNCTION("""COMPUTED_VALUE"""),43983.0)</f>
        <v>43983</v>
      </c>
      <c r="K781" s="11"/>
      <c r="L781" s="16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9" t="str">
        <f>IFERROR(__xludf.DUMMYFUNCTION("""COMPUTED_VALUE"""),"Sylvan")</f>
        <v>Sylvan</v>
      </c>
      <c r="B782" s="8" t="str">
        <f>IFERROR(__xludf.DUMMYFUNCTION("""COMPUTED_VALUE"""),"Chad")</f>
        <v>Chad</v>
      </c>
      <c r="C782" s="8" t="str">
        <f>IFERROR(__xludf.DUMMYFUNCTION("""COMPUTED_VALUE"""),"Oklahoma City")</f>
        <v>Oklahoma City</v>
      </c>
      <c r="D782" s="8" t="str">
        <f>IFERROR(__xludf.DUMMYFUNCTION("""COMPUTED_VALUE"""),"OK")</f>
        <v>OK</v>
      </c>
      <c r="E782" s="8" t="str">
        <f>IFERROR(__xludf.DUMMYFUNCTION("""COMPUTED_VALUE"""),"USA")</f>
        <v>USA</v>
      </c>
      <c r="F782" s="8" t="str">
        <f>IFERROR(__xludf.DUMMYFUNCTION("""COMPUTED_VALUE"""),"Known Pro")</f>
        <v>Known Pro</v>
      </c>
      <c r="G782" s="8" t="str">
        <f>IFERROR(__xludf.DUMMYFUNCTION("""COMPUTED_VALUE"""),"")</f>
        <v/>
      </c>
      <c r="H782" s="8" t="str">
        <f>IFERROR(__xludf.DUMMYFUNCTION("""COMPUTED_VALUE"""),"Known Ability")</f>
        <v>Known Ability</v>
      </c>
      <c r="I782" s="10">
        <f>IFERROR(__xludf.DUMMYFUNCTION("""COMPUTED_VALUE"""),36892.0)</f>
        <v>36892</v>
      </c>
      <c r="J782" s="10">
        <f>IFERROR(__xludf.DUMMYFUNCTION("""COMPUTED_VALUE"""),45809.0)</f>
        <v>45809</v>
      </c>
      <c r="K782" s="11"/>
      <c r="L782" s="16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9" t="str">
        <f>IFERROR(__xludf.DUMMYFUNCTION("""COMPUTED_VALUE"""),"Szudnik")</f>
        <v>Szudnik</v>
      </c>
      <c r="B783" s="8" t="str">
        <f>IFERROR(__xludf.DUMMYFUNCTION("""COMPUTED_VALUE"""),"Joe")</f>
        <v>Joe</v>
      </c>
      <c r="C783" s="8" t="str">
        <f>IFERROR(__xludf.DUMMYFUNCTION("""COMPUTED_VALUE"""),"Cheektowaga")</f>
        <v>Cheektowaga</v>
      </c>
      <c r="D783" s="8" t="str">
        <f>IFERROR(__xludf.DUMMYFUNCTION("""COMPUTED_VALUE"""),"NY")</f>
        <v>NY</v>
      </c>
      <c r="E783" s="8" t="str">
        <f>IFERROR(__xludf.DUMMYFUNCTION("""COMPUTED_VALUE"""),"USA")</f>
        <v>USA</v>
      </c>
      <c r="F783" s="8" t="str">
        <f>IFERROR(__xludf.DUMMYFUNCTION("""COMPUTED_VALUE"""),"Mens Cricket Doubles")</f>
        <v>Mens Cricket Doubles</v>
      </c>
      <c r="G783" s="8" t="str">
        <f>IFERROR(__xludf.DUMMYFUNCTION("""COMPUTED_VALUE"""),"3rd")</f>
        <v>3rd</v>
      </c>
      <c r="H783" s="8" t="str">
        <f>IFERROR(__xludf.DUMMYFUNCTION("""COMPUTED_VALUE"""),"3rd")</f>
        <v>3rd</v>
      </c>
      <c r="I783" s="10">
        <f>IFERROR(__xludf.DUMMYFUNCTION("""COMPUTED_VALUE"""),42887.0)</f>
        <v>42887</v>
      </c>
      <c r="J783" s="10">
        <f>IFERROR(__xludf.DUMMYFUNCTION("""COMPUTED_VALUE"""),43983.0)</f>
        <v>43983</v>
      </c>
      <c r="K783" s="11"/>
      <c r="L783" s="16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9" t="str">
        <f>IFERROR(__xludf.DUMMYFUNCTION("""COMPUTED_VALUE"""),"Tac Hyun")</f>
        <v>Tac Hyun</v>
      </c>
      <c r="B784" s="8" t="str">
        <f>IFERROR(__xludf.DUMMYFUNCTION("""COMPUTED_VALUE"""),"Kim")</f>
        <v>Kim</v>
      </c>
      <c r="C784" s="8" t="str">
        <f>IFERROR(__xludf.DUMMYFUNCTION("""COMPUTED_VALUE"""),"")</f>
        <v/>
      </c>
      <c r="D784" s="8" t="str">
        <f>IFERROR(__xludf.DUMMYFUNCTION("""COMPUTED_VALUE"""),"UNK")</f>
        <v>UNK</v>
      </c>
      <c r="E784" s="8" t="str">
        <f>IFERROR(__xludf.DUMMYFUNCTION("""COMPUTED_VALUE"""),"Korea")</f>
        <v>Korea</v>
      </c>
      <c r="F784" s="8" t="str">
        <f>IFERROR(__xludf.DUMMYFUNCTION("""COMPUTED_VALUE"""),"DL")</f>
        <v>DL</v>
      </c>
      <c r="G784" s="8" t="str">
        <f>IFERROR(__xludf.DUMMYFUNCTION("""COMPUTED_VALUE"""),"68th")</f>
        <v>68th</v>
      </c>
      <c r="H784" s="8" t="str">
        <f>IFERROR(__xludf.DUMMYFUNCTION("""COMPUTED_VALUE"""),"DL")</f>
        <v>DL</v>
      </c>
      <c r="I784" s="10">
        <f>IFERROR(__xludf.DUMMYFUNCTION("""COMPUTED_VALUE"""),42401.0)</f>
        <v>42401</v>
      </c>
      <c r="J784" s="10">
        <f>IFERROR(__xludf.DUMMYFUNCTION("""COMPUTED_VALUE"""),44713.0)</f>
        <v>44713</v>
      </c>
      <c r="K784" s="11"/>
      <c r="L784" s="16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9" t="str">
        <f>IFERROR(__xludf.DUMMYFUNCTION("""COMPUTED_VALUE"""),"Tae")</f>
        <v>Tae</v>
      </c>
      <c r="B785" s="8" t="str">
        <f>IFERROR(__xludf.DUMMYFUNCTION("""COMPUTED_VALUE"""),"Oh Young")</f>
        <v>Oh Young</v>
      </c>
      <c r="C785" s="8" t="str">
        <f>IFERROR(__xludf.DUMMYFUNCTION("""COMPUTED_VALUE"""),"")</f>
        <v/>
      </c>
      <c r="D785" s="8" t="str">
        <f>IFERROR(__xludf.DUMMYFUNCTION("""COMPUTED_VALUE"""),"UNK")</f>
        <v>UNK</v>
      </c>
      <c r="E785" s="8" t="str">
        <f>IFERROR(__xludf.DUMMYFUNCTION("""COMPUTED_VALUE"""),"Korea")</f>
        <v>Korea</v>
      </c>
      <c r="F785" s="8" t="str">
        <f>IFERROR(__xludf.DUMMYFUNCTION("""COMPUTED_VALUE"""),"DL")</f>
        <v>DL</v>
      </c>
      <c r="G785" s="8" t="str">
        <f>IFERROR(__xludf.DUMMYFUNCTION("""COMPUTED_VALUE"""),"68th")</f>
        <v>68th</v>
      </c>
      <c r="H785" s="8" t="str">
        <f>IFERROR(__xludf.DUMMYFUNCTION("""COMPUTED_VALUE"""),"DL")</f>
        <v>DL</v>
      </c>
      <c r="I785" s="10">
        <f>IFERROR(__xludf.DUMMYFUNCTION("""COMPUTED_VALUE"""),42401.0)</f>
        <v>42401</v>
      </c>
      <c r="J785" s="10">
        <f>IFERROR(__xludf.DUMMYFUNCTION("""COMPUTED_VALUE"""),44713.0)</f>
        <v>44713</v>
      </c>
      <c r="K785" s="11"/>
      <c r="L785" s="16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9" t="str">
        <f>IFERROR(__xludf.DUMMYFUNCTION("""COMPUTED_VALUE"""),"Tager")</f>
        <v>Tager</v>
      </c>
      <c r="B786" s="8" t="str">
        <f>IFERROR(__xludf.DUMMYFUNCTION("""COMPUTED_VALUE"""),"Jeff")</f>
        <v>Jeff</v>
      </c>
      <c r="C786" s="8" t="str">
        <f>IFERROR(__xludf.DUMMYFUNCTION("""COMPUTED_VALUE"""),"Gaston")</f>
        <v>Gaston</v>
      </c>
      <c r="D786" s="8" t="str">
        <f>IFERROR(__xludf.DUMMYFUNCTION("""COMPUTED_VALUE"""),"SC")</f>
        <v>SC</v>
      </c>
      <c r="E786" s="8" t="str">
        <f>IFERROR(__xludf.DUMMYFUNCTION("""COMPUTED_VALUE"""),"USA")</f>
        <v>USA</v>
      </c>
      <c r="F786" s="8" t="str">
        <f>IFERROR(__xludf.DUMMYFUNCTION("""COMPUTED_VALUE"""),"Mens Doubles")</f>
        <v>Mens Doubles</v>
      </c>
      <c r="G786" s="8" t="str">
        <f>IFERROR(__xludf.DUMMYFUNCTION("""COMPUTED_VALUE"""),"1st")</f>
        <v>1st</v>
      </c>
      <c r="H786" s="8" t="str">
        <f>IFERROR(__xludf.DUMMYFUNCTION("""COMPUTED_VALUE"""),"SC Regional 33")</f>
        <v>SC Regional 33</v>
      </c>
      <c r="I786" s="10">
        <f>IFERROR(__xludf.DUMMYFUNCTION("""COMPUTED_VALUE"""),43252.0)</f>
        <v>43252</v>
      </c>
      <c r="J786" s="10">
        <f>IFERROR(__xludf.DUMMYFUNCTION("""COMPUTED_VALUE"""),44348.0)</f>
        <v>44348</v>
      </c>
      <c r="K786" s="11"/>
      <c r="L786" s="16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9" t="str">
        <f>IFERROR(__xludf.DUMMYFUNCTION("""COMPUTED_VALUE"""),"Tarter")</f>
        <v>Tarter</v>
      </c>
      <c r="B787" s="8" t="str">
        <f>IFERROR(__xludf.DUMMYFUNCTION("""COMPUTED_VALUE"""),"Kenvin")</f>
        <v>Kenvin</v>
      </c>
      <c r="C787" s="8" t="str">
        <f>IFERROR(__xludf.DUMMYFUNCTION("""COMPUTED_VALUE"""),"Forest")</f>
        <v>Forest</v>
      </c>
      <c r="D787" s="8" t="str">
        <f>IFERROR(__xludf.DUMMYFUNCTION("""COMPUTED_VALUE"""),"IL")</f>
        <v>IL</v>
      </c>
      <c r="E787" s="8" t="str">
        <f>IFERROR(__xludf.DUMMYFUNCTION("""COMPUTED_VALUE"""),"USA")</f>
        <v>USA</v>
      </c>
      <c r="F787" s="8" t="str">
        <f>IFERROR(__xludf.DUMMYFUNCTION("""COMPUTED_VALUE"""),"Men Singles Cricket")</f>
        <v>Men Singles Cricket</v>
      </c>
      <c r="G787" s="8" t="str">
        <f>IFERROR(__xludf.DUMMYFUNCTION("""COMPUTED_VALUE"""),"3rd")</f>
        <v>3rd</v>
      </c>
      <c r="H787" s="8" t="str">
        <f>IFERROR(__xludf.DUMMYFUNCTION("""COMPUTED_VALUE"""),"Nebraska BS 34")</f>
        <v>Nebraska BS 34</v>
      </c>
      <c r="I787" s="10">
        <f>IFERROR(__xludf.DUMMYFUNCTION("""COMPUTED_VALUE"""),43617.0)</f>
        <v>43617</v>
      </c>
      <c r="J787" s="10">
        <f>IFERROR(__xludf.DUMMYFUNCTION("""COMPUTED_VALUE"""),44713.0)</f>
        <v>44713</v>
      </c>
      <c r="K787" s="11"/>
      <c r="L787" s="16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9" t="str">
        <f>IFERROR(__xludf.DUMMYFUNCTION("""COMPUTED_VALUE"""),"Tarter")</f>
        <v>Tarter</v>
      </c>
      <c r="B788" s="8" t="str">
        <f>IFERROR(__xludf.DUMMYFUNCTION("""COMPUTED_VALUE"""),"Mitchell")</f>
        <v>Mitchell</v>
      </c>
      <c r="C788" s="8" t="str">
        <f>IFERROR(__xludf.DUMMYFUNCTION("""COMPUTED_VALUE"""),"Cincinatti")</f>
        <v>Cincinatti</v>
      </c>
      <c r="D788" s="8" t="str">
        <f>IFERROR(__xludf.DUMMYFUNCTION("""COMPUTED_VALUE"""),"OH")</f>
        <v>OH</v>
      </c>
      <c r="E788" s="8" t="str">
        <f>IFERROR(__xludf.DUMMYFUNCTION("""COMPUTED_VALUE"""),"USA")</f>
        <v>USA</v>
      </c>
      <c r="F788" s="8" t="str">
        <f>IFERROR(__xludf.DUMMYFUNCTION("""COMPUTED_VALUE"""),"Men Doubles Cricket")</f>
        <v>Men Doubles Cricket</v>
      </c>
      <c r="G788" s="8" t="str">
        <f>IFERROR(__xludf.DUMMYFUNCTION("""COMPUTED_VALUE"""),"2nd")</f>
        <v>2nd</v>
      </c>
      <c r="H788" s="8" t="str">
        <f>IFERROR(__xludf.DUMMYFUNCTION("""COMPUTED_VALUE"""),"Indiana BS 34")</f>
        <v>Indiana BS 34</v>
      </c>
      <c r="I788" s="10">
        <f>IFERROR(__xludf.DUMMYFUNCTION("""COMPUTED_VALUE"""),43617.0)</f>
        <v>43617</v>
      </c>
      <c r="J788" s="10">
        <f>IFERROR(__xludf.DUMMYFUNCTION("""COMPUTED_VALUE"""),44713.0)</f>
        <v>44713</v>
      </c>
      <c r="K788" s="11"/>
      <c r="L788" s="16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9" t="str">
        <f>IFERROR(__xludf.DUMMYFUNCTION("""COMPUTED_VALUE"""),"Taylor")</f>
        <v>Taylor</v>
      </c>
      <c r="B789" s="8" t="str">
        <f>IFERROR(__xludf.DUMMYFUNCTION("""COMPUTED_VALUE"""),"Ronald")</f>
        <v>Ronald</v>
      </c>
      <c r="C789" s="8" t="str">
        <f>IFERROR(__xludf.DUMMYFUNCTION("""COMPUTED_VALUE"""),"Omaha")</f>
        <v>Omaha</v>
      </c>
      <c r="D789" s="8" t="str">
        <f>IFERROR(__xludf.DUMMYFUNCTION("""COMPUTED_VALUE"""),"NE")</f>
        <v>NE</v>
      </c>
      <c r="E789" s="8" t="str">
        <f>IFERROR(__xludf.DUMMYFUNCTION("""COMPUTED_VALUE"""),"USA")</f>
        <v>USA</v>
      </c>
      <c r="F789" s="8" t="str">
        <f>IFERROR(__xludf.DUMMYFUNCTION("""COMPUTED_VALUE"""),"Men Doubles 501")</f>
        <v>Men Doubles 501</v>
      </c>
      <c r="G789" s="8" t="str">
        <f>IFERROR(__xludf.DUMMYFUNCTION("""COMPUTED_VALUE"""),"3rd")</f>
        <v>3rd</v>
      </c>
      <c r="H789" s="8" t="str">
        <f>IFERROR(__xludf.DUMMYFUNCTION("""COMPUTED_VALUE"""),"Nebraska BS 34")</f>
        <v>Nebraska BS 34</v>
      </c>
      <c r="I789" s="10">
        <f>IFERROR(__xludf.DUMMYFUNCTION("""COMPUTED_VALUE"""),43617.0)</f>
        <v>43617</v>
      </c>
      <c r="J789" s="10">
        <f>IFERROR(__xludf.DUMMYFUNCTION("""COMPUTED_VALUE"""),44713.0)</f>
        <v>44713</v>
      </c>
      <c r="K789" s="11"/>
      <c r="L789" s="16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12" t="str">
        <f>IFERROR(__xludf.DUMMYFUNCTION("""COMPUTED_VALUE"""),"Taylor")</f>
        <v>Taylor</v>
      </c>
      <c r="B790" s="13" t="str">
        <f>IFERROR(__xludf.DUMMYFUNCTION("""COMPUTED_VALUE"""),"Shawn")</f>
        <v>Shawn</v>
      </c>
      <c r="C790" s="13" t="str">
        <f>IFERROR(__xludf.DUMMYFUNCTION("""COMPUTED_VALUE"""),"Sycamore")</f>
        <v>Sycamore</v>
      </c>
      <c r="D790" s="13" t="str">
        <f>IFERROR(__xludf.DUMMYFUNCTION("""COMPUTED_VALUE"""),"IL")</f>
        <v>IL</v>
      </c>
      <c r="E790" s="13" t="str">
        <f>IFERROR(__xludf.DUMMYFUNCTION("""COMPUTED_VALUE"""),"USA")</f>
        <v>USA</v>
      </c>
      <c r="F790" s="13" t="str">
        <f>IFERROR(__xludf.DUMMYFUNCTION("""COMPUTED_VALUE"""),"Mens Doubles")</f>
        <v>Mens Doubles</v>
      </c>
      <c r="G790" s="13" t="str">
        <f>IFERROR(__xludf.DUMMYFUNCTION("""COMPUTED_VALUE"""),"1st")</f>
        <v>1st</v>
      </c>
      <c r="H790" s="13" t="str">
        <f>IFERROR(__xludf.DUMMYFUNCTION("""COMPUTED_VALUE"""),"WI Regional 32")</f>
        <v>WI Regional 32</v>
      </c>
      <c r="I790" s="14">
        <f>IFERROR(__xludf.DUMMYFUNCTION("""COMPUTED_VALUE"""),42887.0)</f>
        <v>42887</v>
      </c>
      <c r="J790" s="14">
        <f>IFERROR(__xludf.DUMMYFUNCTION("""COMPUTED_VALUE"""),43983.0)</f>
        <v>43983</v>
      </c>
      <c r="K790" s="11"/>
      <c r="L790" s="16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9" t="str">
        <f>IFERROR(__xludf.DUMMYFUNCTION("""COMPUTED_VALUE"""),"Tegel")</f>
        <v>Tegel</v>
      </c>
      <c r="B791" s="8" t="str">
        <f>IFERROR(__xludf.DUMMYFUNCTION("""COMPUTED_VALUE"""),"Tim")</f>
        <v>Tim</v>
      </c>
      <c r="C791" s="8" t="str">
        <f>IFERROR(__xludf.DUMMYFUNCTION("""COMPUTED_VALUE"""),"Kenosha")</f>
        <v>Kenosha</v>
      </c>
      <c r="D791" s="8" t="str">
        <f>IFERROR(__xludf.DUMMYFUNCTION("""COMPUTED_VALUE"""),"WI")</f>
        <v>WI</v>
      </c>
      <c r="E791" s="8" t="str">
        <f>IFERROR(__xludf.DUMMYFUNCTION("""COMPUTED_VALUE"""),"USA")</f>
        <v>USA</v>
      </c>
      <c r="F791" s="8" t="str">
        <f>IFERROR(__xludf.DUMMYFUNCTION("""COMPUTED_VALUE"""),"Pro Doubles 501")</f>
        <v>Pro Doubles 501</v>
      </c>
      <c r="G791" s="8" t="str">
        <f>IFERROR(__xludf.DUMMYFUNCTION("""COMPUTED_VALUE"""),"3rd")</f>
        <v>3rd</v>
      </c>
      <c r="H791" s="8" t="str">
        <f>IFERROR(__xludf.DUMMYFUNCTION("""COMPUTED_VALUE"""),"Wisconsin BS 34")</f>
        <v>Wisconsin BS 34</v>
      </c>
      <c r="I791" s="10">
        <f>IFERROR(__xludf.DUMMYFUNCTION("""COMPUTED_VALUE"""),43617.0)</f>
        <v>43617</v>
      </c>
      <c r="J791" s="10">
        <f>IFERROR(__xludf.DUMMYFUNCTION("""COMPUTED_VALUE"""),45809.0)</f>
        <v>45809</v>
      </c>
      <c r="K791" s="11"/>
      <c r="L791" s="16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9" t="str">
        <f>IFERROR(__xludf.DUMMYFUNCTION("""COMPUTED_VALUE"""),"Teodoro")</f>
        <v>Teodoro</v>
      </c>
      <c r="B792" s="8" t="str">
        <f>IFERROR(__xludf.DUMMYFUNCTION("""COMPUTED_VALUE"""),"Rui")</f>
        <v>Rui</v>
      </c>
      <c r="C792" s="8" t="str">
        <f>IFERROR(__xludf.DUMMYFUNCTION("""COMPUTED_VALUE"""),"")</f>
        <v/>
      </c>
      <c r="D792" s="8" t="str">
        <f>IFERROR(__xludf.DUMMYFUNCTION("""COMPUTED_VALUE"""),"")</f>
        <v/>
      </c>
      <c r="E792" s="8" t="str">
        <f>IFERROR(__xludf.DUMMYFUNCTION("""COMPUTED_VALUE"""),"Portugal")</f>
        <v>Portugal</v>
      </c>
      <c r="F792" s="8" t="str">
        <f>IFERROR(__xludf.DUMMYFUNCTION("""COMPUTED_VALUE"""),"Pro Doubles")</f>
        <v>Pro Doubles</v>
      </c>
      <c r="G792" s="8" t="str">
        <f>IFERROR(__xludf.DUMMYFUNCTION("""COMPUTED_VALUE"""),"1st")</f>
        <v>1st</v>
      </c>
      <c r="H792" s="8" t="str">
        <f>IFERROR(__xludf.DUMMYFUNCTION("""COMPUTED_VALUE"""),"Off AA List")</f>
        <v>Off AA List</v>
      </c>
      <c r="I792" s="10">
        <f>IFERROR(__xludf.DUMMYFUNCTION("""COMPUTED_VALUE"""),42887.0)</f>
        <v>42887</v>
      </c>
      <c r="J792" s="10">
        <f>IFERROR(__xludf.DUMMYFUNCTION("""COMPUTED_VALUE"""),43983.0)</f>
        <v>43983</v>
      </c>
      <c r="K792" s="11"/>
      <c r="L792" s="16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9" t="str">
        <f>IFERROR(__xludf.DUMMYFUNCTION("""COMPUTED_VALUE"""),"Terronez")</f>
        <v>Terronez</v>
      </c>
      <c r="B793" s="8" t="str">
        <f>IFERROR(__xludf.DUMMYFUNCTION("""COMPUTED_VALUE"""),"Ray")</f>
        <v>Ray</v>
      </c>
      <c r="C793" s="8" t="str">
        <f>IFERROR(__xludf.DUMMYFUNCTION("""COMPUTED_VALUE"""),"East Moline")</f>
        <v>East Moline</v>
      </c>
      <c r="D793" s="8" t="str">
        <f>IFERROR(__xludf.DUMMYFUNCTION("""COMPUTED_VALUE"""),"IL")</f>
        <v>IL</v>
      </c>
      <c r="E793" s="8" t="str">
        <f>IFERROR(__xludf.DUMMYFUNCTION("""COMPUTED_VALUE"""),"USA")</f>
        <v>USA</v>
      </c>
      <c r="F793" s="8" t="str">
        <f>IFERROR(__xludf.DUMMYFUNCTION("""COMPUTED_VALUE"""),"Known Pro")</f>
        <v>Known Pro</v>
      </c>
      <c r="G793" s="8" t="str">
        <f>IFERROR(__xludf.DUMMYFUNCTION("""COMPUTED_VALUE"""),"")</f>
        <v/>
      </c>
      <c r="H793" s="8" t="str">
        <f>IFERROR(__xludf.DUMMYFUNCTION("""COMPUTED_VALUE"""),"Known Ability")</f>
        <v>Known Ability</v>
      </c>
      <c r="I793" s="10">
        <f>IFERROR(__xludf.DUMMYFUNCTION("""COMPUTED_VALUE"""),38061.0)</f>
        <v>38061</v>
      </c>
      <c r="J793" s="10">
        <f>IFERROR(__xludf.DUMMYFUNCTION("""COMPUTED_VALUE"""),45809.0)</f>
        <v>45809</v>
      </c>
      <c r="K793" s="11"/>
      <c r="L793" s="16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9" t="str">
        <f>IFERROR(__xludf.DUMMYFUNCTION("""COMPUTED_VALUE"""),"Thibert")</f>
        <v>Thibert</v>
      </c>
      <c r="B794" s="8" t="str">
        <f>IFERROR(__xludf.DUMMYFUNCTION("""COMPUTED_VALUE"""),"Patrick")</f>
        <v>Patrick</v>
      </c>
      <c r="C794" s="8" t="str">
        <f>IFERROR(__xludf.DUMMYFUNCTION("""COMPUTED_VALUE"""),"")</f>
        <v/>
      </c>
      <c r="D794" s="8" t="str">
        <f>IFERROR(__xludf.DUMMYFUNCTION("""COMPUTED_VALUE"""),"UNK")</f>
        <v>UNK</v>
      </c>
      <c r="E794" s="8" t="str">
        <f>IFERROR(__xludf.DUMMYFUNCTION("""COMPUTED_VALUE"""),"Belgium")</f>
        <v>Belgium</v>
      </c>
      <c r="F794" s="8" t="str">
        <f>IFERROR(__xludf.DUMMYFUNCTION("""COMPUTED_VALUE"""),"Known Pro")</f>
        <v>Known Pro</v>
      </c>
      <c r="G794" s="8" t="str">
        <f>IFERROR(__xludf.DUMMYFUNCTION("""COMPUTED_VALUE"""),"")</f>
        <v/>
      </c>
      <c r="H794" s="8" t="str">
        <f>IFERROR(__xludf.DUMMYFUNCTION("""COMPUTED_VALUE"""),"Known Ability")</f>
        <v>Known Ability</v>
      </c>
      <c r="I794" s="10">
        <f>IFERROR(__xludf.DUMMYFUNCTION("""COMPUTED_VALUE"""),36892.0)</f>
        <v>36892</v>
      </c>
      <c r="J794" s="10">
        <f>IFERROR(__xludf.DUMMYFUNCTION("""COMPUTED_VALUE"""),45809.0)</f>
        <v>45809</v>
      </c>
      <c r="K794" s="11"/>
      <c r="L794" s="16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9" t="str">
        <f>IFERROR(__xludf.DUMMYFUNCTION("""COMPUTED_VALUE"""),"Thomas")</f>
        <v>Thomas</v>
      </c>
      <c r="B795" s="8" t="str">
        <f>IFERROR(__xludf.DUMMYFUNCTION("""COMPUTED_VALUE"""),"Daniel")</f>
        <v>Daniel</v>
      </c>
      <c r="C795" s="8" t="str">
        <f>IFERROR(__xludf.DUMMYFUNCTION("""COMPUTED_VALUE"""),"Rome")</f>
        <v>Rome</v>
      </c>
      <c r="D795" s="8" t="str">
        <f>IFERROR(__xludf.DUMMYFUNCTION("""COMPUTED_VALUE"""),"NY")</f>
        <v>NY</v>
      </c>
      <c r="E795" s="8" t="str">
        <f>IFERROR(__xludf.DUMMYFUNCTION("""COMPUTED_VALUE"""),"USA")</f>
        <v>USA</v>
      </c>
      <c r="F795" s="8" t="str">
        <f>IFERROR(__xludf.DUMMYFUNCTION("""COMPUTED_VALUE"""),"Pro Cricket Singles")</f>
        <v>Pro Cricket Singles</v>
      </c>
      <c r="G795" s="8" t="str">
        <f>IFERROR(__xludf.DUMMYFUNCTION("""COMPUTED_VALUE"""),"1st")</f>
        <v>1st</v>
      </c>
      <c r="H795" s="8" t="str">
        <f>IFERROR(__xludf.DUMMYFUNCTION("""COMPUTED_VALUE"""),"NY Regional 32")</f>
        <v>NY Regional 32</v>
      </c>
      <c r="I795" s="10">
        <f>IFERROR(__xludf.DUMMYFUNCTION("""COMPUTED_VALUE"""),42887.0)</f>
        <v>42887</v>
      </c>
      <c r="J795" s="10">
        <f>IFERROR(__xludf.DUMMYFUNCTION("""COMPUTED_VALUE"""),43983.0)</f>
        <v>43983</v>
      </c>
      <c r="K795" s="11"/>
      <c r="L795" s="16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12" t="str">
        <f>IFERROR(__xludf.DUMMYFUNCTION("""COMPUTED_VALUE"""),"Thompson")</f>
        <v>Thompson</v>
      </c>
      <c r="B796" s="13" t="str">
        <f>IFERROR(__xludf.DUMMYFUNCTION("""COMPUTED_VALUE"""),"Ronald")</f>
        <v>Ronald</v>
      </c>
      <c r="C796" s="13" t="str">
        <f>IFERROR(__xludf.DUMMYFUNCTION("""COMPUTED_VALUE"""),"Indianapolis")</f>
        <v>Indianapolis</v>
      </c>
      <c r="D796" s="13" t="str">
        <f>IFERROR(__xludf.DUMMYFUNCTION("""COMPUTED_VALUE"""),"IN")</f>
        <v>IN</v>
      </c>
      <c r="E796" s="13" t="str">
        <f>IFERROR(__xludf.DUMMYFUNCTION("""COMPUTED_VALUE"""),"USA")</f>
        <v>USA</v>
      </c>
      <c r="F796" s="13" t="str">
        <f>IFERROR(__xludf.DUMMYFUNCTION("""COMPUTED_VALUE"""),"Men Doubles 501")</f>
        <v>Men Doubles 501</v>
      </c>
      <c r="G796" s="13" t="str">
        <f>IFERROR(__xludf.DUMMYFUNCTION("""COMPUTED_VALUE"""),"3rd")</f>
        <v>3rd</v>
      </c>
      <c r="H796" s="13" t="str">
        <f>IFERROR(__xludf.DUMMYFUNCTION("""COMPUTED_VALUE"""),"Indiana BS 34")</f>
        <v>Indiana BS 34</v>
      </c>
      <c r="I796" s="14">
        <f>IFERROR(__xludf.DUMMYFUNCTION("""COMPUTED_VALUE"""),43617.0)</f>
        <v>43617</v>
      </c>
      <c r="J796" s="14">
        <f>IFERROR(__xludf.DUMMYFUNCTION("""COMPUTED_VALUE"""),44713.0)</f>
        <v>44713</v>
      </c>
      <c r="K796" s="11"/>
      <c r="L796" s="16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9" t="str">
        <f>IFERROR(__xludf.DUMMYFUNCTION("""COMPUTED_VALUE"""),"Thompson")</f>
        <v>Thompson</v>
      </c>
      <c r="B797" s="8" t="str">
        <f>IFERROR(__xludf.DUMMYFUNCTION("""COMPUTED_VALUE"""),"Steven")</f>
        <v>Steven</v>
      </c>
      <c r="C797" s="8" t="str">
        <f>IFERROR(__xludf.DUMMYFUNCTION("""COMPUTED_VALUE"""),"Canonsburg")</f>
        <v>Canonsburg</v>
      </c>
      <c r="D797" s="8" t="str">
        <f>IFERROR(__xludf.DUMMYFUNCTION("""COMPUTED_VALUE"""),"PA")</f>
        <v>PA</v>
      </c>
      <c r="E797" s="8" t="str">
        <f>IFERROR(__xludf.DUMMYFUNCTION("""COMPUTED_VALUE"""),"USA")</f>
        <v>USA</v>
      </c>
      <c r="F797" s="8" t="str">
        <f>IFERROR(__xludf.DUMMYFUNCTION("""COMPUTED_VALUE"""),"Mens Doubles")</f>
        <v>Mens Doubles</v>
      </c>
      <c r="G797" s="8" t="str">
        <f>IFERROR(__xludf.DUMMYFUNCTION("""COMPUTED_VALUE"""),"3rd")</f>
        <v>3rd</v>
      </c>
      <c r="H797" s="8" t="str">
        <f>IFERROR(__xludf.DUMMYFUNCTION("""COMPUTED_VALUE"""),"NY Regional 33")</f>
        <v>NY Regional 33</v>
      </c>
      <c r="I797" s="10">
        <f>IFERROR(__xludf.DUMMYFUNCTION("""COMPUTED_VALUE"""),43252.0)</f>
        <v>43252</v>
      </c>
      <c r="J797" s="10">
        <f>IFERROR(__xludf.DUMMYFUNCTION("""COMPUTED_VALUE"""),44348.0)</f>
        <v>44348</v>
      </c>
      <c r="K797" s="11"/>
      <c r="L797" s="16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9" t="str">
        <f>IFERROR(__xludf.DUMMYFUNCTION("""COMPUTED_VALUE"""),"Thompson")</f>
        <v>Thompson</v>
      </c>
      <c r="B798" s="8" t="str">
        <f>IFERROR(__xludf.DUMMYFUNCTION("""COMPUTED_VALUE"""),"Victor")</f>
        <v>Victor</v>
      </c>
      <c r="C798" s="8" t="str">
        <f>IFERROR(__xludf.DUMMYFUNCTION("""COMPUTED_VALUE"""),"Pinehurst")</f>
        <v>Pinehurst</v>
      </c>
      <c r="D798" s="8" t="str">
        <f>IFERROR(__xludf.DUMMYFUNCTION("""COMPUTED_VALUE"""),"NC")</f>
        <v>NC</v>
      </c>
      <c r="E798" s="8" t="str">
        <f>IFERROR(__xludf.DUMMYFUNCTION("""COMPUTED_VALUE"""),"USA")</f>
        <v>USA</v>
      </c>
      <c r="F798" s="8" t="str">
        <f>IFERROR(__xludf.DUMMYFUNCTION("""COMPUTED_VALUE"""),"Men Doubles 501")</f>
        <v>Men Doubles 501</v>
      </c>
      <c r="G798" s="8" t="str">
        <f>IFERROR(__xludf.DUMMYFUNCTION("""COMPUTED_VALUE"""),"3rd")</f>
        <v>3rd</v>
      </c>
      <c r="H798" s="8" t="str">
        <f>IFERROR(__xludf.DUMMYFUNCTION("""COMPUTED_VALUE"""),"South Carolina BS 34")</f>
        <v>South Carolina BS 34</v>
      </c>
      <c r="I798" s="10">
        <f>IFERROR(__xludf.DUMMYFUNCTION("""COMPUTED_VALUE"""),43617.0)</f>
        <v>43617</v>
      </c>
      <c r="J798" s="10">
        <f>IFERROR(__xludf.DUMMYFUNCTION("""COMPUTED_VALUE"""),44713.0)</f>
        <v>44713</v>
      </c>
      <c r="K798" s="11"/>
      <c r="L798" s="16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9" t="str">
        <f>IFERROR(__xludf.DUMMYFUNCTION("""COMPUTED_VALUE"""),"Thorpe")</f>
        <v>Thorpe</v>
      </c>
      <c r="B799" s="8" t="str">
        <f>IFERROR(__xludf.DUMMYFUNCTION("""COMPUTED_VALUE"""),"Paul")</f>
        <v>Paul</v>
      </c>
      <c r="C799" s="8" t="str">
        <f>IFERROR(__xludf.DUMMYFUNCTION("""COMPUTED_VALUE"""),"New London")</f>
        <v>New London</v>
      </c>
      <c r="D799" s="8" t="str">
        <f>IFERROR(__xludf.DUMMYFUNCTION("""COMPUTED_VALUE"""),"WI")</f>
        <v>WI</v>
      </c>
      <c r="E799" s="8" t="str">
        <f>IFERROR(__xludf.DUMMYFUNCTION("""COMPUTED_VALUE"""),"USA")</f>
        <v>USA</v>
      </c>
      <c r="F799" s="8" t="str">
        <f>IFERROR(__xludf.DUMMYFUNCTION("""COMPUTED_VALUE"""),"Mens Doubles")</f>
        <v>Mens Doubles</v>
      </c>
      <c r="G799" s="8" t="str">
        <f>IFERROR(__xludf.DUMMYFUNCTION("""COMPUTED_VALUE"""),"3rd")</f>
        <v>3rd</v>
      </c>
      <c r="H799" s="8" t="str">
        <f>IFERROR(__xludf.DUMMYFUNCTION("""COMPUTED_VALUE"""),"WI Regional 33")</f>
        <v>WI Regional 33</v>
      </c>
      <c r="I799" s="10">
        <f>IFERROR(__xludf.DUMMYFUNCTION("""COMPUTED_VALUE"""),43252.0)</f>
        <v>43252</v>
      </c>
      <c r="J799" s="10">
        <f>IFERROR(__xludf.DUMMYFUNCTION("""COMPUTED_VALUE"""),44348.0)</f>
        <v>44348</v>
      </c>
      <c r="K799" s="11"/>
      <c r="L799" s="16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9" t="str">
        <f>IFERROR(__xludf.DUMMYFUNCTION("""COMPUTED_VALUE"""),"Thurley")</f>
        <v>Thurley</v>
      </c>
      <c r="B800" s="8" t="str">
        <f>IFERROR(__xludf.DUMMYFUNCTION("""COMPUTED_VALUE"""),"Justin")</f>
        <v>Justin</v>
      </c>
      <c r="C800" s="8" t="str">
        <f>IFERROR(__xludf.DUMMYFUNCTION("""COMPUTED_VALUE"""),"")</f>
        <v/>
      </c>
      <c r="D800" s="8" t="str">
        <f>IFERROR(__xludf.DUMMYFUNCTION("""COMPUTED_VALUE"""),"")</f>
        <v/>
      </c>
      <c r="E800" s="8" t="str">
        <f>IFERROR(__xludf.DUMMYFUNCTION("""COMPUTED_VALUE"""),"DENMARK")</f>
        <v>DENMARK</v>
      </c>
      <c r="F800" s="8" t="str">
        <f>IFERROR(__xludf.DUMMYFUNCTION("""COMPUTED_VALUE"""),"TopGun Non Pro Triples")</f>
        <v>TopGun Non Pro Triples</v>
      </c>
      <c r="G800" s="8" t="str">
        <f>IFERROR(__xludf.DUMMYFUNCTION("""COMPUTED_VALUE"""),"3rd")</f>
        <v>3rd</v>
      </c>
      <c r="H800" s="8" t="str">
        <f>IFERROR(__xludf.DUMMYFUNCTION("""COMPUTED_VALUE"""),"BullShooter 34 Finals")</f>
        <v>BullShooter 34 Finals</v>
      </c>
      <c r="I800" s="10">
        <f>IFERROR(__xludf.DUMMYFUNCTION("""COMPUTED_VALUE"""),43617.0)</f>
        <v>43617</v>
      </c>
      <c r="J800" s="10">
        <f>IFERROR(__xludf.DUMMYFUNCTION("""COMPUTED_VALUE"""),44713.0)</f>
        <v>44713</v>
      </c>
      <c r="K800" s="11"/>
      <c r="L800" s="16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9" t="str">
        <f>IFERROR(__xludf.DUMMYFUNCTION("""COMPUTED_VALUE"""),"Thwaites")</f>
        <v>Thwaites</v>
      </c>
      <c r="B801" s="8" t="str">
        <f>IFERROR(__xludf.DUMMYFUNCTION("""COMPUTED_VALUE"""),"John")</f>
        <v>John</v>
      </c>
      <c r="C801" s="8" t="str">
        <f>IFERROR(__xludf.DUMMYFUNCTION("""COMPUTED_VALUE"""),"")</f>
        <v/>
      </c>
      <c r="D801" s="8" t="str">
        <f>IFERROR(__xludf.DUMMYFUNCTION("""COMPUTED_VALUE"""),"")</f>
        <v/>
      </c>
      <c r="E801" s="8" t="str">
        <f>IFERROR(__xludf.DUMMYFUNCTION("""COMPUTED_VALUE"""),"Canada")</f>
        <v>Canada</v>
      </c>
      <c r="F801" s="8" t="str">
        <f>IFERROR(__xludf.DUMMYFUNCTION("""COMPUTED_VALUE"""),"Pro Doubles")</f>
        <v>Pro Doubles</v>
      </c>
      <c r="G801" s="8" t="str">
        <f>IFERROR(__xludf.DUMMYFUNCTION("""COMPUTED_VALUE"""),"3rd")</f>
        <v>3rd</v>
      </c>
      <c r="H801" s="8" t="str">
        <f>IFERROR(__xludf.DUMMYFUNCTION("""COMPUTED_VALUE"""),"NY Regional 33")</f>
        <v>NY Regional 33</v>
      </c>
      <c r="I801" s="10">
        <f>IFERROR(__xludf.DUMMYFUNCTION("""COMPUTED_VALUE"""),43252.0)</f>
        <v>43252</v>
      </c>
      <c r="J801" s="10">
        <f>IFERROR(__xludf.DUMMYFUNCTION("""COMPUTED_VALUE"""),44348.0)</f>
        <v>44348</v>
      </c>
      <c r="K801" s="11"/>
      <c r="L801" s="16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9" t="str">
        <f>IFERROR(__xludf.DUMMYFUNCTION("""COMPUTED_VALUE"""),"Tillman")</f>
        <v>Tillman</v>
      </c>
      <c r="B802" s="8" t="str">
        <f>IFERROR(__xludf.DUMMYFUNCTION("""COMPUTED_VALUE"""),"Steveon")</f>
        <v>Steveon</v>
      </c>
      <c r="C802" s="8" t="str">
        <f>IFERROR(__xludf.DUMMYFUNCTION("""COMPUTED_VALUE"""),"Moss Point")</f>
        <v>Moss Point</v>
      </c>
      <c r="D802" s="8" t="str">
        <f>IFERROR(__xludf.DUMMYFUNCTION("""COMPUTED_VALUE"""),"MS")</f>
        <v>MS</v>
      </c>
      <c r="E802" s="8" t="str">
        <f>IFERROR(__xludf.DUMMYFUNCTION("""COMPUTED_VALUE"""),"USA")</f>
        <v>USA</v>
      </c>
      <c r="F802" s="8" t="str">
        <f>IFERROR(__xludf.DUMMYFUNCTION("""COMPUTED_VALUE"""),"Mens Doubles")</f>
        <v>Mens Doubles</v>
      </c>
      <c r="G802" s="8" t="str">
        <f>IFERROR(__xludf.DUMMYFUNCTION("""COMPUTED_VALUE"""),"2nd")</f>
        <v>2nd</v>
      </c>
      <c r="H802" s="8" t="str">
        <f>IFERROR(__xludf.DUMMYFUNCTION("""COMPUTED_VALUE"""),"TX Regional 32")</f>
        <v>TX Regional 32</v>
      </c>
      <c r="I802" s="10">
        <f>IFERROR(__xludf.DUMMYFUNCTION("""COMPUTED_VALUE"""),42887.0)</f>
        <v>42887</v>
      </c>
      <c r="J802" s="10">
        <f>IFERROR(__xludf.DUMMYFUNCTION("""COMPUTED_VALUE"""),43983.0)</f>
        <v>43983</v>
      </c>
      <c r="K802" s="11"/>
      <c r="L802" s="17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9" t="str">
        <f>IFERROR(__xludf.DUMMYFUNCTION("""COMPUTED_VALUE"""),"Tim")</f>
        <v>Tim</v>
      </c>
      <c r="B803" s="8" t="str">
        <f>IFERROR(__xludf.DUMMYFUNCTION("""COMPUTED_VALUE"""),"Adams")</f>
        <v>Adams</v>
      </c>
      <c r="C803" s="8" t="str">
        <f>IFERROR(__xludf.DUMMYFUNCTION("""COMPUTED_VALUE"""),"Ruskin")</f>
        <v>Ruskin</v>
      </c>
      <c r="D803" s="8" t="str">
        <f>IFERROR(__xludf.DUMMYFUNCTION("""COMPUTED_VALUE"""),"FL")</f>
        <v>FL</v>
      </c>
      <c r="E803" s="8" t="str">
        <f>IFERROR(__xludf.DUMMYFUNCTION("""COMPUTED_VALUE"""),"USA")</f>
        <v>USA</v>
      </c>
      <c r="F803" s="8" t="str">
        <f>IFERROR(__xludf.DUMMYFUNCTION("""COMPUTED_VALUE"""),"Pro Doubles")</f>
        <v>Pro Doubles</v>
      </c>
      <c r="G803" s="8" t="str">
        <f>IFERROR(__xludf.DUMMYFUNCTION("""COMPUTED_VALUE"""),"2nd")</f>
        <v>2nd</v>
      </c>
      <c r="H803" s="8" t="str">
        <f>IFERROR(__xludf.DUMMYFUNCTION("""COMPUTED_VALUE"""),"FL Regional 33")</f>
        <v>FL Regional 33</v>
      </c>
      <c r="I803" s="10">
        <f>IFERROR(__xludf.DUMMYFUNCTION("""COMPUTED_VALUE"""),43252.0)</f>
        <v>43252</v>
      </c>
      <c r="J803" s="10">
        <f>IFERROR(__xludf.DUMMYFUNCTION("""COMPUTED_VALUE"""),44348.0)</f>
        <v>44348</v>
      </c>
      <c r="K803" s="11"/>
      <c r="L803" s="17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9" t="str">
        <f>IFERROR(__xludf.DUMMYFUNCTION("""COMPUTED_VALUE"""),"Tomlinson")</f>
        <v>Tomlinson</v>
      </c>
      <c r="B804" s="8" t="str">
        <f>IFERROR(__xludf.DUMMYFUNCTION("""COMPUTED_VALUE"""),"Jason")</f>
        <v>Jason</v>
      </c>
      <c r="C804" s="8" t="str">
        <f>IFERROR(__xludf.DUMMYFUNCTION("""COMPUTED_VALUE"""),"Olathe")</f>
        <v>Olathe</v>
      </c>
      <c r="D804" s="8" t="str">
        <f>IFERROR(__xludf.DUMMYFUNCTION("""COMPUTED_VALUE"""),"KS")</f>
        <v>KS</v>
      </c>
      <c r="E804" s="8" t="str">
        <f>IFERROR(__xludf.DUMMYFUNCTION("""COMPUTED_VALUE"""),"USA")</f>
        <v>USA</v>
      </c>
      <c r="F804" s="8" t="str">
        <f>IFERROR(__xludf.DUMMYFUNCTION("""COMPUTED_VALUE"""),"Mens Doubles")</f>
        <v>Mens Doubles</v>
      </c>
      <c r="G804" s="8" t="str">
        <f>IFERROR(__xludf.DUMMYFUNCTION("""COMPUTED_VALUE"""),"1st")</f>
        <v>1st</v>
      </c>
      <c r="H804" s="8" t="str">
        <f>IFERROR(__xludf.DUMMYFUNCTION("""COMPUTED_VALUE"""),"NE Regional 32")</f>
        <v>NE Regional 32</v>
      </c>
      <c r="I804" s="10">
        <f>IFERROR(__xludf.DUMMYFUNCTION("""COMPUTED_VALUE"""),42887.0)</f>
        <v>42887</v>
      </c>
      <c r="J804" s="10">
        <f>IFERROR(__xludf.DUMMYFUNCTION("""COMPUTED_VALUE"""),43983.0)</f>
        <v>43983</v>
      </c>
      <c r="K804" s="11"/>
      <c r="L804" s="17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9" t="str">
        <f>IFERROR(__xludf.DUMMYFUNCTION("""COMPUTED_VALUE"""),"Tong You")</f>
        <v>Tong You</v>
      </c>
      <c r="B805" s="8" t="str">
        <f>IFERROR(__xludf.DUMMYFUNCTION("""COMPUTED_VALUE"""),"Hong")</f>
        <v>Hong</v>
      </c>
      <c r="C805" s="8" t="str">
        <f>IFERROR(__xludf.DUMMYFUNCTION("""COMPUTED_VALUE"""),"")</f>
        <v/>
      </c>
      <c r="D805" s="8" t="str">
        <f>IFERROR(__xludf.DUMMYFUNCTION("""COMPUTED_VALUE"""),"UNK")</f>
        <v>UNK</v>
      </c>
      <c r="E805" s="8" t="str">
        <f>IFERROR(__xludf.DUMMYFUNCTION("""COMPUTED_VALUE"""),"Malaysia")</f>
        <v>Malaysia</v>
      </c>
      <c r="F805" s="8" t="str">
        <f>IFERROR(__xludf.DUMMYFUNCTION("""COMPUTED_VALUE"""),"DL")</f>
        <v>DL</v>
      </c>
      <c r="G805" s="8" t="str">
        <f>IFERROR(__xludf.DUMMYFUNCTION("""COMPUTED_VALUE"""),"92nd")</f>
        <v>92nd</v>
      </c>
      <c r="H805" s="8" t="str">
        <f>IFERROR(__xludf.DUMMYFUNCTION("""COMPUTED_VALUE"""),"DL")</f>
        <v>DL</v>
      </c>
      <c r="I805" s="10">
        <f>IFERROR(__xludf.DUMMYFUNCTION("""COMPUTED_VALUE"""),42401.0)</f>
        <v>42401</v>
      </c>
      <c r="J805" s="10">
        <f>IFERROR(__xludf.DUMMYFUNCTION("""COMPUTED_VALUE"""),44713.0)</f>
        <v>44713</v>
      </c>
      <c r="K805" s="11"/>
      <c r="L805" s="17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9" t="str">
        <f>IFERROR(__xludf.DUMMYFUNCTION("""COMPUTED_VALUE"""),"Torres")</f>
        <v>Torres</v>
      </c>
      <c r="B806" s="8" t="str">
        <f>IFERROR(__xludf.DUMMYFUNCTION("""COMPUTED_VALUE"""),"Ani")</f>
        <v>Ani</v>
      </c>
      <c r="C806" s="8" t="str">
        <f>IFERROR(__xludf.DUMMYFUNCTION("""COMPUTED_VALUE"""),"Houston")</f>
        <v>Houston</v>
      </c>
      <c r="D806" s="8" t="str">
        <f>IFERROR(__xludf.DUMMYFUNCTION("""COMPUTED_VALUE"""),"TX")</f>
        <v>TX</v>
      </c>
      <c r="E806" s="8" t="str">
        <f>IFERROR(__xludf.DUMMYFUNCTION("""COMPUTED_VALUE"""),"USA")</f>
        <v>USA</v>
      </c>
      <c r="F806" s="8" t="str">
        <f>IFERROR(__xludf.DUMMYFUNCTION("""COMPUTED_VALUE"""),"Pro Doubles")</f>
        <v>Pro Doubles</v>
      </c>
      <c r="G806" s="8" t="str">
        <f>IFERROR(__xludf.DUMMYFUNCTION("""COMPUTED_VALUE"""),"2nd")</f>
        <v>2nd</v>
      </c>
      <c r="H806" s="8" t="str">
        <f>IFERROR(__xludf.DUMMYFUNCTION("""COMPUTED_VALUE"""),"TX Regional 33")</f>
        <v>TX Regional 33</v>
      </c>
      <c r="I806" s="10">
        <f>IFERROR(__xludf.DUMMYFUNCTION("""COMPUTED_VALUE"""),43252.0)</f>
        <v>43252</v>
      </c>
      <c r="J806" s="10">
        <f>IFERROR(__xludf.DUMMYFUNCTION("""COMPUTED_VALUE"""),44348.0)</f>
        <v>44348</v>
      </c>
      <c r="K806" s="11"/>
      <c r="L806" s="17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9" t="str">
        <f>IFERROR(__xludf.DUMMYFUNCTION("""COMPUTED_VALUE"""),"Toussaint")</f>
        <v>Toussaint</v>
      </c>
      <c r="B807" s="8" t="str">
        <f>IFERROR(__xludf.DUMMYFUNCTION("""COMPUTED_VALUE"""),"Laurent")</f>
        <v>Laurent</v>
      </c>
      <c r="C807" s="8" t="str">
        <f>IFERROR(__xludf.DUMMYFUNCTION("""COMPUTED_VALUE"""),"Belgium")</f>
        <v>Belgium</v>
      </c>
      <c r="D807" s="8" t="str">
        <f>IFERROR(__xludf.DUMMYFUNCTION("""COMPUTED_VALUE"""),"UNK")</f>
        <v>UNK</v>
      </c>
      <c r="E807" s="8" t="str">
        <f>IFERROR(__xludf.DUMMYFUNCTION("""COMPUTED_VALUE"""),"Belgium")</f>
        <v>Belgium</v>
      </c>
      <c r="F807" s="8" t="str">
        <f>IFERROR(__xludf.DUMMYFUNCTION("""COMPUTED_VALUE"""),"Team Cricket Pro")</f>
        <v>Team Cricket Pro</v>
      </c>
      <c r="G807" s="8" t="str">
        <f>IFERROR(__xludf.DUMMYFUNCTION("""COMPUTED_VALUE"""),"1st")</f>
        <v>1st</v>
      </c>
      <c r="H807" s="8" t="str">
        <f>IFERROR(__xludf.DUMMYFUNCTION("""COMPUTED_VALUE"""),"Off AA List")</f>
        <v>Off AA List</v>
      </c>
      <c r="I807" s="10">
        <f>IFERROR(__xludf.DUMMYFUNCTION("""COMPUTED_VALUE"""),42887.0)</f>
        <v>42887</v>
      </c>
      <c r="J807" s="10">
        <f>IFERROR(__xludf.DUMMYFUNCTION("""COMPUTED_VALUE"""),43983.0)</f>
        <v>43983</v>
      </c>
      <c r="K807" s="11"/>
      <c r="L807" s="17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9" t="str">
        <f>IFERROR(__xludf.DUMMYFUNCTION("""COMPUTED_VALUE"""),"Tovar")</f>
        <v>Tovar</v>
      </c>
      <c r="B808" s="8" t="str">
        <f>IFERROR(__xludf.DUMMYFUNCTION("""COMPUTED_VALUE"""),"Rudy")</f>
        <v>Rudy</v>
      </c>
      <c r="C808" s="8" t="str">
        <f>IFERROR(__xludf.DUMMYFUNCTION("""COMPUTED_VALUE"""),"")</f>
        <v/>
      </c>
      <c r="D808" s="8" t="str">
        <f>IFERROR(__xludf.DUMMYFUNCTION("""COMPUTED_VALUE"""),"UNK")</f>
        <v>UNK</v>
      </c>
      <c r="E808" s="8" t="str">
        <f>IFERROR(__xludf.DUMMYFUNCTION("""COMPUTED_VALUE"""),"USA")</f>
        <v>USA</v>
      </c>
      <c r="F808" s="8" t="str">
        <f>IFERROR(__xludf.DUMMYFUNCTION("""COMPUTED_VALUE"""),"Mens Cricket Doubles")</f>
        <v>Mens Cricket Doubles</v>
      </c>
      <c r="G808" s="8" t="str">
        <f>IFERROR(__xludf.DUMMYFUNCTION("""COMPUTED_VALUE"""),"1st")</f>
        <v>1st</v>
      </c>
      <c r="H808" s="8" t="str">
        <f>IFERROR(__xludf.DUMMYFUNCTION("""COMPUTED_VALUE"""),"TX Regional 32")</f>
        <v>TX Regional 32</v>
      </c>
      <c r="I808" s="10">
        <f>IFERROR(__xludf.DUMMYFUNCTION("""COMPUTED_VALUE"""),42887.0)</f>
        <v>42887</v>
      </c>
      <c r="J808" s="10">
        <f>IFERROR(__xludf.DUMMYFUNCTION("""COMPUTED_VALUE"""),43983.0)</f>
        <v>43983</v>
      </c>
      <c r="K808" s="11"/>
      <c r="L808" s="17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9" t="str">
        <f>IFERROR(__xludf.DUMMYFUNCTION("""COMPUTED_VALUE"""),"Towers")</f>
        <v>Towers</v>
      </c>
      <c r="B809" s="8" t="str">
        <f>IFERROR(__xludf.DUMMYFUNCTION("""COMPUTED_VALUE"""),"David")</f>
        <v>David</v>
      </c>
      <c r="C809" s="8" t="str">
        <f>IFERROR(__xludf.DUMMYFUNCTION("""COMPUTED_VALUE"""),"Murrells Inlet")</f>
        <v>Murrells Inlet</v>
      </c>
      <c r="D809" s="8" t="str">
        <f>IFERROR(__xludf.DUMMYFUNCTION("""COMPUTED_VALUE"""),"SC")</f>
        <v>SC</v>
      </c>
      <c r="E809" s="8" t="str">
        <f>IFERROR(__xludf.DUMMYFUNCTION("""COMPUTED_VALUE"""),"USA")</f>
        <v>USA</v>
      </c>
      <c r="F809" s="8" t="str">
        <f>IFERROR(__xludf.DUMMYFUNCTION("""COMPUTED_VALUE"""),"Mens Doubles")</f>
        <v>Mens Doubles</v>
      </c>
      <c r="G809" s="8" t="str">
        <f>IFERROR(__xludf.DUMMYFUNCTION("""COMPUTED_VALUE"""),"3rd")</f>
        <v>3rd</v>
      </c>
      <c r="H809" s="8" t="str">
        <f>IFERROR(__xludf.DUMMYFUNCTION("""COMPUTED_VALUE"""),"SC Regional 33")</f>
        <v>SC Regional 33</v>
      </c>
      <c r="I809" s="10">
        <f>IFERROR(__xludf.DUMMYFUNCTION("""COMPUTED_VALUE"""),43252.0)</f>
        <v>43252</v>
      </c>
      <c r="J809" s="10">
        <f>IFERROR(__xludf.DUMMYFUNCTION("""COMPUTED_VALUE"""),44348.0)</f>
        <v>44348</v>
      </c>
      <c r="K809" s="11"/>
      <c r="L809" s="17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12" t="str">
        <f>IFERROR(__xludf.DUMMYFUNCTION("""COMPUTED_VALUE"""),"Toylo")</f>
        <v>Toylo</v>
      </c>
      <c r="B810" s="13" t="str">
        <f>IFERROR(__xludf.DUMMYFUNCTION("""COMPUTED_VALUE"""),"Alexis")</f>
        <v>Alexis</v>
      </c>
      <c r="C810" s="13" t="str">
        <f>IFERROR(__xludf.DUMMYFUNCTION("""COMPUTED_VALUE"""),"")</f>
        <v/>
      </c>
      <c r="D810" s="13" t="str">
        <f>IFERROR(__xludf.DUMMYFUNCTION("""COMPUTED_VALUE"""),"UNK")</f>
        <v>UNK</v>
      </c>
      <c r="E810" s="13" t="str">
        <f>IFERROR(__xludf.DUMMYFUNCTION("""COMPUTED_VALUE"""),"USA")</f>
        <v>USA</v>
      </c>
      <c r="F810" s="13" t="str">
        <f>IFERROR(__xludf.DUMMYFUNCTION("""COMPUTED_VALUE"""),"DL")</f>
        <v>DL</v>
      </c>
      <c r="G810" s="13" t="str">
        <f>IFERROR(__xludf.DUMMYFUNCTION("""COMPUTED_VALUE"""),"55th")</f>
        <v>55th</v>
      </c>
      <c r="H810" s="13" t="str">
        <f>IFERROR(__xludf.DUMMYFUNCTION("""COMPUTED_VALUE"""),"DL")</f>
        <v>DL</v>
      </c>
      <c r="I810" s="14">
        <f>IFERROR(__xludf.DUMMYFUNCTION("""COMPUTED_VALUE"""),42401.0)</f>
        <v>42401</v>
      </c>
      <c r="J810" s="14">
        <f>IFERROR(__xludf.DUMMYFUNCTION("""COMPUTED_VALUE"""),44713.0)</f>
        <v>44713</v>
      </c>
      <c r="K810" s="11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9" t="str">
        <f>IFERROR(__xludf.DUMMYFUNCTION("""COMPUTED_VALUE"""),"Trent")</f>
        <v>Trent</v>
      </c>
      <c r="B811" s="8" t="str">
        <f>IFERROR(__xludf.DUMMYFUNCTION("""COMPUTED_VALUE"""),"Adam")</f>
        <v>Adam</v>
      </c>
      <c r="C811" s="8" t="str">
        <f>IFERROR(__xludf.DUMMYFUNCTION("""COMPUTED_VALUE"""),"")</f>
        <v/>
      </c>
      <c r="D811" s="8" t="str">
        <f>IFERROR(__xludf.DUMMYFUNCTION("""COMPUTED_VALUE"""),"UNK")</f>
        <v>UNK</v>
      </c>
      <c r="E811" s="8" t="str">
        <f>IFERROR(__xludf.DUMMYFUNCTION("""COMPUTED_VALUE"""),"UNK")</f>
        <v>UNK</v>
      </c>
      <c r="F811" s="8" t="str">
        <f>IFERROR(__xludf.DUMMYFUNCTION("""COMPUTED_VALUE"""),"ADO 2016")</f>
        <v>ADO 2016</v>
      </c>
      <c r="G811" s="8" t="str">
        <f>IFERROR(__xludf.DUMMYFUNCTION("""COMPUTED_VALUE"""),"43rd")</f>
        <v>43rd</v>
      </c>
      <c r="H811" s="8" t="str">
        <f>IFERROR(__xludf.DUMMYFUNCTION("""COMPUTED_VALUE"""),"ADO 2016")</f>
        <v>ADO 2016</v>
      </c>
      <c r="I811" s="10">
        <f>IFERROR(__xludf.DUMMYFUNCTION("""COMPUTED_VALUE"""),42401.0)</f>
        <v>42401</v>
      </c>
      <c r="J811" s="10">
        <f>IFERROR(__xludf.DUMMYFUNCTION("""COMPUTED_VALUE"""),44713.0)</f>
        <v>44713</v>
      </c>
      <c r="K811" s="11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9" t="str">
        <f>IFERROR(__xludf.DUMMYFUNCTION("""COMPUTED_VALUE"""),"Tritt")</f>
        <v>Tritt</v>
      </c>
      <c r="B812" s="8" t="str">
        <f>IFERROR(__xludf.DUMMYFUNCTION("""COMPUTED_VALUE"""),"Michael")</f>
        <v>Michael</v>
      </c>
      <c r="C812" s="8" t="str">
        <f>IFERROR(__xludf.DUMMYFUNCTION("""COMPUTED_VALUE"""),"Omro")</f>
        <v>Omro</v>
      </c>
      <c r="D812" s="8" t="str">
        <f>IFERROR(__xludf.DUMMYFUNCTION("""COMPUTED_VALUE"""),"WI")</f>
        <v>WI</v>
      </c>
      <c r="E812" s="8" t="str">
        <f>IFERROR(__xludf.DUMMYFUNCTION("""COMPUTED_VALUE"""),"USA")</f>
        <v>USA</v>
      </c>
      <c r="F812" s="8" t="str">
        <f>IFERROR(__xludf.DUMMYFUNCTION("""COMPUTED_VALUE"""),"")</f>
        <v/>
      </c>
      <c r="G812" s="8" t="str">
        <f>IFERROR(__xludf.DUMMYFUNCTION("""COMPUTED_VALUE"""),"")</f>
        <v/>
      </c>
      <c r="H812" s="8" t="str">
        <f>IFERROR(__xludf.DUMMYFUNCTION("""COMPUTED_VALUE"""),"BS 30 Finals")</f>
        <v>BS 30 Finals</v>
      </c>
      <c r="I812" s="10">
        <f>IFERROR(__xludf.DUMMYFUNCTION("""COMPUTED_VALUE"""),43252.0)</f>
        <v>43252</v>
      </c>
      <c r="J812" s="10">
        <f>IFERROR(__xludf.DUMMYFUNCTION("""COMPUTED_VALUE"""),44348.0)</f>
        <v>44348</v>
      </c>
      <c r="K812" s="11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9" t="str">
        <f>IFERROR(__xludf.DUMMYFUNCTION("""COMPUTED_VALUE"""),"Tuerck")</f>
        <v>Tuerck</v>
      </c>
      <c r="B813" s="8" t="str">
        <f>IFERROR(__xludf.DUMMYFUNCTION("""COMPUTED_VALUE"""),"Steve")</f>
        <v>Steve</v>
      </c>
      <c r="C813" s="8" t="str">
        <f>IFERROR(__xludf.DUMMYFUNCTION("""COMPUTED_VALUE"""),"Springfield")</f>
        <v>Springfield</v>
      </c>
      <c r="D813" s="8" t="str">
        <f>IFERROR(__xludf.DUMMYFUNCTION("""COMPUTED_VALUE"""),"OH")</f>
        <v>OH</v>
      </c>
      <c r="E813" s="8" t="str">
        <f>IFERROR(__xludf.DUMMYFUNCTION("""COMPUTED_VALUE"""),"USA")</f>
        <v>USA</v>
      </c>
      <c r="F813" s="8" t="str">
        <f>IFERROR(__xludf.DUMMYFUNCTION("""COMPUTED_VALUE"""),"Mens Doubles")</f>
        <v>Mens Doubles</v>
      </c>
      <c r="G813" s="8" t="str">
        <f>IFERROR(__xludf.DUMMYFUNCTION("""COMPUTED_VALUE"""),"2nd")</f>
        <v>2nd</v>
      </c>
      <c r="H813" s="8" t="str">
        <f>IFERROR(__xludf.DUMMYFUNCTION("""COMPUTED_VALUE"""),"OH Regional 33")</f>
        <v>OH Regional 33</v>
      </c>
      <c r="I813" s="10">
        <f>IFERROR(__xludf.DUMMYFUNCTION("""COMPUTED_VALUE"""),43252.0)</f>
        <v>43252</v>
      </c>
      <c r="J813" s="10">
        <f>IFERROR(__xludf.DUMMYFUNCTION("""COMPUTED_VALUE"""),44348.0)</f>
        <v>44348</v>
      </c>
      <c r="K813" s="11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9" t="str">
        <f>IFERROR(__xludf.DUMMYFUNCTION("""COMPUTED_VALUE"""),"Tulachka")</f>
        <v>Tulachka</v>
      </c>
      <c r="B814" s="8" t="str">
        <f>IFERROR(__xludf.DUMMYFUNCTION("""COMPUTED_VALUE"""),"Randy")</f>
        <v>Randy</v>
      </c>
      <c r="C814" s="8" t="str">
        <f>IFERROR(__xludf.DUMMYFUNCTION("""COMPUTED_VALUE"""),"Two Rivers")</f>
        <v>Two Rivers</v>
      </c>
      <c r="D814" s="8" t="str">
        <f>IFERROR(__xludf.DUMMYFUNCTION("""COMPUTED_VALUE"""),"WI")</f>
        <v>WI</v>
      </c>
      <c r="E814" s="8" t="str">
        <f>IFERROR(__xludf.DUMMYFUNCTION("""COMPUTED_VALUE"""),"USA")</f>
        <v>USA</v>
      </c>
      <c r="F814" s="8" t="str">
        <f>IFERROR(__xludf.DUMMYFUNCTION("""COMPUTED_VALUE"""),"Pro Singles")</f>
        <v>Pro Singles</v>
      </c>
      <c r="G814" s="8" t="str">
        <f>IFERROR(__xludf.DUMMYFUNCTION("""COMPUTED_VALUE"""),"7th")</f>
        <v>7th</v>
      </c>
      <c r="H814" s="8" t="str">
        <f>IFERROR(__xludf.DUMMYFUNCTION("""COMPUTED_VALUE"""),"BS 33 Finals")</f>
        <v>BS 33 Finals</v>
      </c>
      <c r="I814" s="10">
        <f>IFERROR(__xludf.DUMMYFUNCTION("""COMPUTED_VALUE"""),43252.0)</f>
        <v>43252</v>
      </c>
      <c r="J814" s="10">
        <f>IFERROR(__xludf.DUMMYFUNCTION("""COMPUTED_VALUE"""),44348.0)</f>
        <v>44348</v>
      </c>
      <c r="K814" s="11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9" t="str">
        <f>IFERROR(__xludf.DUMMYFUNCTION("""COMPUTED_VALUE"""),"Turner")</f>
        <v>Turner</v>
      </c>
      <c r="B815" s="8" t="str">
        <f>IFERROR(__xludf.DUMMYFUNCTION("""COMPUTED_VALUE"""),"Lee")</f>
        <v>Lee</v>
      </c>
      <c r="C815" s="8" t="str">
        <f>IFERROR(__xludf.DUMMYFUNCTION("""COMPUTED_VALUE"""),"Cape Girardeau")</f>
        <v>Cape Girardeau</v>
      </c>
      <c r="D815" s="8" t="str">
        <f>IFERROR(__xludf.DUMMYFUNCTION("""COMPUTED_VALUE"""),"MO")</f>
        <v>MO</v>
      </c>
      <c r="E815" s="8" t="str">
        <f>IFERROR(__xludf.DUMMYFUNCTION("""COMPUTED_VALUE"""),"USA")</f>
        <v>USA</v>
      </c>
      <c r="F815" s="8" t="str">
        <f>IFERROR(__xludf.DUMMYFUNCTION("""COMPUTED_VALUE"""),"Pro/Am Cricket")</f>
        <v>Pro/Am Cricket</v>
      </c>
      <c r="G815" s="8" t="str">
        <f>IFERROR(__xludf.DUMMYFUNCTION("""COMPUTED_VALUE"""),"2nd")</f>
        <v>2nd</v>
      </c>
      <c r="H815" s="8" t="str">
        <f>IFERROR(__xludf.DUMMYFUNCTION("""COMPUTED_VALUE"""),"GA Regional 33")</f>
        <v>GA Regional 33</v>
      </c>
      <c r="I815" s="10">
        <f>IFERROR(__xludf.DUMMYFUNCTION("""COMPUTED_VALUE"""),43252.0)</f>
        <v>43252</v>
      </c>
      <c r="J815" s="10">
        <f>IFERROR(__xludf.DUMMYFUNCTION("""COMPUTED_VALUE"""),44348.0)</f>
        <v>44348</v>
      </c>
      <c r="K815" s="11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9" t="str">
        <f>IFERROR(__xludf.DUMMYFUNCTION("""COMPUTED_VALUE"""),"Turnure")</f>
        <v>Turnure</v>
      </c>
      <c r="B816" s="8" t="str">
        <f>IFERROR(__xludf.DUMMYFUNCTION("""COMPUTED_VALUE"""),"Adam")</f>
        <v>Adam</v>
      </c>
      <c r="C816" s="8" t="str">
        <f>IFERROR(__xludf.DUMMYFUNCTION("""COMPUTED_VALUE"""),"Janesville")</f>
        <v>Janesville</v>
      </c>
      <c r="D816" s="8" t="str">
        <f>IFERROR(__xludf.DUMMYFUNCTION("""COMPUTED_VALUE"""),"WI")</f>
        <v>WI</v>
      </c>
      <c r="E816" s="8" t="str">
        <f>IFERROR(__xludf.DUMMYFUNCTION("""COMPUTED_VALUE"""),"USA")</f>
        <v>USA</v>
      </c>
      <c r="F816" s="8" t="str">
        <f>IFERROR(__xludf.DUMMYFUNCTION("""COMPUTED_VALUE"""),"Men Doubles Cricket")</f>
        <v>Men Doubles Cricket</v>
      </c>
      <c r="G816" s="8" t="str">
        <f>IFERROR(__xludf.DUMMYFUNCTION("""COMPUTED_VALUE"""),"2nd")</f>
        <v>2nd</v>
      </c>
      <c r="H816" s="8" t="str">
        <f>IFERROR(__xludf.DUMMYFUNCTION("""COMPUTED_VALUE"""),"Wisconsin BS 34")</f>
        <v>Wisconsin BS 34</v>
      </c>
      <c r="I816" s="10">
        <f>IFERROR(__xludf.DUMMYFUNCTION("""COMPUTED_VALUE"""),43617.0)</f>
        <v>43617</v>
      </c>
      <c r="J816" s="10">
        <f>IFERROR(__xludf.DUMMYFUNCTION("""COMPUTED_VALUE"""),44713.0)</f>
        <v>44713</v>
      </c>
      <c r="K816" s="11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12" t="str">
        <f>IFERROR(__xludf.DUMMYFUNCTION("""COMPUTED_VALUE"""),"Ulrici")</f>
        <v>Ulrici</v>
      </c>
      <c r="B817" s="13" t="str">
        <f>IFERROR(__xludf.DUMMYFUNCTION("""COMPUTED_VALUE"""),"Tyler")</f>
        <v>Tyler</v>
      </c>
      <c r="C817" s="13" t="str">
        <f>IFERROR(__xludf.DUMMYFUNCTION("""COMPUTED_VALUE"""),"Witt")</f>
        <v>Witt</v>
      </c>
      <c r="D817" s="13" t="str">
        <f>IFERROR(__xludf.DUMMYFUNCTION("""COMPUTED_VALUE"""),"IL")</f>
        <v>IL</v>
      </c>
      <c r="E817" s="13" t="str">
        <f>IFERROR(__xludf.DUMMYFUNCTION("""COMPUTED_VALUE"""),"USA")</f>
        <v>USA</v>
      </c>
      <c r="F817" s="13" t="str">
        <f>IFERROR(__xludf.DUMMYFUNCTION("""COMPUTED_VALUE"""),"Men Doubles 501")</f>
        <v>Men Doubles 501</v>
      </c>
      <c r="G817" s="13" t="str">
        <f>IFERROR(__xludf.DUMMYFUNCTION("""COMPUTED_VALUE"""),"1st")</f>
        <v>1st</v>
      </c>
      <c r="H817" s="13" t="str">
        <f>IFERROR(__xludf.DUMMYFUNCTION("""COMPUTED_VALUE"""),"Florida BS 34")</f>
        <v>Florida BS 34</v>
      </c>
      <c r="I817" s="14">
        <f>IFERROR(__xludf.DUMMYFUNCTION("""COMPUTED_VALUE"""),43617.0)</f>
        <v>43617</v>
      </c>
      <c r="J817" s="14">
        <f>IFERROR(__xludf.DUMMYFUNCTION("""COMPUTED_VALUE"""),44713.0)</f>
        <v>44713</v>
      </c>
      <c r="K817" s="11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7" t="str">
        <f>IFERROR(__xludf.DUMMYFUNCTION("""COMPUTED_VALUE"""),"Ulry")</f>
        <v>Ulry</v>
      </c>
      <c r="B818" s="8" t="str">
        <f>IFERROR(__xludf.DUMMYFUNCTION("""COMPUTED_VALUE"""),"Steven")</f>
        <v>Steven</v>
      </c>
      <c r="C818" s="8" t="str">
        <f>IFERROR(__xludf.DUMMYFUNCTION("""COMPUTED_VALUE"""),"Green Bay")</f>
        <v>Green Bay</v>
      </c>
      <c r="D818" s="8" t="str">
        <f>IFERROR(__xludf.DUMMYFUNCTION("""COMPUTED_VALUE"""),"WI")</f>
        <v>WI</v>
      </c>
      <c r="E818" s="8" t="str">
        <f>IFERROR(__xludf.DUMMYFUNCTION("""COMPUTED_VALUE"""),"USA")</f>
        <v>USA</v>
      </c>
      <c r="F818" s="8" t="str">
        <f>IFERROR(__xludf.DUMMYFUNCTION("""COMPUTED_VALUE"""),"Mens Doubles")</f>
        <v>Mens Doubles</v>
      </c>
      <c r="G818" s="8" t="str">
        <f>IFERROR(__xludf.DUMMYFUNCTION("""COMPUTED_VALUE"""),"2nd")</f>
        <v>2nd</v>
      </c>
      <c r="H818" s="8" t="str">
        <f>IFERROR(__xludf.DUMMYFUNCTION("""COMPUTED_VALUE"""),"Known Ability")</f>
        <v>Known Ability</v>
      </c>
      <c r="I818" s="10">
        <f>IFERROR(__xludf.DUMMYFUNCTION("""COMPUTED_VALUE"""),36892.0)</f>
        <v>36892</v>
      </c>
      <c r="J818" s="10">
        <f>IFERROR(__xludf.DUMMYFUNCTION("""COMPUTED_VALUE"""),45809.0)</f>
        <v>45809</v>
      </c>
      <c r="K818" s="11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9" t="str">
        <f>IFERROR(__xludf.DUMMYFUNCTION("""COMPUTED_VALUE"""),"Uraine")</f>
        <v>Uraine</v>
      </c>
      <c r="B819" s="8" t="str">
        <f>IFERROR(__xludf.DUMMYFUNCTION("""COMPUTED_VALUE"""),"John")</f>
        <v>John</v>
      </c>
      <c r="C819" s="8" t="str">
        <f>IFERROR(__xludf.DUMMYFUNCTION("""COMPUTED_VALUE"""),"Peoria")</f>
        <v>Peoria</v>
      </c>
      <c r="D819" s="8" t="str">
        <f>IFERROR(__xludf.DUMMYFUNCTION("""COMPUTED_VALUE"""),"AZ")</f>
        <v>AZ</v>
      </c>
      <c r="E819" s="8" t="str">
        <f>IFERROR(__xludf.DUMMYFUNCTION("""COMPUTED_VALUE"""),"USA")</f>
        <v>USA</v>
      </c>
      <c r="F819" s="8" t="str">
        <f>IFERROR(__xludf.DUMMYFUNCTION("""COMPUTED_VALUE"""),"Mixed Cricket Doubles")</f>
        <v>Mixed Cricket Doubles</v>
      </c>
      <c r="G819" s="8" t="str">
        <f>IFERROR(__xludf.DUMMYFUNCTION("""COMPUTED_VALUE"""),"3rd")</f>
        <v>3rd</v>
      </c>
      <c r="H819" s="8" t="str">
        <f>IFERROR(__xludf.DUMMYFUNCTION("""COMPUTED_VALUE"""),"BullShooter 32")</f>
        <v>BullShooter 32</v>
      </c>
      <c r="I819" s="10">
        <f>IFERROR(__xludf.DUMMYFUNCTION("""COMPUTED_VALUE"""),42887.0)</f>
        <v>42887</v>
      </c>
      <c r="J819" s="10">
        <f>IFERROR(__xludf.DUMMYFUNCTION("""COMPUTED_VALUE"""),43983.0)</f>
        <v>43983</v>
      </c>
      <c r="K819" s="18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9" t="str">
        <f>IFERROR(__xludf.DUMMYFUNCTION("""COMPUTED_VALUE"""),"Usami")</f>
        <v>Usami</v>
      </c>
      <c r="B820" s="8" t="str">
        <f>IFERROR(__xludf.DUMMYFUNCTION("""COMPUTED_VALUE"""),"Kei")</f>
        <v>Kei</v>
      </c>
      <c r="C820" s="8" t="str">
        <f>IFERROR(__xludf.DUMMYFUNCTION("""COMPUTED_VALUE"""),"")</f>
        <v/>
      </c>
      <c r="D820" s="8" t="str">
        <f>IFERROR(__xludf.DUMMYFUNCTION("""COMPUTED_VALUE"""),"UNK")</f>
        <v>UNK</v>
      </c>
      <c r="E820" s="8" t="str">
        <f>IFERROR(__xludf.DUMMYFUNCTION("""COMPUTED_VALUE"""),"Japan")</f>
        <v>Japan</v>
      </c>
      <c r="F820" s="8" t="str">
        <f>IFERROR(__xludf.DUMMYFUNCTION("""COMPUTED_VALUE"""),"DL")</f>
        <v>DL</v>
      </c>
      <c r="G820" s="8" t="str">
        <f>IFERROR(__xludf.DUMMYFUNCTION("""COMPUTED_VALUE"""),"25th")</f>
        <v>25th</v>
      </c>
      <c r="H820" s="8" t="str">
        <f>IFERROR(__xludf.DUMMYFUNCTION("""COMPUTED_VALUE"""),"DL")</f>
        <v>DL</v>
      </c>
      <c r="I820" s="10">
        <f>IFERROR(__xludf.DUMMYFUNCTION("""COMPUTED_VALUE"""),42401.0)</f>
        <v>42401</v>
      </c>
      <c r="J820" s="10">
        <f>IFERROR(__xludf.DUMMYFUNCTION("""COMPUTED_VALUE"""),44713.0)</f>
        <v>44713</v>
      </c>
      <c r="K820" s="18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9" t="str">
        <f>IFERROR(__xludf.DUMMYFUNCTION("""COMPUTED_VALUE"""),"Valdiieso")</f>
        <v>Valdiieso</v>
      </c>
      <c r="B821" s="8" t="str">
        <f>IFERROR(__xludf.DUMMYFUNCTION("""COMPUTED_VALUE"""),"Javier")</f>
        <v>Javier</v>
      </c>
      <c r="C821" s="8" t="str">
        <f>IFERROR(__xludf.DUMMYFUNCTION("""COMPUTED_VALUE"""),"")</f>
        <v/>
      </c>
      <c r="D821" s="8" t="str">
        <f>IFERROR(__xludf.DUMMYFUNCTION("""COMPUTED_VALUE"""),"")</f>
        <v/>
      </c>
      <c r="E821" s="8" t="str">
        <f>IFERROR(__xludf.DUMMYFUNCTION("""COMPUTED_VALUE"""),"SPAIN")</f>
        <v>SPAIN</v>
      </c>
      <c r="F821" s="8" t="str">
        <f>IFERROR(__xludf.DUMMYFUNCTION("""COMPUTED_VALUE"""),"Mixed Cricket Doubles")</f>
        <v>Mixed Cricket Doubles</v>
      </c>
      <c r="G821" s="8" t="str">
        <f>IFERROR(__xludf.DUMMYFUNCTION("""COMPUTED_VALUE"""),"4th")</f>
        <v>4th</v>
      </c>
      <c r="H821" s="8" t="str">
        <f>IFERROR(__xludf.DUMMYFUNCTION("""COMPUTED_VALUE"""),"BullShooter 34 Finals")</f>
        <v>BullShooter 34 Finals</v>
      </c>
      <c r="I821" s="10">
        <f>IFERROR(__xludf.DUMMYFUNCTION("""COMPUTED_VALUE"""),43617.0)</f>
        <v>43617</v>
      </c>
      <c r="J821" s="10">
        <f>IFERROR(__xludf.DUMMYFUNCTION("""COMPUTED_VALUE"""),44713.0)</f>
        <v>44713</v>
      </c>
      <c r="K821" s="18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9" t="str">
        <f>IFERROR(__xludf.DUMMYFUNCTION("""COMPUTED_VALUE"""),"Valesquez")</f>
        <v>Valesquez</v>
      </c>
      <c r="B822" s="8" t="str">
        <f>IFERROR(__xludf.DUMMYFUNCTION("""COMPUTED_VALUE"""),"Jack")</f>
        <v>Jack</v>
      </c>
      <c r="C822" s="8" t="str">
        <f>IFERROR(__xludf.DUMMYFUNCTION("""COMPUTED_VALUE"""),"Tomball")</f>
        <v>Tomball</v>
      </c>
      <c r="D822" s="8" t="str">
        <f>IFERROR(__xludf.DUMMYFUNCTION("""COMPUTED_VALUE"""),"TX")</f>
        <v>TX</v>
      </c>
      <c r="E822" s="8" t="str">
        <f>IFERROR(__xludf.DUMMYFUNCTION("""COMPUTED_VALUE"""),"USA")</f>
        <v>USA</v>
      </c>
      <c r="F822" s="8" t="str">
        <f>IFERROR(__xludf.DUMMYFUNCTION("""COMPUTED_VALUE"""),"Men Cricket Doubles")</f>
        <v>Men Cricket Doubles</v>
      </c>
      <c r="G822" s="8" t="str">
        <f>IFERROR(__xludf.DUMMYFUNCTION("""COMPUTED_VALUE"""),"3rd")</f>
        <v>3rd</v>
      </c>
      <c r="H822" s="8" t="str">
        <f>IFERROR(__xludf.DUMMYFUNCTION("""COMPUTED_VALUE"""),"Florida BS 34")</f>
        <v>Florida BS 34</v>
      </c>
      <c r="I822" s="10">
        <f>IFERROR(__xludf.DUMMYFUNCTION("""COMPUTED_VALUE"""),43617.0)</f>
        <v>43617</v>
      </c>
      <c r="J822" s="10">
        <f>IFERROR(__xludf.DUMMYFUNCTION("""COMPUTED_VALUE"""),44713.0)</f>
        <v>44713</v>
      </c>
      <c r="K822" s="18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9" t="str">
        <f>IFERROR(__xludf.DUMMYFUNCTION("""COMPUTED_VALUE"""),"Van Beek")</f>
        <v>Van Beek</v>
      </c>
      <c r="B823" s="8" t="str">
        <f>IFERROR(__xludf.DUMMYFUNCTION("""COMPUTED_VALUE"""),"Hunter")</f>
        <v>Hunter</v>
      </c>
      <c r="C823" s="8" t="str">
        <f>IFERROR(__xludf.DUMMYFUNCTION("""COMPUTED_VALUE"""),"Ireton")</f>
        <v>Ireton</v>
      </c>
      <c r="D823" s="8" t="str">
        <f>IFERROR(__xludf.DUMMYFUNCTION("""COMPUTED_VALUE"""),"IA")</f>
        <v>IA</v>
      </c>
      <c r="E823" s="8" t="str">
        <f>IFERROR(__xludf.DUMMYFUNCTION("""COMPUTED_VALUE"""),"USA")</f>
        <v>USA</v>
      </c>
      <c r="F823" s="8" t="str">
        <f>IFERROR(__xludf.DUMMYFUNCTION("""COMPUTED_VALUE"""),"Men Doubles 501")</f>
        <v>Men Doubles 501</v>
      </c>
      <c r="G823" s="8" t="str">
        <f>IFERROR(__xludf.DUMMYFUNCTION("""COMPUTED_VALUE"""),"1st")</f>
        <v>1st</v>
      </c>
      <c r="H823" s="8" t="str">
        <f>IFERROR(__xludf.DUMMYFUNCTION("""COMPUTED_VALUE"""),"Nebraska BS 34")</f>
        <v>Nebraska BS 34</v>
      </c>
      <c r="I823" s="10">
        <f>IFERROR(__xludf.DUMMYFUNCTION("""COMPUTED_VALUE"""),43617.0)</f>
        <v>43617</v>
      </c>
      <c r="J823" s="10">
        <f>IFERROR(__xludf.DUMMYFUNCTION("""COMPUTED_VALUE"""),44713.0)</f>
        <v>44713</v>
      </c>
      <c r="K823" s="18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9" t="str">
        <f>IFERROR(__xludf.DUMMYFUNCTION("""COMPUTED_VALUE"""),"Van Droogenbroeck")</f>
        <v>Van Droogenbroeck</v>
      </c>
      <c r="B824" s="8" t="str">
        <f>IFERROR(__xludf.DUMMYFUNCTION("""COMPUTED_VALUE"""),"Eddy")</f>
        <v>Eddy</v>
      </c>
      <c r="C824" s="8" t="str">
        <f>IFERROR(__xludf.DUMMYFUNCTION("""COMPUTED_VALUE"""),"")</f>
        <v/>
      </c>
      <c r="D824" s="8" t="str">
        <f>IFERROR(__xludf.DUMMYFUNCTION("""COMPUTED_VALUE"""),"UNK")</f>
        <v>UNK</v>
      </c>
      <c r="E824" s="8" t="str">
        <f>IFERROR(__xludf.DUMMYFUNCTION("""COMPUTED_VALUE"""),"Belgium")</f>
        <v>Belgium</v>
      </c>
      <c r="F824" s="8" t="str">
        <f>IFERROR(__xludf.DUMMYFUNCTION("""COMPUTED_VALUE"""),"Known Pro")</f>
        <v>Known Pro</v>
      </c>
      <c r="G824" s="8" t="str">
        <f>IFERROR(__xludf.DUMMYFUNCTION("""COMPUTED_VALUE"""),"")</f>
        <v/>
      </c>
      <c r="H824" s="8" t="str">
        <f>IFERROR(__xludf.DUMMYFUNCTION("""COMPUTED_VALUE"""),"Known Ability")</f>
        <v>Known Ability</v>
      </c>
      <c r="I824" s="10">
        <f>IFERROR(__xludf.DUMMYFUNCTION("""COMPUTED_VALUE"""),36892.0)</f>
        <v>36892</v>
      </c>
      <c r="J824" s="10">
        <f>IFERROR(__xludf.DUMMYFUNCTION("""COMPUTED_VALUE"""),45809.0)</f>
        <v>45809</v>
      </c>
      <c r="K824" s="18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9" t="str">
        <f>IFERROR(__xludf.DUMMYFUNCTION("""COMPUTED_VALUE"""),"Van Duijvenbode")</f>
        <v>Van Duijvenbode</v>
      </c>
      <c r="B825" s="8" t="str">
        <f>IFERROR(__xludf.DUMMYFUNCTION("""COMPUTED_VALUE"""),"Dirk")</f>
        <v>Dirk</v>
      </c>
      <c r="C825" s="8" t="str">
        <f>IFERROR(__xludf.DUMMYFUNCTION("""COMPUTED_VALUE"""),"")</f>
        <v/>
      </c>
      <c r="D825" s="8" t="str">
        <f>IFERROR(__xludf.DUMMYFUNCTION("""COMPUTED_VALUE"""),"UNK")</f>
        <v>UNK</v>
      </c>
      <c r="E825" s="8" t="str">
        <f>IFERROR(__xludf.DUMMYFUNCTION("""COMPUTED_VALUE"""),"Netherlands")</f>
        <v>Netherlands</v>
      </c>
      <c r="F825" s="8" t="str">
        <f>IFERROR(__xludf.DUMMYFUNCTION("""COMPUTED_VALUE"""),"PDC Merit Ranking")</f>
        <v>PDC Merit Ranking</v>
      </c>
      <c r="G825" s="8" t="str">
        <f>IFERROR(__xludf.DUMMYFUNCTION("""COMPUTED_VALUE"""),"62nd")</f>
        <v>62nd</v>
      </c>
      <c r="H825" s="8" t="str">
        <f>IFERROR(__xludf.DUMMYFUNCTION("""COMPUTED_VALUE"""),"PDC Merit Ranking")</f>
        <v>PDC Merit Ranking</v>
      </c>
      <c r="I825" s="10">
        <f>IFERROR(__xludf.DUMMYFUNCTION("""COMPUTED_VALUE"""),42401.0)</f>
        <v>42401</v>
      </c>
      <c r="J825" s="10">
        <f>IFERROR(__xludf.DUMMYFUNCTION("""COMPUTED_VALUE"""),44713.0)</f>
        <v>44713</v>
      </c>
      <c r="K825" s="18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9" t="str">
        <f>IFERROR(__xludf.DUMMYFUNCTION("""COMPUTED_VALUE"""),"Van Goietsenoven")</f>
        <v>Van Goietsenoven</v>
      </c>
      <c r="B826" s="8" t="str">
        <f>IFERROR(__xludf.DUMMYFUNCTION("""COMPUTED_VALUE"""),"Joel")</f>
        <v>Joel</v>
      </c>
      <c r="C826" s="8" t="str">
        <f>IFERROR(__xludf.DUMMYFUNCTION("""COMPUTED_VALUE"""),"")</f>
        <v/>
      </c>
      <c r="D826" s="8" t="str">
        <f>IFERROR(__xludf.DUMMYFUNCTION("""COMPUTED_VALUE"""),"UNK")</f>
        <v>UNK</v>
      </c>
      <c r="E826" s="8" t="str">
        <f>IFERROR(__xludf.DUMMYFUNCTION("""COMPUTED_VALUE"""),"Belgium")</f>
        <v>Belgium</v>
      </c>
      <c r="F826" s="8" t="str">
        <f>IFERROR(__xludf.DUMMYFUNCTION("""COMPUTED_VALUE"""),"Known Pro")</f>
        <v>Known Pro</v>
      </c>
      <c r="G826" s="8" t="str">
        <f>IFERROR(__xludf.DUMMYFUNCTION("""COMPUTED_VALUE"""),"")</f>
        <v/>
      </c>
      <c r="H826" s="8" t="str">
        <f>IFERROR(__xludf.DUMMYFUNCTION("""COMPUTED_VALUE"""),"Known Ability")</f>
        <v>Known Ability</v>
      </c>
      <c r="I826" s="10">
        <f>IFERROR(__xludf.DUMMYFUNCTION("""COMPUTED_VALUE"""),36892.0)</f>
        <v>36892</v>
      </c>
      <c r="J826" s="10">
        <f>IFERROR(__xludf.DUMMYFUNCTION("""COMPUTED_VALUE"""),45809.0)</f>
        <v>45809</v>
      </c>
      <c r="K826" s="18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9" t="str">
        <f>IFERROR(__xludf.DUMMYFUNCTION("""COMPUTED_VALUE"""),"Van Kerkoerle")</f>
        <v>Van Kerkoerle</v>
      </c>
      <c r="B827" s="8" t="str">
        <f>IFERROR(__xludf.DUMMYFUNCTION("""COMPUTED_VALUE"""),"Johannes")</f>
        <v>Johannes</v>
      </c>
      <c r="C827" s="8" t="str">
        <f>IFERROR(__xludf.DUMMYFUNCTION("""COMPUTED_VALUE"""),"Kettering")</f>
        <v>Kettering</v>
      </c>
      <c r="D827" s="8" t="str">
        <f>IFERROR(__xludf.DUMMYFUNCTION("""COMPUTED_VALUE"""),"OH")</f>
        <v>OH</v>
      </c>
      <c r="E827" s="8" t="str">
        <f>IFERROR(__xludf.DUMMYFUNCTION("""COMPUTED_VALUE"""),"USA")</f>
        <v>USA</v>
      </c>
      <c r="F827" s="8" t="str">
        <f>IFERROR(__xludf.DUMMYFUNCTION("""COMPUTED_VALUE"""),"")</f>
        <v/>
      </c>
      <c r="G827" s="8" t="str">
        <f>IFERROR(__xludf.DUMMYFUNCTION("""COMPUTED_VALUE"""),"")</f>
        <v/>
      </c>
      <c r="H827" s="8" t="str">
        <f>IFERROR(__xludf.DUMMYFUNCTION("""COMPUTED_VALUE"""),"BS 30 Finals")</f>
        <v>BS 30 Finals</v>
      </c>
      <c r="I827" s="10">
        <f>IFERROR(__xludf.DUMMYFUNCTION("""COMPUTED_VALUE"""),43252.0)</f>
        <v>43252</v>
      </c>
      <c r="J827" s="10">
        <f>IFERROR(__xludf.DUMMYFUNCTION("""COMPUTED_VALUE"""),44348.0)</f>
        <v>44348</v>
      </c>
      <c r="K827" s="18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9" t="str">
        <f>IFERROR(__xludf.DUMMYFUNCTION("""COMPUTED_VALUE"""),"Van Straten")</f>
        <v>Van Straten</v>
      </c>
      <c r="B828" s="8" t="str">
        <f>IFERROR(__xludf.DUMMYFUNCTION("""COMPUTED_VALUE"""),"Joshua")</f>
        <v>Joshua</v>
      </c>
      <c r="C828" s="8" t="str">
        <f>IFERROR(__xludf.DUMMYFUNCTION("""COMPUTED_VALUE"""),"Shiocton")</f>
        <v>Shiocton</v>
      </c>
      <c r="D828" s="8" t="str">
        <f>IFERROR(__xludf.DUMMYFUNCTION("""COMPUTED_VALUE"""),"WI")</f>
        <v>WI</v>
      </c>
      <c r="E828" s="8" t="str">
        <f>IFERROR(__xludf.DUMMYFUNCTION("""COMPUTED_VALUE"""),"USA")</f>
        <v>USA</v>
      </c>
      <c r="F828" s="8" t="str">
        <f>IFERROR(__xludf.DUMMYFUNCTION("""COMPUTED_VALUE"""),"Top Gun Triples")</f>
        <v>Top Gun Triples</v>
      </c>
      <c r="G828" s="8" t="str">
        <f>IFERROR(__xludf.DUMMYFUNCTION("""COMPUTED_VALUE"""),"3rd")</f>
        <v>3rd</v>
      </c>
      <c r="H828" s="8" t="str">
        <f>IFERROR(__xludf.DUMMYFUNCTION("""COMPUTED_VALUE"""),"BS 33 Finals")</f>
        <v>BS 33 Finals</v>
      </c>
      <c r="I828" s="10">
        <f>IFERROR(__xludf.DUMMYFUNCTION("""COMPUTED_VALUE"""),43252.0)</f>
        <v>43252</v>
      </c>
      <c r="J828" s="10">
        <f>IFERROR(__xludf.DUMMYFUNCTION("""COMPUTED_VALUE"""),44348.0)</f>
        <v>44348</v>
      </c>
      <c r="K828" s="18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9" t="str">
        <f>IFERROR(__xludf.DUMMYFUNCTION("""COMPUTED_VALUE"""),"VanDeresch")</f>
        <v>VanDeresch</v>
      </c>
      <c r="B829" s="8" t="str">
        <f>IFERROR(__xludf.DUMMYFUNCTION("""COMPUTED_VALUE"""),"Tony")</f>
        <v>Tony</v>
      </c>
      <c r="C829" s="8" t="str">
        <f>IFERROR(__xludf.DUMMYFUNCTION("""COMPUTED_VALUE"""),"Watertown")</f>
        <v>Watertown</v>
      </c>
      <c r="D829" s="8" t="str">
        <f>IFERROR(__xludf.DUMMYFUNCTION("""COMPUTED_VALUE"""),"SD")</f>
        <v>SD</v>
      </c>
      <c r="E829" s="8" t="str">
        <f>IFERROR(__xludf.DUMMYFUNCTION("""COMPUTED_VALUE"""),"USA")</f>
        <v>USA</v>
      </c>
      <c r="F829" s="8" t="str">
        <f>IFERROR(__xludf.DUMMYFUNCTION("""COMPUTED_VALUE"""),"Men Doubles Cricket")</f>
        <v>Men Doubles Cricket</v>
      </c>
      <c r="G829" s="8" t="str">
        <f>IFERROR(__xludf.DUMMYFUNCTION("""COMPUTED_VALUE"""),"2nd")</f>
        <v>2nd</v>
      </c>
      <c r="H829" s="8" t="str">
        <f>IFERROR(__xludf.DUMMYFUNCTION("""COMPUTED_VALUE"""),"Nebraska BS 34")</f>
        <v>Nebraska BS 34</v>
      </c>
      <c r="I829" s="10">
        <f>IFERROR(__xludf.DUMMYFUNCTION("""COMPUTED_VALUE"""),43617.0)</f>
        <v>43617</v>
      </c>
      <c r="J829" s="10">
        <f>IFERROR(__xludf.DUMMYFUNCTION("""COMPUTED_VALUE"""),44713.0)</f>
        <v>44713</v>
      </c>
      <c r="K829" s="18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9" t="str">
        <f>IFERROR(__xludf.DUMMYFUNCTION("""COMPUTED_VALUE"""),"Vanderweit")</f>
        <v>Vanderweit</v>
      </c>
      <c r="B830" s="8" t="str">
        <f>IFERROR(__xludf.DUMMYFUNCTION("""COMPUTED_VALUE"""),"Ryan")</f>
        <v>Ryan</v>
      </c>
      <c r="C830" s="8" t="str">
        <f>IFERROR(__xludf.DUMMYFUNCTION("""COMPUTED_VALUE"""),"")</f>
        <v/>
      </c>
      <c r="D830" s="8" t="str">
        <f>IFERROR(__xludf.DUMMYFUNCTION("""COMPUTED_VALUE"""),"UNK")</f>
        <v>UNK</v>
      </c>
      <c r="E830" s="8" t="str">
        <f>IFERROR(__xludf.DUMMYFUNCTION("""COMPUTED_VALUE"""),"UNK")</f>
        <v>UNK</v>
      </c>
      <c r="F830" s="8" t="str">
        <f>IFERROR(__xludf.DUMMYFUNCTION("""COMPUTED_VALUE"""),"ADO 2016")</f>
        <v>ADO 2016</v>
      </c>
      <c r="G830" s="8" t="str">
        <f>IFERROR(__xludf.DUMMYFUNCTION("""COMPUTED_VALUE"""),"38th")</f>
        <v>38th</v>
      </c>
      <c r="H830" s="8" t="str">
        <f>IFERROR(__xludf.DUMMYFUNCTION("""COMPUTED_VALUE"""),"ADO 2016")</f>
        <v>ADO 2016</v>
      </c>
      <c r="I830" s="10">
        <f>IFERROR(__xludf.DUMMYFUNCTION("""COMPUTED_VALUE"""),42401.0)</f>
        <v>42401</v>
      </c>
      <c r="J830" s="10">
        <f>IFERROR(__xludf.DUMMYFUNCTION("""COMPUTED_VALUE"""),44713.0)</f>
        <v>44713</v>
      </c>
      <c r="K830" s="18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9" t="str">
        <f>IFERROR(__xludf.DUMMYFUNCTION("""COMPUTED_VALUE"""),"VanHook")</f>
        <v>VanHook</v>
      </c>
      <c r="B831" s="8" t="str">
        <f>IFERROR(__xludf.DUMMYFUNCTION("""COMPUTED_VALUE"""),"Bennie")</f>
        <v>Bennie</v>
      </c>
      <c r="C831" s="8" t="str">
        <f>IFERROR(__xludf.DUMMYFUNCTION("""COMPUTED_VALUE"""),"Cincinatti")</f>
        <v>Cincinatti</v>
      </c>
      <c r="D831" s="8" t="str">
        <f>IFERROR(__xludf.DUMMYFUNCTION("""COMPUTED_VALUE"""),"OH")</f>
        <v>OH</v>
      </c>
      <c r="E831" s="8" t="str">
        <f>IFERROR(__xludf.DUMMYFUNCTION("""COMPUTED_VALUE"""),"USA")</f>
        <v>USA</v>
      </c>
      <c r="F831" s="8" t="str">
        <f>IFERROR(__xludf.DUMMYFUNCTION("""COMPUTED_VALUE"""),"Men Doubles 501")</f>
        <v>Men Doubles 501</v>
      </c>
      <c r="G831" s="8" t="str">
        <f>IFERROR(__xludf.DUMMYFUNCTION("""COMPUTED_VALUE"""),"1st")</f>
        <v>1st</v>
      </c>
      <c r="H831" s="8" t="str">
        <f>IFERROR(__xludf.DUMMYFUNCTION("""COMPUTED_VALUE"""),"Indiana BS 34")</f>
        <v>Indiana BS 34</v>
      </c>
      <c r="I831" s="10">
        <f>IFERROR(__xludf.DUMMYFUNCTION("""COMPUTED_VALUE"""),43617.0)</f>
        <v>43617</v>
      </c>
      <c r="J831" s="10">
        <f>IFERROR(__xludf.DUMMYFUNCTION("""COMPUTED_VALUE"""),44713.0)</f>
        <v>44713</v>
      </c>
      <c r="K831" s="18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9" t="str">
        <f>IFERROR(__xludf.DUMMYFUNCTION("""COMPUTED_VALUE"""),"Vanidour")</f>
        <v>Vanidour</v>
      </c>
      <c r="B832" s="8" t="str">
        <f>IFERROR(__xludf.DUMMYFUNCTION("""COMPUTED_VALUE"""),"Kyle")</f>
        <v>Kyle</v>
      </c>
      <c r="C832" s="8" t="str">
        <f>IFERROR(__xludf.DUMMYFUNCTION("""COMPUTED_VALUE"""),"Deland")</f>
        <v>Deland</v>
      </c>
      <c r="D832" s="8" t="str">
        <f>IFERROR(__xludf.DUMMYFUNCTION("""COMPUTED_VALUE"""),"FL")</f>
        <v>FL</v>
      </c>
      <c r="E832" s="8" t="str">
        <f>IFERROR(__xludf.DUMMYFUNCTION("""COMPUTED_VALUE"""),"USA")</f>
        <v>USA</v>
      </c>
      <c r="F832" s="8" t="str">
        <f>IFERROR(__xludf.DUMMYFUNCTION("""COMPUTED_VALUE"""),"Mens Cricket Doubles")</f>
        <v>Mens Cricket Doubles</v>
      </c>
      <c r="G832" s="8" t="str">
        <f>IFERROR(__xludf.DUMMYFUNCTION("""COMPUTED_VALUE"""),"2nd")</f>
        <v>2nd</v>
      </c>
      <c r="H832" s="8" t="str">
        <f>IFERROR(__xludf.DUMMYFUNCTION("""COMPUTED_VALUE"""),"Florida Regional 32")</f>
        <v>Florida Regional 32</v>
      </c>
      <c r="I832" s="10">
        <f>IFERROR(__xludf.DUMMYFUNCTION("""COMPUTED_VALUE"""),42887.0)</f>
        <v>42887</v>
      </c>
      <c r="J832" s="10">
        <f>IFERROR(__xludf.DUMMYFUNCTION("""COMPUTED_VALUE"""),43983.0)</f>
        <v>43983</v>
      </c>
      <c r="K832" s="18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9" t="str">
        <f>IFERROR(__xludf.DUMMYFUNCTION("""COMPUTED_VALUE"""),"Veenstra")</f>
        <v>Veenstra</v>
      </c>
      <c r="B833" s="8" t="str">
        <f>IFERROR(__xludf.DUMMYFUNCTION("""COMPUTED_VALUE"""),"Richard")</f>
        <v>Richard</v>
      </c>
      <c r="C833" s="8" t="str">
        <f>IFERROR(__xludf.DUMMYFUNCTION("""COMPUTED_VALUE"""),"")</f>
        <v/>
      </c>
      <c r="D833" s="8" t="str">
        <f>IFERROR(__xludf.DUMMYFUNCTION("""COMPUTED_VALUE"""),"UNK")</f>
        <v>UNK</v>
      </c>
      <c r="E833" s="8" t="str">
        <f>IFERROR(__xludf.DUMMYFUNCTION("""COMPUTED_VALUE"""),"Netherlands")</f>
        <v>Netherlands</v>
      </c>
      <c r="F833" s="8" t="str">
        <f>IFERROR(__xludf.DUMMYFUNCTION("""COMPUTED_VALUE"""),"PDC Merit Ranking")</f>
        <v>PDC Merit Ranking</v>
      </c>
      <c r="G833" s="8" t="str">
        <f>IFERROR(__xludf.DUMMYFUNCTION("""COMPUTED_VALUE"""),"98th")</f>
        <v>98th</v>
      </c>
      <c r="H833" s="8" t="str">
        <f>IFERROR(__xludf.DUMMYFUNCTION("""COMPUTED_VALUE"""),"PDC Merit Ranking")</f>
        <v>PDC Merit Ranking</v>
      </c>
      <c r="I833" s="10">
        <f>IFERROR(__xludf.DUMMYFUNCTION("""COMPUTED_VALUE"""),42401.0)</f>
        <v>42401</v>
      </c>
      <c r="J833" s="10">
        <f>IFERROR(__xludf.DUMMYFUNCTION("""COMPUTED_VALUE"""),44713.0)</f>
        <v>44713</v>
      </c>
      <c r="K833" s="18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9" t="str">
        <f>IFERROR(__xludf.DUMMYFUNCTION("""COMPUTED_VALUE"""),"Veljic")</f>
        <v>Veljic</v>
      </c>
      <c r="B834" s="8" t="str">
        <f>IFERROR(__xludf.DUMMYFUNCTION("""COMPUTED_VALUE"""),"Isen (Moxie)")</f>
        <v>Isen (Moxie)</v>
      </c>
      <c r="C834" s="8" t="str">
        <f>IFERROR(__xludf.DUMMYFUNCTION("""COMPUTED_VALUE"""),"")</f>
        <v/>
      </c>
      <c r="D834" s="8" t="str">
        <f>IFERROR(__xludf.DUMMYFUNCTION("""COMPUTED_VALUE"""),"IL")</f>
        <v>IL</v>
      </c>
      <c r="E834" s="8" t="str">
        <f>IFERROR(__xludf.DUMMYFUNCTION("""COMPUTED_VALUE"""),"Hong Kong")</f>
        <v>Hong Kong</v>
      </c>
      <c r="F834" s="8" t="str">
        <f>IFERROR(__xludf.DUMMYFUNCTION("""COMPUTED_VALUE"""),"DL")</f>
        <v>DL</v>
      </c>
      <c r="G834" s="8" t="str">
        <f>IFERROR(__xludf.DUMMYFUNCTION("""COMPUTED_VALUE"""),"68th")</f>
        <v>68th</v>
      </c>
      <c r="H834" s="8" t="str">
        <f>IFERROR(__xludf.DUMMYFUNCTION("""COMPUTED_VALUE"""),"DL")</f>
        <v>DL</v>
      </c>
      <c r="I834" s="10">
        <f>IFERROR(__xludf.DUMMYFUNCTION("""COMPUTED_VALUE"""),42401.0)</f>
        <v>42401</v>
      </c>
      <c r="J834" s="10">
        <f>IFERROR(__xludf.DUMMYFUNCTION("""COMPUTED_VALUE"""),44713.0)</f>
        <v>44713</v>
      </c>
      <c r="K834" s="18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9" t="str">
        <f>IFERROR(__xludf.DUMMYFUNCTION("""COMPUTED_VALUE"""),"Venner, Jr.")</f>
        <v>Venner, Jr.</v>
      </c>
      <c r="B835" s="8" t="str">
        <f>IFERROR(__xludf.DUMMYFUNCTION("""COMPUTED_VALUE"""),"Larry")</f>
        <v>Larry</v>
      </c>
      <c r="C835" s="8" t="str">
        <f>IFERROR(__xludf.DUMMYFUNCTION("""COMPUTED_VALUE"""),"Brownsville")</f>
        <v>Brownsville</v>
      </c>
      <c r="D835" s="8" t="str">
        <f>IFERROR(__xludf.DUMMYFUNCTION("""COMPUTED_VALUE"""),"MN")</f>
        <v>MN</v>
      </c>
      <c r="E835" s="8" t="str">
        <f>IFERROR(__xludf.DUMMYFUNCTION("""COMPUTED_VALUE"""),"USA")</f>
        <v>USA</v>
      </c>
      <c r="F835" s="8" t="str">
        <f>IFERROR(__xludf.DUMMYFUNCTION("""COMPUTED_VALUE"""),"Mens Cricket Doubles")</f>
        <v>Mens Cricket Doubles</v>
      </c>
      <c r="G835" s="8" t="str">
        <f>IFERROR(__xludf.DUMMYFUNCTION("""COMPUTED_VALUE"""),"2nd")</f>
        <v>2nd</v>
      </c>
      <c r="H835" s="8" t="str">
        <f>IFERROR(__xludf.DUMMYFUNCTION("""COMPUTED_VALUE"""),"NV Regional 32")</f>
        <v>NV Regional 32</v>
      </c>
      <c r="I835" s="10">
        <f>IFERROR(__xludf.DUMMYFUNCTION("""COMPUTED_VALUE"""),42887.0)</f>
        <v>42887</v>
      </c>
      <c r="J835" s="10">
        <f>IFERROR(__xludf.DUMMYFUNCTION("""COMPUTED_VALUE"""),43983.0)</f>
        <v>43983</v>
      </c>
      <c r="K835" s="18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9" t="str">
        <f>IFERROR(__xludf.DUMMYFUNCTION("""COMPUTED_VALUE"""),"Verner")</f>
        <v>Verner</v>
      </c>
      <c r="B836" s="8" t="str">
        <f>IFERROR(__xludf.DUMMYFUNCTION("""COMPUTED_VALUE"""),"G. R.")</f>
        <v>G. R.</v>
      </c>
      <c r="C836" s="8" t="str">
        <f>IFERROR(__xludf.DUMMYFUNCTION("""COMPUTED_VALUE"""),"Bethel Park")</f>
        <v>Bethel Park</v>
      </c>
      <c r="D836" s="8" t="str">
        <f>IFERROR(__xludf.DUMMYFUNCTION("""COMPUTED_VALUE"""),"PA")</f>
        <v>PA</v>
      </c>
      <c r="E836" s="8" t="str">
        <f>IFERROR(__xludf.DUMMYFUNCTION("""COMPUTED_VALUE"""),"USA")</f>
        <v>USA</v>
      </c>
      <c r="F836" s="8" t="str">
        <f>IFERROR(__xludf.DUMMYFUNCTION("""COMPUTED_VALUE"""),"Known Pro")</f>
        <v>Known Pro</v>
      </c>
      <c r="G836" s="8" t="str">
        <f>IFERROR(__xludf.DUMMYFUNCTION("""COMPUTED_VALUE"""),"")</f>
        <v/>
      </c>
      <c r="H836" s="8" t="str">
        <f>IFERROR(__xludf.DUMMYFUNCTION("""COMPUTED_VALUE"""),"Known Ability")</f>
        <v>Known Ability</v>
      </c>
      <c r="I836" s="10">
        <f>IFERROR(__xludf.DUMMYFUNCTION("""COMPUTED_VALUE"""),40330.0)</f>
        <v>40330</v>
      </c>
      <c r="J836" s="10">
        <f>IFERROR(__xludf.DUMMYFUNCTION("""COMPUTED_VALUE"""),45809.0)</f>
        <v>45809</v>
      </c>
      <c r="K836" s="18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9" t="str">
        <f>IFERROR(__xludf.DUMMYFUNCTION("""COMPUTED_VALUE"""),"Verrier")</f>
        <v>Verrier</v>
      </c>
      <c r="B837" s="8" t="str">
        <f>IFERROR(__xludf.DUMMYFUNCTION("""COMPUTED_VALUE"""),"Gerald")</f>
        <v>Gerald</v>
      </c>
      <c r="C837" s="8" t="str">
        <f>IFERROR(__xludf.DUMMYFUNCTION("""COMPUTED_VALUE"""),"Salem")</f>
        <v>Salem</v>
      </c>
      <c r="D837" s="8" t="str">
        <f>IFERROR(__xludf.DUMMYFUNCTION("""COMPUTED_VALUE"""),"OR")</f>
        <v>OR</v>
      </c>
      <c r="E837" s="8" t="str">
        <f>IFERROR(__xludf.DUMMYFUNCTION("""COMPUTED_VALUE"""),"USA")</f>
        <v>USA</v>
      </c>
      <c r="F837" s="8" t="str">
        <f>IFERROR(__xludf.DUMMYFUNCTION("""COMPUTED_VALUE"""),"Known Pro")</f>
        <v>Known Pro</v>
      </c>
      <c r="G837" s="8" t="str">
        <f>IFERROR(__xludf.DUMMYFUNCTION("""COMPUTED_VALUE"""),"")</f>
        <v/>
      </c>
      <c r="H837" s="8" t="str">
        <f>IFERROR(__xludf.DUMMYFUNCTION("""COMPUTED_VALUE"""),"Known Ability")</f>
        <v>Known Ability</v>
      </c>
      <c r="I837" s="10">
        <f>IFERROR(__xludf.DUMMYFUNCTION("""COMPUTED_VALUE"""),36892.0)</f>
        <v>36892</v>
      </c>
      <c r="J837" s="10">
        <f>IFERROR(__xludf.DUMMYFUNCTION("""COMPUTED_VALUE"""),45809.0)</f>
        <v>45809</v>
      </c>
      <c r="K837" s="18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9" t="str">
        <f>IFERROR(__xludf.DUMMYFUNCTION("""COMPUTED_VALUE"""),"Vidrine")</f>
        <v>Vidrine</v>
      </c>
      <c r="B838" s="8" t="str">
        <f>IFERROR(__xludf.DUMMYFUNCTION("""COMPUTED_VALUE"""),"David")</f>
        <v>David</v>
      </c>
      <c r="C838" s="8" t="str">
        <f>IFERROR(__xludf.DUMMYFUNCTION("""COMPUTED_VALUE"""),"Navasota")</f>
        <v>Navasota</v>
      </c>
      <c r="D838" s="8" t="str">
        <f>IFERROR(__xludf.DUMMYFUNCTION("""COMPUTED_VALUE"""),"TX")</f>
        <v>TX</v>
      </c>
      <c r="E838" s="8" t="str">
        <f>IFERROR(__xludf.DUMMYFUNCTION("""COMPUTED_VALUE"""),"USA")</f>
        <v>USA</v>
      </c>
      <c r="F838" s="8" t="str">
        <f>IFERROR(__xludf.DUMMYFUNCTION("""COMPUTED_VALUE"""),"Mens Cricket Doubles")</f>
        <v>Mens Cricket Doubles</v>
      </c>
      <c r="G838" s="8" t="str">
        <f>IFERROR(__xludf.DUMMYFUNCTION("""COMPUTED_VALUE"""),"3rd")</f>
        <v>3rd</v>
      </c>
      <c r="H838" s="8" t="str">
        <f>IFERROR(__xludf.DUMMYFUNCTION("""COMPUTED_VALUE"""),"TX Regional 33")</f>
        <v>TX Regional 33</v>
      </c>
      <c r="I838" s="10">
        <f>IFERROR(__xludf.DUMMYFUNCTION("""COMPUTED_VALUE"""),43252.0)</f>
        <v>43252</v>
      </c>
      <c r="J838" s="10">
        <f>IFERROR(__xludf.DUMMYFUNCTION("""COMPUTED_VALUE"""),44348.0)</f>
        <v>44348</v>
      </c>
      <c r="K838" s="18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9" t="str">
        <f>IFERROR(__xludf.DUMMYFUNCTION("""COMPUTED_VALUE"""),"Viljanen")</f>
        <v>Viljanen</v>
      </c>
      <c r="B839" s="8" t="str">
        <f>IFERROR(__xludf.DUMMYFUNCTION("""COMPUTED_VALUE"""),"Kim")</f>
        <v>Kim</v>
      </c>
      <c r="C839" s="8" t="str">
        <f>IFERROR(__xludf.DUMMYFUNCTION("""COMPUTED_VALUE"""),"")</f>
        <v/>
      </c>
      <c r="D839" s="8" t="str">
        <f>IFERROR(__xludf.DUMMYFUNCTION("""COMPUTED_VALUE"""),"UNK")</f>
        <v>UNK</v>
      </c>
      <c r="E839" s="8" t="str">
        <f>IFERROR(__xludf.DUMMYFUNCTION("""COMPUTED_VALUE"""),"Finland")</f>
        <v>Finland</v>
      </c>
      <c r="F839" s="8" t="str">
        <f>IFERROR(__xludf.DUMMYFUNCTION("""COMPUTED_VALUE"""),"PDC Merit Ranking")</f>
        <v>PDC Merit Ranking</v>
      </c>
      <c r="G839" s="8" t="str">
        <f>IFERROR(__xludf.DUMMYFUNCTION("""COMPUTED_VALUE"""),"90th")</f>
        <v>90th</v>
      </c>
      <c r="H839" s="8" t="str">
        <f>IFERROR(__xludf.DUMMYFUNCTION("""COMPUTED_VALUE"""),"PDC Merit Ranking")</f>
        <v>PDC Merit Ranking</v>
      </c>
      <c r="I839" s="10">
        <f>IFERROR(__xludf.DUMMYFUNCTION("""COMPUTED_VALUE"""),42401.0)</f>
        <v>42401</v>
      </c>
      <c r="J839" s="10">
        <f>IFERROR(__xludf.DUMMYFUNCTION("""COMPUTED_VALUE"""),44713.0)</f>
        <v>44713</v>
      </c>
      <c r="K839" s="18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9" t="str">
        <f>IFERROR(__xludf.DUMMYFUNCTION("""COMPUTED_VALUE"""),"Villatoro")</f>
        <v>Villatoro</v>
      </c>
      <c r="B840" s="8" t="str">
        <f>IFERROR(__xludf.DUMMYFUNCTION("""COMPUTED_VALUE"""),"Edgar")</f>
        <v>Edgar</v>
      </c>
      <c r="C840" s="8" t="str">
        <f>IFERROR(__xludf.DUMMYFUNCTION("""COMPUTED_VALUE"""),"Houston")</f>
        <v>Houston</v>
      </c>
      <c r="D840" s="8" t="str">
        <f>IFERROR(__xludf.DUMMYFUNCTION("""COMPUTED_VALUE"""),"TX")</f>
        <v>TX</v>
      </c>
      <c r="E840" s="8" t="str">
        <f>IFERROR(__xludf.DUMMYFUNCTION("""COMPUTED_VALUE"""),"USA")</f>
        <v>USA</v>
      </c>
      <c r="F840" s="8" t="str">
        <f>IFERROR(__xludf.DUMMYFUNCTION("""COMPUTED_VALUE"""),"Mens Doubles")</f>
        <v>Mens Doubles</v>
      </c>
      <c r="G840" s="8" t="str">
        <f>IFERROR(__xludf.DUMMYFUNCTION("""COMPUTED_VALUE"""),"1st")</f>
        <v>1st</v>
      </c>
      <c r="H840" s="8" t="str">
        <f>IFERROR(__xludf.DUMMYFUNCTION("""COMPUTED_VALUE"""),"TX Regional 32")</f>
        <v>TX Regional 32</v>
      </c>
      <c r="I840" s="10">
        <f>IFERROR(__xludf.DUMMYFUNCTION("""COMPUTED_VALUE"""),42887.0)</f>
        <v>42887</v>
      </c>
      <c r="J840" s="10">
        <f>IFERROR(__xludf.DUMMYFUNCTION("""COMPUTED_VALUE"""),43983.0)</f>
        <v>43983</v>
      </c>
      <c r="K840" s="18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9" t="str">
        <f>IFERROR(__xludf.DUMMYFUNCTION("""COMPUTED_VALUE"""),"Villeda")</f>
        <v>Villeda</v>
      </c>
      <c r="B841" s="8" t="str">
        <f>IFERROR(__xludf.DUMMYFUNCTION("""COMPUTED_VALUE"""),"Ernesto")</f>
        <v>Ernesto</v>
      </c>
      <c r="C841" s="8" t="str">
        <f>IFERROR(__xludf.DUMMYFUNCTION("""COMPUTED_VALUE"""),"Winter Haven")</f>
        <v>Winter Haven</v>
      </c>
      <c r="D841" s="8" t="str">
        <f>IFERROR(__xludf.DUMMYFUNCTION("""COMPUTED_VALUE"""),"FL")</f>
        <v>FL</v>
      </c>
      <c r="E841" s="8" t="str">
        <f>IFERROR(__xludf.DUMMYFUNCTION("""COMPUTED_VALUE"""),"USA")</f>
        <v>USA</v>
      </c>
      <c r="F841" s="8" t="str">
        <f>IFERROR(__xludf.DUMMYFUNCTION("""COMPUTED_VALUE"""),"Men Doubles 501")</f>
        <v>Men Doubles 501</v>
      </c>
      <c r="G841" s="8" t="str">
        <f>IFERROR(__xludf.DUMMYFUNCTION("""COMPUTED_VALUE"""),"2nd")</f>
        <v>2nd</v>
      </c>
      <c r="H841" s="8" t="str">
        <f>IFERROR(__xludf.DUMMYFUNCTION("""COMPUTED_VALUE"""),"Georgia BS 34")</f>
        <v>Georgia BS 34</v>
      </c>
      <c r="I841" s="10">
        <f>IFERROR(__xludf.DUMMYFUNCTION("""COMPUTED_VALUE"""),43617.0)</f>
        <v>43617</v>
      </c>
      <c r="J841" s="10">
        <f>IFERROR(__xludf.DUMMYFUNCTION("""COMPUTED_VALUE"""),44713.0)</f>
        <v>44713</v>
      </c>
      <c r="K841" s="18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9" t="str">
        <f>IFERROR(__xludf.DUMMYFUNCTION("""COMPUTED_VALUE"""),"Vinson")</f>
        <v>Vinson</v>
      </c>
      <c r="B842" s="8" t="str">
        <f>IFERROR(__xludf.DUMMYFUNCTION("""COMPUTED_VALUE"""),"Michael")</f>
        <v>Michael</v>
      </c>
      <c r="C842" s="8" t="str">
        <f>IFERROR(__xludf.DUMMYFUNCTION("""COMPUTED_VALUE"""),"Sturgis")</f>
        <v>Sturgis</v>
      </c>
      <c r="D842" s="8" t="str">
        <f>IFERROR(__xludf.DUMMYFUNCTION("""COMPUTED_VALUE"""),"SD")</f>
        <v>SD</v>
      </c>
      <c r="E842" s="8" t="str">
        <f>IFERROR(__xludf.DUMMYFUNCTION("""COMPUTED_VALUE"""),"USA")</f>
        <v>USA</v>
      </c>
      <c r="F842" s="8" t="str">
        <f>IFERROR(__xludf.DUMMYFUNCTION("""COMPUTED_VALUE"""),"Mens Singles")</f>
        <v>Mens Singles</v>
      </c>
      <c r="G842" s="8" t="str">
        <f>IFERROR(__xludf.DUMMYFUNCTION("""COMPUTED_VALUE"""),"3rd")</f>
        <v>3rd</v>
      </c>
      <c r="H842" s="8" t="str">
        <f>IFERROR(__xludf.DUMMYFUNCTION("""COMPUTED_VALUE"""),"NE Regional 33")</f>
        <v>NE Regional 33</v>
      </c>
      <c r="I842" s="10">
        <f>IFERROR(__xludf.DUMMYFUNCTION("""COMPUTED_VALUE"""),43252.0)</f>
        <v>43252</v>
      </c>
      <c r="J842" s="10">
        <f>IFERROR(__xludf.DUMMYFUNCTION("""COMPUTED_VALUE"""),44348.0)</f>
        <v>44348</v>
      </c>
      <c r="K842" s="18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9" t="str">
        <f>IFERROR(__xludf.DUMMYFUNCTION("""COMPUTED_VALUE"""),"Vitali")</f>
        <v>Vitali</v>
      </c>
      <c r="B843" s="8" t="str">
        <f>IFERROR(__xludf.DUMMYFUNCTION("""COMPUTED_VALUE"""),"Jeffery")</f>
        <v>Jeffery</v>
      </c>
      <c r="C843" s="8" t="str">
        <f>IFERROR(__xludf.DUMMYFUNCTION("""COMPUTED_VALUE"""),"West Seneca")</f>
        <v>West Seneca</v>
      </c>
      <c r="D843" s="8" t="str">
        <f>IFERROR(__xludf.DUMMYFUNCTION("""COMPUTED_VALUE"""),"NY")</f>
        <v>NY</v>
      </c>
      <c r="E843" s="8" t="str">
        <f>IFERROR(__xludf.DUMMYFUNCTION("""COMPUTED_VALUE"""),"USA")</f>
        <v>USA</v>
      </c>
      <c r="F843" s="8" t="str">
        <f>IFERROR(__xludf.DUMMYFUNCTION("""COMPUTED_VALUE"""),"Pro Doubles 501")</f>
        <v>Pro Doubles 501</v>
      </c>
      <c r="G843" s="8" t="str">
        <f>IFERROR(__xludf.DUMMYFUNCTION("""COMPUTED_VALUE"""),"3rd")</f>
        <v>3rd</v>
      </c>
      <c r="H843" s="8" t="str">
        <f>IFERROR(__xludf.DUMMYFUNCTION("""COMPUTED_VALUE"""),"New York BS 34")</f>
        <v>New York BS 34</v>
      </c>
      <c r="I843" s="10">
        <f>IFERROR(__xludf.DUMMYFUNCTION("""COMPUTED_VALUE"""),43617.0)</f>
        <v>43617</v>
      </c>
      <c r="J843" s="10">
        <f>IFERROR(__xludf.DUMMYFUNCTION("""COMPUTED_VALUE"""),44713.0)</f>
        <v>44713</v>
      </c>
      <c r="K843" s="18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9" t="str">
        <f>IFERROR(__xludf.DUMMYFUNCTION("""COMPUTED_VALUE"""),"Waegemans")</f>
        <v>Waegemans</v>
      </c>
      <c r="B844" s="8" t="str">
        <f>IFERROR(__xludf.DUMMYFUNCTION("""COMPUTED_VALUE"""),"Cedric")</f>
        <v>Cedric</v>
      </c>
      <c r="C844" s="8" t="str">
        <f>IFERROR(__xludf.DUMMYFUNCTION("""COMPUTED_VALUE"""),"Belguim")</f>
        <v>Belguim</v>
      </c>
      <c r="D844" s="8" t="str">
        <f>IFERROR(__xludf.DUMMYFUNCTION("""COMPUTED_VALUE"""),"UNK")</f>
        <v>UNK</v>
      </c>
      <c r="E844" s="8" t="str">
        <f>IFERROR(__xludf.DUMMYFUNCTION("""COMPUTED_VALUE"""),"Belgium")</f>
        <v>Belgium</v>
      </c>
      <c r="F844" s="8" t="str">
        <f>IFERROR(__xludf.DUMMYFUNCTION("""COMPUTED_VALUE"""),"Pro Singles")</f>
        <v>Pro Singles</v>
      </c>
      <c r="G844" s="8" t="str">
        <f>IFERROR(__xludf.DUMMYFUNCTION("""COMPUTED_VALUE"""),"2nd")</f>
        <v>2nd</v>
      </c>
      <c r="H844" s="8" t="str">
        <f>IFERROR(__xludf.DUMMYFUNCTION("""COMPUTED_VALUE"""),"Off AA List")</f>
        <v>Off AA List</v>
      </c>
      <c r="I844" s="10">
        <f>IFERROR(__xludf.DUMMYFUNCTION("""COMPUTED_VALUE"""),42887.0)</f>
        <v>42887</v>
      </c>
      <c r="J844" s="10">
        <f>IFERROR(__xludf.DUMMYFUNCTION("""COMPUTED_VALUE"""),43983.0)</f>
        <v>43983</v>
      </c>
      <c r="K844" s="18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9" t="str">
        <f>IFERROR(__xludf.DUMMYFUNCTION("""COMPUTED_VALUE"""),"Waites")</f>
        <v>Waites</v>
      </c>
      <c r="B845" s="8" t="str">
        <f>IFERROR(__xludf.DUMMYFUNCTION("""COMPUTED_VALUE"""),"Scott")</f>
        <v>Scott</v>
      </c>
      <c r="C845" s="8" t="str">
        <f>IFERROR(__xludf.DUMMYFUNCTION("""COMPUTED_VALUE"""),"")</f>
        <v/>
      </c>
      <c r="D845" s="8" t="str">
        <f>IFERROR(__xludf.DUMMYFUNCTION("""COMPUTED_VALUE"""),"UNK")</f>
        <v>UNK</v>
      </c>
      <c r="E845" s="8" t="str">
        <f>IFERROR(__xludf.DUMMYFUNCTION("""COMPUTED_VALUE"""),"England")</f>
        <v>England</v>
      </c>
      <c r="F845" s="8" t="str">
        <f>IFERROR(__xludf.DUMMYFUNCTION("""COMPUTED_VALUE"""),"PDC Merit Ranking")</f>
        <v>PDC Merit Ranking</v>
      </c>
      <c r="G845" s="8" t="str">
        <f>IFERROR(__xludf.DUMMYFUNCTION("""COMPUTED_VALUE"""),"29th")</f>
        <v>29th</v>
      </c>
      <c r="H845" s="8" t="str">
        <f>IFERROR(__xludf.DUMMYFUNCTION("""COMPUTED_VALUE"""),"PDC Merit Ranking")</f>
        <v>PDC Merit Ranking</v>
      </c>
      <c r="I845" s="10">
        <f>IFERROR(__xludf.DUMMYFUNCTION("""COMPUTED_VALUE"""),42401.0)</f>
        <v>42401</v>
      </c>
      <c r="J845" s="10">
        <f>IFERROR(__xludf.DUMMYFUNCTION("""COMPUTED_VALUE"""),44713.0)</f>
        <v>44713</v>
      </c>
      <c r="K845" s="18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9" t="str">
        <f>IFERROR(__xludf.DUMMYFUNCTION("""COMPUTED_VALUE"""),"Waldrop")</f>
        <v>Waldrop</v>
      </c>
      <c r="B846" s="8" t="str">
        <f>IFERROR(__xludf.DUMMYFUNCTION("""COMPUTED_VALUE"""),"DeWayne")</f>
        <v>DeWayne</v>
      </c>
      <c r="C846" s="8" t="str">
        <f>IFERROR(__xludf.DUMMYFUNCTION("""COMPUTED_VALUE"""),"Texas City")</f>
        <v>Texas City</v>
      </c>
      <c r="D846" s="8" t="str">
        <f>IFERROR(__xludf.DUMMYFUNCTION("""COMPUTED_VALUE"""),"TX")</f>
        <v>TX</v>
      </c>
      <c r="E846" s="8" t="str">
        <f>IFERROR(__xludf.DUMMYFUNCTION("""COMPUTED_VALUE"""),"USA")</f>
        <v>USA</v>
      </c>
      <c r="F846" s="8" t="str">
        <f>IFERROR(__xludf.DUMMYFUNCTION("""COMPUTED_VALUE"""),"Mens Cricket Doubles")</f>
        <v>Mens Cricket Doubles</v>
      </c>
      <c r="G846" s="8" t="str">
        <f>IFERROR(__xludf.DUMMYFUNCTION("""COMPUTED_VALUE"""),"2nd")</f>
        <v>2nd</v>
      </c>
      <c r="H846" s="8" t="str">
        <f>IFERROR(__xludf.DUMMYFUNCTION("""COMPUTED_VALUE"""),"TX Regional 32")</f>
        <v>TX Regional 32</v>
      </c>
      <c r="I846" s="10">
        <f>IFERROR(__xludf.DUMMYFUNCTION("""COMPUTED_VALUE"""),42887.0)</f>
        <v>42887</v>
      </c>
      <c r="J846" s="10">
        <f>IFERROR(__xludf.DUMMYFUNCTION("""COMPUTED_VALUE"""),43983.0)</f>
        <v>43983</v>
      </c>
      <c r="K846" s="18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9" t="str">
        <f>IFERROR(__xludf.DUMMYFUNCTION("""COMPUTED_VALUE"""),"Walker")</f>
        <v>Walker</v>
      </c>
      <c r="B847" s="8" t="str">
        <f>IFERROR(__xludf.DUMMYFUNCTION("""COMPUTED_VALUE"""),"Joseph")</f>
        <v>Joseph</v>
      </c>
      <c r="C847" s="8" t="str">
        <f>IFERROR(__xludf.DUMMYFUNCTION("""COMPUTED_VALUE"""),"Irvington")</f>
        <v>Irvington</v>
      </c>
      <c r="D847" s="8" t="str">
        <f>IFERROR(__xludf.DUMMYFUNCTION("""COMPUTED_VALUE"""),"AL")</f>
        <v>AL</v>
      </c>
      <c r="E847" s="8" t="str">
        <f>IFERROR(__xludf.DUMMYFUNCTION("""COMPUTED_VALUE"""),"USA")</f>
        <v>USA</v>
      </c>
      <c r="F847" s="8" t="str">
        <f>IFERROR(__xludf.DUMMYFUNCTION("""COMPUTED_VALUE"""),"Men 501 Doubles")</f>
        <v>Men 501 Doubles</v>
      </c>
      <c r="G847" s="8" t="str">
        <f>IFERROR(__xludf.DUMMYFUNCTION("""COMPUTED_VALUE"""),"3rd")</f>
        <v>3rd</v>
      </c>
      <c r="H847" s="8" t="str">
        <f>IFERROR(__xludf.DUMMYFUNCTION("""COMPUTED_VALUE"""),"BullShooter 34 Finals")</f>
        <v>BullShooter 34 Finals</v>
      </c>
      <c r="I847" s="10">
        <f>IFERROR(__xludf.DUMMYFUNCTION("""COMPUTED_VALUE"""),43617.0)</f>
        <v>43617</v>
      </c>
      <c r="J847" s="10">
        <f>IFERROR(__xludf.DUMMYFUNCTION("""COMPUTED_VALUE"""),44713.0)</f>
        <v>44713</v>
      </c>
      <c r="K847" s="18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9" t="str">
        <f>IFERROR(__xludf.DUMMYFUNCTION("""COMPUTED_VALUE"""),"Wallace")</f>
        <v>Wallace</v>
      </c>
      <c r="B848" s="8" t="str">
        <f>IFERROR(__xludf.DUMMYFUNCTION("""COMPUTED_VALUE"""),"Joseph")</f>
        <v>Joseph</v>
      </c>
      <c r="C848" s="8" t="str">
        <f>IFERROR(__xludf.DUMMYFUNCTION("""COMPUTED_VALUE"""),"Adger")</f>
        <v>Adger</v>
      </c>
      <c r="D848" s="8" t="str">
        <f>IFERROR(__xludf.DUMMYFUNCTION("""COMPUTED_VALUE"""),"AL")</f>
        <v>AL</v>
      </c>
      <c r="E848" s="8" t="str">
        <f>IFERROR(__xludf.DUMMYFUNCTION("""COMPUTED_VALUE"""),"USA")</f>
        <v>USA</v>
      </c>
      <c r="F848" s="8" t="str">
        <f>IFERROR(__xludf.DUMMYFUNCTION("""COMPUTED_VALUE"""),"Mens Doubles")</f>
        <v>Mens Doubles</v>
      </c>
      <c r="G848" s="8" t="str">
        <f>IFERROR(__xludf.DUMMYFUNCTION("""COMPUTED_VALUE"""),"2nd")</f>
        <v>2nd</v>
      </c>
      <c r="H848" s="8" t="str">
        <f>IFERROR(__xludf.DUMMYFUNCTION("""COMPUTED_VALUE"""),"GA Regional 33")</f>
        <v>GA Regional 33</v>
      </c>
      <c r="I848" s="10">
        <f>IFERROR(__xludf.DUMMYFUNCTION("""COMPUTED_VALUE"""),43252.0)</f>
        <v>43252</v>
      </c>
      <c r="J848" s="10">
        <f>IFERROR(__xludf.DUMMYFUNCTION("""COMPUTED_VALUE"""),44348.0)</f>
        <v>44348</v>
      </c>
      <c r="K848" s="18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9" t="str">
        <f>IFERROR(__xludf.DUMMYFUNCTION("""COMPUTED_VALUE"""),"Walton, Jr.")</f>
        <v>Walton, Jr.</v>
      </c>
      <c r="B849" s="8" t="str">
        <f>IFERROR(__xludf.DUMMYFUNCTION("""COMPUTED_VALUE"""),"Robert")</f>
        <v>Robert</v>
      </c>
      <c r="C849" s="8" t="str">
        <f>IFERROR(__xludf.DUMMYFUNCTION("""COMPUTED_VALUE"""),"Bethel Park")</f>
        <v>Bethel Park</v>
      </c>
      <c r="D849" s="8" t="str">
        <f>IFERROR(__xludf.DUMMYFUNCTION("""COMPUTED_VALUE"""),"PA")</f>
        <v>PA</v>
      </c>
      <c r="E849" s="8" t="str">
        <f>IFERROR(__xludf.DUMMYFUNCTION("""COMPUTED_VALUE"""),"USA")</f>
        <v>USA</v>
      </c>
      <c r="F849" s="8" t="str">
        <f>IFERROR(__xludf.DUMMYFUNCTION("""COMPUTED_VALUE"""),"Pro / Am Cricket")</f>
        <v>Pro / Am Cricket</v>
      </c>
      <c r="G849" s="8" t="str">
        <f>IFERROR(__xludf.DUMMYFUNCTION("""COMPUTED_VALUE"""),"2nd")</f>
        <v>2nd</v>
      </c>
      <c r="H849" s="8" t="str">
        <f>IFERROR(__xludf.DUMMYFUNCTION("""COMPUTED_VALUE"""),"OH Regional 32")</f>
        <v>OH Regional 32</v>
      </c>
      <c r="I849" s="10">
        <f>IFERROR(__xludf.DUMMYFUNCTION("""COMPUTED_VALUE"""),42887.0)</f>
        <v>42887</v>
      </c>
      <c r="J849" s="10">
        <f>IFERROR(__xludf.DUMMYFUNCTION("""COMPUTED_VALUE"""),43983.0)</f>
        <v>43983</v>
      </c>
      <c r="K849" s="18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9" t="str">
        <f>IFERROR(__xludf.DUMMYFUNCTION("""COMPUTED_VALUE"""),"Ward")</f>
        <v>Ward</v>
      </c>
      <c r="B850" s="8" t="str">
        <f>IFERROR(__xludf.DUMMYFUNCTION("""COMPUTED_VALUE"""),"Carl")</f>
        <v>Carl</v>
      </c>
      <c r="C850" s="8" t="str">
        <f>IFERROR(__xludf.DUMMYFUNCTION("""COMPUTED_VALUE"""),"New London")</f>
        <v>New London</v>
      </c>
      <c r="D850" s="8" t="str">
        <f>IFERROR(__xludf.DUMMYFUNCTION("""COMPUTED_VALUE"""),"WI")</f>
        <v>WI</v>
      </c>
      <c r="E850" s="8" t="str">
        <f>IFERROR(__xludf.DUMMYFUNCTION("""COMPUTED_VALUE"""),"USA")</f>
        <v>USA</v>
      </c>
      <c r="F850" s="8" t="str">
        <f>IFERROR(__xludf.DUMMYFUNCTION("""COMPUTED_VALUE"""),"Mens Singles")</f>
        <v>Mens Singles</v>
      </c>
      <c r="G850" s="8" t="str">
        <f>IFERROR(__xludf.DUMMYFUNCTION("""COMPUTED_VALUE"""),"2nd")</f>
        <v>2nd</v>
      </c>
      <c r="H850" s="8" t="str">
        <f>IFERROR(__xludf.DUMMYFUNCTION("""COMPUTED_VALUE"""),"WI Regional 33")</f>
        <v>WI Regional 33</v>
      </c>
      <c r="I850" s="10">
        <f>IFERROR(__xludf.DUMMYFUNCTION("""COMPUTED_VALUE"""),43252.0)</f>
        <v>43252</v>
      </c>
      <c r="J850" s="10">
        <f>IFERROR(__xludf.DUMMYFUNCTION("""COMPUTED_VALUE"""),44348.0)</f>
        <v>44348</v>
      </c>
      <c r="K850" s="18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9" t="str">
        <f>IFERROR(__xludf.DUMMYFUNCTION("""COMPUTED_VALUE"""),"Ware")</f>
        <v>Ware</v>
      </c>
      <c r="B851" s="8" t="str">
        <f>IFERROR(__xludf.DUMMYFUNCTION("""COMPUTED_VALUE"""),"Micheael")</f>
        <v>Micheael</v>
      </c>
      <c r="C851" s="8" t="str">
        <f>IFERROR(__xludf.DUMMYFUNCTION("""COMPUTED_VALUE"""),"Bessemer")</f>
        <v>Bessemer</v>
      </c>
      <c r="D851" s="8" t="str">
        <f>IFERROR(__xludf.DUMMYFUNCTION("""COMPUTED_VALUE"""),"AL")</f>
        <v>AL</v>
      </c>
      <c r="E851" s="8" t="str">
        <f>IFERROR(__xludf.DUMMYFUNCTION("""COMPUTED_VALUE"""),"USA")</f>
        <v>USA</v>
      </c>
      <c r="F851" s="8" t="str">
        <f>IFERROR(__xludf.DUMMYFUNCTION("""COMPUTED_VALUE"""),"Mens Doubles")</f>
        <v>Mens Doubles</v>
      </c>
      <c r="G851" s="8" t="str">
        <f>IFERROR(__xludf.DUMMYFUNCTION("""COMPUTED_VALUE"""),"2nd")</f>
        <v>2nd</v>
      </c>
      <c r="H851" s="8" t="str">
        <f>IFERROR(__xludf.DUMMYFUNCTION("""COMPUTED_VALUE"""),"GA Regional 33")</f>
        <v>GA Regional 33</v>
      </c>
      <c r="I851" s="10">
        <f>IFERROR(__xludf.DUMMYFUNCTION("""COMPUTED_VALUE"""),43252.0)</f>
        <v>43252</v>
      </c>
      <c r="J851" s="10">
        <f>IFERROR(__xludf.DUMMYFUNCTION("""COMPUTED_VALUE"""),44348.0)</f>
        <v>44348</v>
      </c>
      <c r="K851" s="18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9" t="str">
        <f>IFERROR(__xludf.DUMMYFUNCTION("""COMPUTED_VALUE"""),"Warhurst")</f>
        <v>Warhurst</v>
      </c>
      <c r="B852" s="8" t="str">
        <f>IFERROR(__xludf.DUMMYFUNCTION("""COMPUTED_VALUE"""),"Barry")</f>
        <v>Barry</v>
      </c>
      <c r="C852" s="8" t="str">
        <f>IFERROR(__xludf.DUMMYFUNCTION("""COMPUTED_VALUE"""),"Millbrook")</f>
        <v>Millbrook</v>
      </c>
      <c r="D852" s="8" t="str">
        <f>IFERROR(__xludf.DUMMYFUNCTION("""COMPUTED_VALUE"""),"AL")</f>
        <v>AL</v>
      </c>
      <c r="E852" s="8" t="str">
        <f>IFERROR(__xludf.DUMMYFUNCTION("""COMPUTED_VALUE"""),"USA")</f>
        <v>USA</v>
      </c>
      <c r="F852" s="8" t="str">
        <f>IFERROR(__xludf.DUMMYFUNCTION("""COMPUTED_VALUE"""),"Mens Cricket Doubles")</f>
        <v>Mens Cricket Doubles</v>
      </c>
      <c r="G852" s="8" t="str">
        <f>IFERROR(__xludf.DUMMYFUNCTION("""COMPUTED_VALUE"""),"3rd")</f>
        <v>3rd</v>
      </c>
      <c r="H852" s="8" t="str">
        <f>IFERROR(__xludf.DUMMYFUNCTION("""COMPUTED_VALUE"""),"GA Regional 33")</f>
        <v>GA Regional 33</v>
      </c>
      <c r="I852" s="10">
        <f>IFERROR(__xludf.DUMMYFUNCTION("""COMPUTED_VALUE"""),43252.0)</f>
        <v>43252</v>
      </c>
      <c r="J852" s="10">
        <f>IFERROR(__xludf.DUMMYFUNCTION("""COMPUTED_VALUE"""),44348.0)</f>
        <v>44348</v>
      </c>
      <c r="K852" s="18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9" t="str">
        <f>IFERROR(__xludf.DUMMYFUNCTION("""COMPUTED_VALUE"""),"Watkins")</f>
        <v>Watkins</v>
      </c>
      <c r="B853" s="8" t="str">
        <f>IFERROR(__xludf.DUMMYFUNCTION("""COMPUTED_VALUE"""),"Gary")</f>
        <v>Gary</v>
      </c>
      <c r="C853" s="8" t="str">
        <f>IFERROR(__xludf.DUMMYFUNCTION("""COMPUTED_VALUE"""),"Constantine")</f>
        <v>Constantine</v>
      </c>
      <c r="D853" s="8" t="str">
        <f>IFERROR(__xludf.DUMMYFUNCTION("""COMPUTED_VALUE"""),"MI")</f>
        <v>MI</v>
      </c>
      <c r="E853" s="8" t="str">
        <f>IFERROR(__xludf.DUMMYFUNCTION("""COMPUTED_VALUE"""),"USA")</f>
        <v>USA</v>
      </c>
      <c r="F853" s="8" t="str">
        <f>IFERROR(__xludf.DUMMYFUNCTION("""COMPUTED_VALUE"""),"Mens Doubles")</f>
        <v>Mens Doubles</v>
      </c>
      <c r="G853" s="8" t="str">
        <f>IFERROR(__xludf.DUMMYFUNCTION("""COMPUTED_VALUE"""),"3rd")</f>
        <v>3rd</v>
      </c>
      <c r="H853" s="8" t="str">
        <f>IFERROR(__xludf.DUMMYFUNCTION("""COMPUTED_VALUE"""),"IN Regional 33")</f>
        <v>IN Regional 33</v>
      </c>
      <c r="I853" s="10">
        <f>IFERROR(__xludf.DUMMYFUNCTION("""COMPUTED_VALUE"""),43252.0)</f>
        <v>43252</v>
      </c>
      <c r="J853" s="10">
        <f>IFERROR(__xludf.DUMMYFUNCTION("""COMPUTED_VALUE"""),44348.0)</f>
        <v>44348</v>
      </c>
      <c r="K853" s="18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9" t="str">
        <f>IFERROR(__xludf.DUMMYFUNCTION("""COMPUTED_VALUE"""),"Waugh")</f>
        <v>Waugh</v>
      </c>
      <c r="B854" s="8" t="str">
        <f>IFERROR(__xludf.DUMMYFUNCTION("""COMPUTED_VALUE"""),"Jay")</f>
        <v>Jay</v>
      </c>
      <c r="C854" s="8" t="str">
        <f>IFERROR(__xludf.DUMMYFUNCTION("""COMPUTED_VALUE"""),"")</f>
        <v/>
      </c>
      <c r="D854" s="8" t="str">
        <f>IFERROR(__xludf.DUMMYFUNCTION("""COMPUTED_VALUE"""),"UNK")</f>
        <v>UNK</v>
      </c>
      <c r="E854" s="8" t="str">
        <f>IFERROR(__xludf.DUMMYFUNCTION("""COMPUTED_VALUE"""),"USA")</f>
        <v>USA</v>
      </c>
      <c r="F854" s="8" t="str">
        <f>IFERROR(__xludf.DUMMYFUNCTION("""COMPUTED_VALUE"""),"ADO 2016")</f>
        <v>ADO 2016</v>
      </c>
      <c r="G854" s="8" t="str">
        <f>IFERROR(__xludf.DUMMYFUNCTION("""COMPUTED_VALUE"""),"16th")</f>
        <v>16th</v>
      </c>
      <c r="H854" s="8" t="str">
        <f>IFERROR(__xludf.DUMMYFUNCTION("""COMPUTED_VALUE"""),"ADO 2016")</f>
        <v>ADO 2016</v>
      </c>
      <c r="I854" s="10">
        <f>IFERROR(__xludf.DUMMYFUNCTION("""COMPUTED_VALUE"""),42401.0)</f>
        <v>42401</v>
      </c>
      <c r="J854" s="10">
        <f>IFERROR(__xludf.DUMMYFUNCTION("""COMPUTED_VALUE"""),44713.0)</f>
        <v>44713</v>
      </c>
      <c r="K854" s="18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9" t="str">
        <f>IFERROR(__xludf.DUMMYFUNCTION("""COMPUTED_VALUE"""),"Webb")</f>
        <v>Webb</v>
      </c>
      <c r="B855" s="8" t="str">
        <f>IFERROR(__xludf.DUMMYFUNCTION("""COMPUTED_VALUE"""),"Patt")</f>
        <v>Patt</v>
      </c>
      <c r="C855" s="8" t="str">
        <f>IFERROR(__xludf.DUMMYFUNCTION("""COMPUTED_VALUE"""),"W. Portsmouth")</f>
        <v>W. Portsmouth</v>
      </c>
      <c r="D855" s="8" t="str">
        <f>IFERROR(__xludf.DUMMYFUNCTION("""COMPUTED_VALUE"""),"OH")</f>
        <v>OH</v>
      </c>
      <c r="E855" s="8" t="str">
        <f>IFERROR(__xludf.DUMMYFUNCTION("""COMPUTED_VALUE"""),"USA")</f>
        <v>USA</v>
      </c>
      <c r="F855" s="8" t="str">
        <f>IFERROR(__xludf.DUMMYFUNCTION("""COMPUTED_VALUE"""),"Mens Doubles")</f>
        <v>Mens Doubles</v>
      </c>
      <c r="G855" s="8" t="str">
        <f>IFERROR(__xludf.DUMMYFUNCTION("""COMPUTED_VALUE"""),"1st")</f>
        <v>1st</v>
      </c>
      <c r="H855" s="8" t="str">
        <f>IFERROR(__xludf.DUMMYFUNCTION("""COMPUTED_VALUE"""),"OH Regional 33")</f>
        <v>OH Regional 33</v>
      </c>
      <c r="I855" s="10">
        <f>IFERROR(__xludf.DUMMYFUNCTION("""COMPUTED_VALUE"""),43252.0)</f>
        <v>43252</v>
      </c>
      <c r="J855" s="10">
        <f>IFERROR(__xludf.DUMMYFUNCTION("""COMPUTED_VALUE"""),44348.0)</f>
        <v>44348</v>
      </c>
      <c r="K855" s="18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9" t="str">
        <f>IFERROR(__xludf.DUMMYFUNCTION("""COMPUTED_VALUE"""),"Weiskopf")</f>
        <v>Weiskopf</v>
      </c>
      <c r="B856" s="8" t="str">
        <f>IFERROR(__xludf.DUMMYFUNCTION("""COMPUTED_VALUE"""),"Jeffery")</f>
        <v>Jeffery</v>
      </c>
      <c r="C856" s="8" t="str">
        <f>IFERROR(__xludf.DUMMYFUNCTION("""COMPUTED_VALUE"""),"Niagara Falls")</f>
        <v>Niagara Falls</v>
      </c>
      <c r="D856" s="8" t="str">
        <f>IFERROR(__xludf.DUMMYFUNCTION("""COMPUTED_VALUE"""),"NY")</f>
        <v>NY</v>
      </c>
      <c r="E856" s="8" t="str">
        <f>IFERROR(__xludf.DUMMYFUNCTION("""COMPUTED_VALUE"""),"USA")</f>
        <v>USA</v>
      </c>
      <c r="F856" s="8" t="str">
        <f>IFERROR(__xludf.DUMMYFUNCTION("""COMPUTED_VALUE"""),"Pro/Am Cricket")</f>
        <v>Pro/Am Cricket</v>
      </c>
      <c r="G856" s="8" t="str">
        <f>IFERROR(__xludf.DUMMYFUNCTION("""COMPUTED_VALUE"""),"1st")</f>
        <v>1st</v>
      </c>
      <c r="H856" s="8" t="str">
        <f>IFERROR(__xludf.DUMMYFUNCTION("""COMPUTED_VALUE"""),"New York BS 34")</f>
        <v>New York BS 34</v>
      </c>
      <c r="I856" s="10">
        <f>IFERROR(__xludf.DUMMYFUNCTION("""COMPUTED_VALUE"""),43617.0)</f>
        <v>43617</v>
      </c>
      <c r="J856" s="10">
        <f>IFERROR(__xludf.DUMMYFUNCTION("""COMPUTED_VALUE"""),44713.0)</f>
        <v>44713</v>
      </c>
      <c r="K856" s="18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9" t="str">
        <f>IFERROR(__xludf.DUMMYFUNCTION("""COMPUTED_VALUE"""),"Wells")</f>
        <v>Wells</v>
      </c>
      <c r="B857" s="8" t="str">
        <f>IFERROR(__xludf.DUMMYFUNCTION("""COMPUTED_VALUE"""),"David")</f>
        <v>David</v>
      </c>
      <c r="C857" s="8" t="str">
        <f>IFERROR(__xludf.DUMMYFUNCTION("""COMPUTED_VALUE"""),"Dayton")</f>
        <v>Dayton</v>
      </c>
      <c r="D857" s="8" t="str">
        <f>IFERROR(__xludf.DUMMYFUNCTION("""COMPUTED_VALUE"""),"OH")</f>
        <v>OH</v>
      </c>
      <c r="E857" s="8" t="str">
        <f>IFERROR(__xludf.DUMMYFUNCTION("""COMPUTED_VALUE"""),"USA")</f>
        <v>USA</v>
      </c>
      <c r="F857" s="8" t="str">
        <f>IFERROR(__xludf.DUMMYFUNCTION("""COMPUTED_VALUE"""),"Men Doubles 501")</f>
        <v>Men Doubles 501</v>
      </c>
      <c r="G857" s="8" t="str">
        <f>IFERROR(__xludf.DUMMYFUNCTION("""COMPUTED_VALUE"""),"2nd")</f>
        <v>2nd</v>
      </c>
      <c r="H857" s="8" t="str">
        <f>IFERROR(__xludf.DUMMYFUNCTION("""COMPUTED_VALUE"""),"Ohio BS 34")</f>
        <v>Ohio BS 34</v>
      </c>
      <c r="I857" s="10">
        <f>IFERROR(__xludf.DUMMYFUNCTION("""COMPUTED_VALUE"""),43617.0)</f>
        <v>43617</v>
      </c>
      <c r="J857" s="10">
        <f>IFERROR(__xludf.DUMMYFUNCTION("""COMPUTED_VALUE"""),44713.0)</f>
        <v>44713</v>
      </c>
      <c r="K857" s="18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9" t="str">
        <f>IFERROR(__xludf.DUMMYFUNCTION("""COMPUTED_VALUE"""),"Wen Kai")</f>
        <v>Wen Kai</v>
      </c>
      <c r="B858" s="8" t="str">
        <f>IFERROR(__xludf.DUMMYFUNCTION("""COMPUTED_VALUE"""),"Shen")</f>
        <v>Shen</v>
      </c>
      <c r="C858" s="8" t="str">
        <f>IFERROR(__xludf.DUMMYFUNCTION("""COMPUTED_VALUE"""),"")</f>
        <v/>
      </c>
      <c r="D858" s="8" t="str">
        <f>IFERROR(__xludf.DUMMYFUNCTION("""COMPUTED_VALUE"""),"UNK")</f>
        <v>UNK</v>
      </c>
      <c r="E858" s="8" t="str">
        <f>IFERROR(__xludf.DUMMYFUNCTION("""COMPUTED_VALUE"""),"Taiwan")</f>
        <v>Taiwan</v>
      </c>
      <c r="F858" s="8" t="str">
        <f>IFERROR(__xludf.DUMMYFUNCTION("""COMPUTED_VALUE"""),"DL")</f>
        <v>DL</v>
      </c>
      <c r="G858" s="8" t="str">
        <f>IFERROR(__xludf.DUMMYFUNCTION("""COMPUTED_VALUE"""),"63rd")</f>
        <v>63rd</v>
      </c>
      <c r="H858" s="8" t="str">
        <f>IFERROR(__xludf.DUMMYFUNCTION("""COMPUTED_VALUE"""),"DL")</f>
        <v>DL</v>
      </c>
      <c r="I858" s="10">
        <f>IFERROR(__xludf.DUMMYFUNCTION("""COMPUTED_VALUE"""),42401.0)</f>
        <v>42401</v>
      </c>
      <c r="J858" s="10">
        <f>IFERROR(__xludf.DUMMYFUNCTION("""COMPUTED_VALUE"""),44713.0)</f>
        <v>44713</v>
      </c>
      <c r="K858" s="18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9" t="str">
        <f>IFERROR(__xludf.DUMMYFUNCTION("""COMPUTED_VALUE"""),"Werner")</f>
        <v>Werner</v>
      </c>
      <c r="B859" s="8" t="str">
        <f>IFERROR(__xludf.DUMMYFUNCTION("""COMPUTED_VALUE"""),"Michael")</f>
        <v>Michael</v>
      </c>
      <c r="C859" s="8" t="str">
        <f>IFERROR(__xludf.DUMMYFUNCTION("""COMPUTED_VALUE"""),"Port St. Lucie")</f>
        <v>Port St. Lucie</v>
      </c>
      <c r="D859" s="8" t="str">
        <f>IFERROR(__xludf.DUMMYFUNCTION("""COMPUTED_VALUE"""),"FL")</f>
        <v>FL</v>
      </c>
      <c r="E859" s="8" t="str">
        <f>IFERROR(__xludf.DUMMYFUNCTION("""COMPUTED_VALUE"""),"USA")</f>
        <v>USA</v>
      </c>
      <c r="F859" s="8" t="str">
        <f>IFERROR(__xludf.DUMMYFUNCTION("""COMPUTED_VALUE"""),"Men Doubles 501")</f>
        <v>Men Doubles 501</v>
      </c>
      <c r="G859" s="8" t="str">
        <f>IFERROR(__xludf.DUMMYFUNCTION("""COMPUTED_VALUE"""),"2nd")</f>
        <v>2nd</v>
      </c>
      <c r="H859" s="8" t="str">
        <f>IFERROR(__xludf.DUMMYFUNCTION("""COMPUTED_VALUE"""),"South Carolina BS 34")</f>
        <v>South Carolina BS 34</v>
      </c>
      <c r="I859" s="10">
        <f>IFERROR(__xludf.DUMMYFUNCTION("""COMPUTED_VALUE"""),43617.0)</f>
        <v>43617</v>
      </c>
      <c r="J859" s="10">
        <f>IFERROR(__xludf.DUMMYFUNCTION("""COMPUTED_VALUE"""),44713.0)</f>
        <v>44713</v>
      </c>
      <c r="K859" s="18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9" t="str">
        <f>IFERROR(__xludf.DUMMYFUNCTION("""COMPUTED_VALUE"""),"West")</f>
        <v>West</v>
      </c>
      <c r="B860" s="8" t="str">
        <f>IFERROR(__xludf.DUMMYFUNCTION("""COMPUTED_VALUE"""),"Derrick")</f>
        <v>Derrick</v>
      </c>
      <c r="C860" s="8" t="str">
        <f>IFERROR(__xludf.DUMMYFUNCTION("""COMPUTED_VALUE"""),"Goodlettsville")</f>
        <v>Goodlettsville</v>
      </c>
      <c r="D860" s="8" t="str">
        <f>IFERROR(__xludf.DUMMYFUNCTION("""COMPUTED_VALUE"""),"TN")</f>
        <v>TN</v>
      </c>
      <c r="E860" s="8" t="str">
        <f>IFERROR(__xludf.DUMMYFUNCTION("""COMPUTED_VALUE"""),"USA")</f>
        <v>USA</v>
      </c>
      <c r="F860" s="8" t="str">
        <f>IFERROR(__xludf.DUMMYFUNCTION("""COMPUTED_VALUE"""),"Pro Doubles")</f>
        <v>Pro Doubles</v>
      </c>
      <c r="G860" s="8" t="str">
        <f>IFERROR(__xludf.DUMMYFUNCTION("""COMPUTED_VALUE"""),"3rd")</f>
        <v>3rd</v>
      </c>
      <c r="H860" s="8" t="str">
        <f>IFERROR(__xludf.DUMMYFUNCTION("""COMPUTED_VALUE"""),"GA Regional 32")</f>
        <v>GA Regional 32</v>
      </c>
      <c r="I860" s="10">
        <f>IFERROR(__xludf.DUMMYFUNCTION("""COMPUTED_VALUE"""),42887.0)</f>
        <v>42887</v>
      </c>
      <c r="J860" s="10">
        <f>IFERROR(__xludf.DUMMYFUNCTION("""COMPUTED_VALUE"""),43983.0)</f>
        <v>43983</v>
      </c>
      <c r="K860" s="18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9" t="str">
        <f>IFERROR(__xludf.DUMMYFUNCTION("""COMPUTED_VALUE"""),"West")</f>
        <v>West</v>
      </c>
      <c r="B861" s="8" t="str">
        <f>IFERROR(__xludf.DUMMYFUNCTION("""COMPUTED_VALUE"""),"Nicholas")</f>
        <v>Nicholas</v>
      </c>
      <c r="C861" s="8" t="str">
        <f>IFERROR(__xludf.DUMMYFUNCTION("""COMPUTED_VALUE"""),"East Alton")</f>
        <v>East Alton</v>
      </c>
      <c r="D861" s="8" t="str">
        <f>IFERROR(__xludf.DUMMYFUNCTION("""COMPUTED_VALUE"""),"IL")</f>
        <v>IL</v>
      </c>
      <c r="E861" s="8" t="str">
        <f>IFERROR(__xludf.DUMMYFUNCTION("""COMPUTED_VALUE"""),"USA")</f>
        <v>USA</v>
      </c>
      <c r="F861" s="8" t="str">
        <f>IFERROR(__xludf.DUMMYFUNCTION("""COMPUTED_VALUE"""),"Men Doubles 501")</f>
        <v>Men Doubles 501</v>
      </c>
      <c r="G861" s="8" t="str">
        <f>IFERROR(__xludf.DUMMYFUNCTION("""COMPUTED_VALUE"""),"1st")</f>
        <v>1st</v>
      </c>
      <c r="H861" s="8" t="str">
        <f>IFERROR(__xludf.DUMMYFUNCTION("""COMPUTED_VALUE"""),"Florida BS 34")</f>
        <v>Florida BS 34</v>
      </c>
      <c r="I861" s="10">
        <f>IFERROR(__xludf.DUMMYFUNCTION("""COMPUTED_VALUE"""),43617.0)</f>
        <v>43617</v>
      </c>
      <c r="J861" s="10">
        <f>IFERROR(__xludf.DUMMYFUNCTION("""COMPUTED_VALUE"""),44713.0)</f>
        <v>44713</v>
      </c>
      <c r="K861" s="18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9" t="str">
        <f>IFERROR(__xludf.DUMMYFUNCTION("""COMPUTED_VALUE"""),"Westra")</f>
        <v>Westra</v>
      </c>
      <c r="B862" s="8" t="str">
        <f>IFERROR(__xludf.DUMMYFUNCTION("""COMPUTED_VALUE"""),"Christopher")</f>
        <v>Christopher</v>
      </c>
      <c r="C862" s="8" t="str">
        <f>IFERROR(__xludf.DUMMYFUNCTION("""COMPUTED_VALUE"""),"Dayton")</f>
        <v>Dayton</v>
      </c>
      <c r="D862" s="8" t="str">
        <f>IFERROR(__xludf.DUMMYFUNCTION("""COMPUTED_VALUE"""),"TX")</f>
        <v>TX</v>
      </c>
      <c r="E862" s="8" t="str">
        <f>IFERROR(__xludf.DUMMYFUNCTION("""COMPUTED_VALUE"""),"USA")</f>
        <v>USA</v>
      </c>
      <c r="F862" s="8" t="str">
        <f>IFERROR(__xludf.DUMMYFUNCTION("""COMPUTED_VALUE"""),"Men Singles Cricket")</f>
        <v>Men Singles Cricket</v>
      </c>
      <c r="G862" s="8" t="str">
        <f>IFERROR(__xludf.DUMMYFUNCTION("""COMPUTED_VALUE"""),"3rd")</f>
        <v>3rd</v>
      </c>
      <c r="H862" s="8" t="str">
        <f>IFERROR(__xludf.DUMMYFUNCTION("""COMPUTED_VALUE"""),"Wisconsin BS 34")</f>
        <v>Wisconsin BS 34</v>
      </c>
      <c r="I862" s="10">
        <f>IFERROR(__xludf.DUMMYFUNCTION("""COMPUTED_VALUE"""),43617.0)</f>
        <v>43617</v>
      </c>
      <c r="J862" s="10">
        <f>IFERROR(__xludf.DUMMYFUNCTION("""COMPUTED_VALUE"""),44713.0)</f>
        <v>44713</v>
      </c>
      <c r="K862" s="18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9" t="str">
        <f>IFERROR(__xludf.DUMMYFUNCTION("""COMPUTED_VALUE"""),"Weymier")</f>
        <v>Weymier</v>
      </c>
      <c r="B863" s="8" t="str">
        <f>IFERROR(__xludf.DUMMYFUNCTION("""COMPUTED_VALUE"""),"Tyler")</f>
        <v>Tyler</v>
      </c>
      <c r="C863" s="8" t="str">
        <f>IFERROR(__xludf.DUMMYFUNCTION("""COMPUTED_VALUE"""),"Milwaukee")</f>
        <v>Milwaukee</v>
      </c>
      <c r="D863" s="8" t="str">
        <f>IFERROR(__xludf.DUMMYFUNCTION("""COMPUTED_VALUE"""),"WI")</f>
        <v>WI</v>
      </c>
      <c r="E863" s="8" t="str">
        <f>IFERROR(__xludf.DUMMYFUNCTION("""COMPUTED_VALUE"""),"USA")</f>
        <v>USA</v>
      </c>
      <c r="F863" s="8" t="str">
        <f>IFERROR(__xludf.DUMMYFUNCTION("""COMPUTED_VALUE"""),"Mens Doubles")</f>
        <v>Mens Doubles</v>
      </c>
      <c r="G863" s="8" t="str">
        <f>IFERROR(__xludf.DUMMYFUNCTION("""COMPUTED_VALUE"""),"2nd")</f>
        <v>2nd</v>
      </c>
      <c r="H863" s="8" t="str">
        <f>IFERROR(__xludf.DUMMYFUNCTION("""COMPUTED_VALUE"""),"WI Regional 33")</f>
        <v>WI Regional 33</v>
      </c>
      <c r="I863" s="10">
        <f>IFERROR(__xludf.DUMMYFUNCTION("""COMPUTED_VALUE"""),43252.0)</f>
        <v>43252</v>
      </c>
      <c r="J863" s="10">
        <f>IFERROR(__xludf.DUMMYFUNCTION("""COMPUTED_VALUE"""),44348.0)</f>
        <v>44348</v>
      </c>
      <c r="K863" s="18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9" t="str">
        <f>IFERROR(__xludf.DUMMYFUNCTION("""COMPUTED_VALUE"""),"Whitaker")</f>
        <v>Whitaker</v>
      </c>
      <c r="B864" s="8" t="str">
        <f>IFERROR(__xludf.DUMMYFUNCTION("""COMPUTED_VALUE"""),"Clyde")</f>
        <v>Clyde</v>
      </c>
      <c r="C864" s="8" t="str">
        <f>IFERROR(__xludf.DUMMYFUNCTION("""COMPUTED_VALUE"""),"Lake Wales")</f>
        <v>Lake Wales</v>
      </c>
      <c r="D864" s="8" t="str">
        <f>IFERROR(__xludf.DUMMYFUNCTION("""COMPUTED_VALUE"""),"FL")</f>
        <v>FL</v>
      </c>
      <c r="E864" s="8" t="str">
        <f>IFERROR(__xludf.DUMMYFUNCTION("""COMPUTED_VALUE"""),"USA")</f>
        <v>USA</v>
      </c>
      <c r="F864" s="8" t="str">
        <f>IFERROR(__xludf.DUMMYFUNCTION("""COMPUTED_VALUE"""),"Men Doubles 501")</f>
        <v>Men Doubles 501</v>
      </c>
      <c r="G864" s="8" t="str">
        <f>IFERROR(__xludf.DUMMYFUNCTION("""COMPUTED_VALUE"""),"2nd")</f>
        <v>2nd</v>
      </c>
      <c r="H864" s="8" t="str">
        <f>IFERROR(__xludf.DUMMYFUNCTION("""COMPUTED_VALUE"""),"Georgia BS 34")</f>
        <v>Georgia BS 34</v>
      </c>
      <c r="I864" s="10">
        <f>IFERROR(__xludf.DUMMYFUNCTION("""COMPUTED_VALUE"""),43617.0)</f>
        <v>43617</v>
      </c>
      <c r="J864" s="10">
        <f>IFERROR(__xludf.DUMMYFUNCTION("""COMPUTED_VALUE"""),44713.0)</f>
        <v>44713</v>
      </c>
      <c r="K864" s="18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9" t="str">
        <f>IFERROR(__xludf.DUMMYFUNCTION("""COMPUTED_VALUE"""),"White")</f>
        <v>White</v>
      </c>
      <c r="B865" s="8" t="str">
        <f>IFERROR(__xludf.DUMMYFUNCTION("""COMPUTED_VALUE"""),"Robert")</f>
        <v>Robert</v>
      </c>
      <c r="C865" s="8" t="str">
        <f>IFERROR(__xludf.DUMMYFUNCTION("""COMPUTED_VALUE"""),"Paw Paw")</f>
        <v>Paw Paw</v>
      </c>
      <c r="D865" s="8" t="str">
        <f>IFERROR(__xludf.DUMMYFUNCTION("""COMPUTED_VALUE"""),"IL")</f>
        <v>IL</v>
      </c>
      <c r="E865" s="8" t="str">
        <f>IFERROR(__xludf.DUMMYFUNCTION("""COMPUTED_VALUE"""),"USA")</f>
        <v>USA</v>
      </c>
      <c r="F865" s="8" t="str">
        <f>IFERROR(__xludf.DUMMYFUNCTION("""COMPUTED_VALUE"""),"Pro Cricket Doubles")</f>
        <v>Pro Cricket Doubles</v>
      </c>
      <c r="G865" s="8" t="str">
        <f>IFERROR(__xludf.DUMMYFUNCTION("""COMPUTED_VALUE"""),"4th")</f>
        <v>4th</v>
      </c>
      <c r="H865" s="8" t="str">
        <f>IFERROR(__xludf.DUMMYFUNCTION("""COMPUTED_VALUE"""),"BullShooter 31")</f>
        <v>BullShooter 31</v>
      </c>
      <c r="I865" s="10">
        <f>IFERROR(__xludf.DUMMYFUNCTION("""COMPUTED_VALUE"""),42522.0)</f>
        <v>42522</v>
      </c>
      <c r="J865" s="10">
        <f>IFERROR(__xludf.DUMMYFUNCTION("""COMPUTED_VALUE"""),44713.0)</f>
        <v>44713</v>
      </c>
      <c r="K865" s="18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9" t="str">
        <f>IFERROR(__xludf.DUMMYFUNCTION("""COMPUTED_VALUE"""),"White")</f>
        <v>White</v>
      </c>
      <c r="B866" s="8" t="str">
        <f>IFERROR(__xludf.DUMMYFUNCTION("""COMPUTED_VALUE"""),"Wesley")</f>
        <v>Wesley</v>
      </c>
      <c r="C866" s="8" t="str">
        <f>IFERROR(__xludf.DUMMYFUNCTION("""COMPUTED_VALUE"""),"Sioux Falls")</f>
        <v>Sioux Falls</v>
      </c>
      <c r="D866" s="8" t="str">
        <f>IFERROR(__xludf.DUMMYFUNCTION("""COMPUTED_VALUE"""),"SD")</f>
        <v>SD</v>
      </c>
      <c r="E866" s="8" t="str">
        <f>IFERROR(__xludf.DUMMYFUNCTION("""COMPUTED_VALUE"""),"USA")</f>
        <v>USA</v>
      </c>
      <c r="F866" s="8" t="str">
        <f>IFERROR(__xludf.DUMMYFUNCTION("""COMPUTED_VALUE"""),"Pro Singles Cricket")</f>
        <v>Pro Singles Cricket</v>
      </c>
      <c r="G866" s="8" t="str">
        <f>IFERROR(__xludf.DUMMYFUNCTION("""COMPUTED_VALUE"""),"2nd")</f>
        <v>2nd</v>
      </c>
      <c r="H866" s="8" t="str">
        <f>IFERROR(__xludf.DUMMYFUNCTION("""COMPUTED_VALUE"""),"Nebraska BS 34")</f>
        <v>Nebraska BS 34</v>
      </c>
      <c r="I866" s="10">
        <f>IFERROR(__xludf.DUMMYFUNCTION("""COMPUTED_VALUE"""),43617.0)</f>
        <v>43617</v>
      </c>
      <c r="J866" s="10">
        <f>IFERROR(__xludf.DUMMYFUNCTION("""COMPUTED_VALUE"""),44713.0)</f>
        <v>44713</v>
      </c>
      <c r="K866" s="18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9" t="str">
        <f>IFERROR(__xludf.DUMMYFUNCTION("""COMPUTED_VALUE"""),"Wile")</f>
        <v>Wile</v>
      </c>
      <c r="B867" s="8" t="str">
        <f>IFERROR(__xludf.DUMMYFUNCTION("""COMPUTED_VALUE"""),"Ryan")</f>
        <v>Ryan</v>
      </c>
      <c r="C867" s="8" t="str">
        <f>IFERROR(__xludf.DUMMYFUNCTION("""COMPUTED_VALUE"""),"Lancaster")</f>
        <v>Lancaster</v>
      </c>
      <c r="D867" s="8" t="str">
        <f>IFERROR(__xludf.DUMMYFUNCTION("""COMPUTED_VALUE"""),"PA")</f>
        <v>PA</v>
      </c>
      <c r="E867" s="8" t="str">
        <f>IFERROR(__xludf.DUMMYFUNCTION("""COMPUTED_VALUE"""),"USA")</f>
        <v>USA</v>
      </c>
      <c r="F867" s="8" t="str">
        <f>IFERROR(__xludf.DUMMYFUNCTION("""COMPUTED_VALUE"""),"Mixed Triples 701")</f>
        <v>Mixed Triples 701</v>
      </c>
      <c r="G867" s="8" t="str">
        <f>IFERROR(__xludf.DUMMYFUNCTION("""COMPUTED_VALUE"""),"1st")</f>
        <v>1st</v>
      </c>
      <c r="H867" s="8" t="str">
        <f>IFERROR(__xludf.DUMMYFUNCTION("""COMPUTED_VALUE"""),"New York BS 34")</f>
        <v>New York BS 34</v>
      </c>
      <c r="I867" s="10">
        <f>IFERROR(__xludf.DUMMYFUNCTION("""COMPUTED_VALUE"""),43617.0)</f>
        <v>43617</v>
      </c>
      <c r="J867" s="10">
        <f>IFERROR(__xludf.DUMMYFUNCTION("""COMPUTED_VALUE"""),44713.0)</f>
        <v>44713</v>
      </c>
      <c r="K867" s="18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9" t="str">
        <f>IFERROR(__xludf.DUMMYFUNCTION("""COMPUTED_VALUE"""),"Williams")</f>
        <v>Williams</v>
      </c>
      <c r="B868" s="8" t="str">
        <f>IFERROR(__xludf.DUMMYFUNCTION("""COMPUTED_VALUE"""),"David")</f>
        <v>David</v>
      </c>
      <c r="C868" s="8" t="str">
        <f>IFERROR(__xludf.DUMMYFUNCTION("""COMPUTED_VALUE"""),"Tarpon Springs")</f>
        <v>Tarpon Springs</v>
      </c>
      <c r="D868" s="8" t="str">
        <f>IFERROR(__xludf.DUMMYFUNCTION("""COMPUTED_VALUE"""),"FL")</f>
        <v>FL</v>
      </c>
      <c r="E868" s="8" t="str">
        <f>IFERROR(__xludf.DUMMYFUNCTION("""COMPUTED_VALUE"""),"USA")</f>
        <v>USA</v>
      </c>
      <c r="F868" s="8" t="str">
        <f>IFERROR(__xludf.DUMMYFUNCTION("""COMPUTED_VALUE"""),"Mixed Triples")</f>
        <v>Mixed Triples</v>
      </c>
      <c r="G868" s="8" t="str">
        <f>IFERROR(__xludf.DUMMYFUNCTION("""COMPUTED_VALUE"""),"1st")</f>
        <v>1st</v>
      </c>
      <c r="H868" s="8" t="str">
        <f>IFERROR(__xludf.DUMMYFUNCTION("""COMPUTED_VALUE"""),"GA Regional 33")</f>
        <v>GA Regional 33</v>
      </c>
      <c r="I868" s="10">
        <f>IFERROR(__xludf.DUMMYFUNCTION("""COMPUTED_VALUE"""),43252.0)</f>
        <v>43252</v>
      </c>
      <c r="J868" s="10">
        <f>IFERROR(__xludf.DUMMYFUNCTION("""COMPUTED_VALUE"""),44348.0)</f>
        <v>44348</v>
      </c>
      <c r="K868" s="18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9" t="str">
        <f>IFERROR(__xludf.DUMMYFUNCTION("""COMPUTED_VALUE"""),"Williams")</f>
        <v>Williams</v>
      </c>
      <c r="B869" s="8" t="str">
        <f>IFERROR(__xludf.DUMMYFUNCTION("""COMPUTED_VALUE"""),"Joshua")</f>
        <v>Joshua</v>
      </c>
      <c r="C869" s="8" t="str">
        <f>IFERROR(__xludf.DUMMYFUNCTION("""COMPUTED_VALUE"""),"S. Milwaukee")</f>
        <v>S. Milwaukee</v>
      </c>
      <c r="D869" s="8" t="str">
        <f>IFERROR(__xludf.DUMMYFUNCTION("""COMPUTED_VALUE"""),"WI")</f>
        <v>WI</v>
      </c>
      <c r="E869" s="8" t="str">
        <f>IFERROR(__xludf.DUMMYFUNCTION("""COMPUTED_VALUE"""),"USA")</f>
        <v>USA</v>
      </c>
      <c r="F869" s="8" t="str">
        <f>IFERROR(__xludf.DUMMYFUNCTION("""COMPUTED_VALUE"""),"Pro Doubles")</f>
        <v>Pro Doubles</v>
      </c>
      <c r="G869" s="8" t="str">
        <f>IFERROR(__xludf.DUMMYFUNCTION("""COMPUTED_VALUE"""),"3rd")</f>
        <v>3rd</v>
      </c>
      <c r="H869" s="8" t="str">
        <f>IFERROR(__xludf.DUMMYFUNCTION("""COMPUTED_VALUE"""),"WI Regional 33")</f>
        <v>WI Regional 33</v>
      </c>
      <c r="I869" s="10">
        <f>IFERROR(__xludf.DUMMYFUNCTION("""COMPUTED_VALUE"""),43252.0)</f>
        <v>43252</v>
      </c>
      <c r="J869" s="10">
        <f>IFERROR(__xludf.DUMMYFUNCTION("""COMPUTED_VALUE"""),44348.0)</f>
        <v>44348</v>
      </c>
      <c r="K869" s="18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9" t="str">
        <f>IFERROR(__xludf.DUMMYFUNCTION("""COMPUTED_VALUE"""),"Willis")</f>
        <v>Willis</v>
      </c>
      <c r="B870" s="8" t="str">
        <f>IFERROR(__xludf.DUMMYFUNCTION("""COMPUTED_VALUE"""),"Cody")</f>
        <v>Cody</v>
      </c>
      <c r="C870" s="8" t="str">
        <f>IFERROR(__xludf.DUMMYFUNCTION("""COMPUTED_VALUE"""),"Clinton")</f>
        <v>Clinton</v>
      </c>
      <c r="D870" s="8" t="str">
        <f>IFERROR(__xludf.DUMMYFUNCTION("""COMPUTED_VALUE"""),"IL")</f>
        <v>IL</v>
      </c>
      <c r="E870" s="8" t="str">
        <f>IFERROR(__xludf.DUMMYFUNCTION("""COMPUTED_VALUE"""),"USA")</f>
        <v>USA</v>
      </c>
      <c r="F870" s="8" t="str">
        <f>IFERROR(__xludf.DUMMYFUNCTION("""COMPUTED_VALUE"""),"Men Singles Cricket")</f>
        <v>Men Singles Cricket</v>
      </c>
      <c r="G870" s="8" t="str">
        <f>IFERROR(__xludf.DUMMYFUNCTION("""COMPUTED_VALUE"""),"1st")</f>
        <v>1st</v>
      </c>
      <c r="H870" s="8" t="str">
        <f>IFERROR(__xludf.DUMMYFUNCTION("""COMPUTED_VALUE"""),"Indiana BS 34")</f>
        <v>Indiana BS 34</v>
      </c>
      <c r="I870" s="10">
        <f>IFERROR(__xludf.DUMMYFUNCTION("""COMPUTED_VALUE"""),43617.0)</f>
        <v>43617</v>
      </c>
      <c r="J870" s="10">
        <f>IFERROR(__xludf.DUMMYFUNCTION("""COMPUTED_VALUE"""),44713.0)</f>
        <v>44713</v>
      </c>
      <c r="K870" s="18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9" t="str">
        <f>IFERROR(__xludf.DUMMYFUNCTION("""COMPUTED_VALUE"""),"Wilson")</f>
        <v>Wilson</v>
      </c>
      <c r="B871" s="8" t="str">
        <f>IFERROR(__xludf.DUMMYFUNCTION("""COMPUTED_VALUE"""),"Jarrod")</f>
        <v>Jarrod</v>
      </c>
      <c r="C871" s="8" t="str">
        <f>IFERROR(__xludf.DUMMYFUNCTION("""COMPUTED_VALUE"""),"Montgomery")</f>
        <v>Montgomery</v>
      </c>
      <c r="D871" s="8" t="str">
        <f>IFERROR(__xludf.DUMMYFUNCTION("""COMPUTED_VALUE"""),"AL")</f>
        <v>AL</v>
      </c>
      <c r="E871" s="8" t="str">
        <f>IFERROR(__xludf.DUMMYFUNCTION("""COMPUTED_VALUE"""),"USA")</f>
        <v>USA</v>
      </c>
      <c r="F871" s="8" t="str">
        <f>IFERROR(__xludf.DUMMYFUNCTION("""COMPUTED_VALUE"""),"Pro Doubles 501")</f>
        <v>Pro Doubles 501</v>
      </c>
      <c r="G871" s="8" t="str">
        <f>IFERROR(__xludf.DUMMYFUNCTION("""COMPUTED_VALUE"""),"1st")</f>
        <v>1st</v>
      </c>
      <c r="H871" s="8" t="str">
        <f>IFERROR(__xludf.DUMMYFUNCTION("""COMPUTED_VALUE"""),"Georgia BS 34")</f>
        <v>Georgia BS 34</v>
      </c>
      <c r="I871" s="10">
        <f>IFERROR(__xludf.DUMMYFUNCTION("""COMPUTED_VALUE"""),43617.0)</f>
        <v>43617</v>
      </c>
      <c r="J871" s="10">
        <f>IFERROR(__xludf.DUMMYFUNCTION("""COMPUTED_VALUE"""),44713.0)</f>
        <v>44713</v>
      </c>
      <c r="K871" s="18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9" t="str">
        <f>IFERROR(__xludf.DUMMYFUNCTION("""COMPUTED_VALUE"""),"Wilson Jr.")</f>
        <v>Wilson Jr.</v>
      </c>
      <c r="B872" s="8" t="str">
        <f>IFERROR(__xludf.DUMMYFUNCTION("""COMPUTED_VALUE"""),"Richard")</f>
        <v>Richard</v>
      </c>
      <c r="C872" s="8" t="str">
        <f>IFERROR(__xludf.DUMMYFUNCTION("""COMPUTED_VALUE"""),"Elmore")</f>
        <v>Elmore</v>
      </c>
      <c r="D872" s="8" t="str">
        <f>IFERROR(__xludf.DUMMYFUNCTION("""COMPUTED_VALUE"""),"AL")</f>
        <v>AL</v>
      </c>
      <c r="E872" s="8" t="str">
        <f>IFERROR(__xludf.DUMMYFUNCTION("""COMPUTED_VALUE"""),"USA")</f>
        <v>USA</v>
      </c>
      <c r="F872" s="8" t="str">
        <f>IFERROR(__xludf.DUMMYFUNCTION("""COMPUTED_VALUE"""),"Mens Doubles")</f>
        <v>Mens Doubles</v>
      </c>
      <c r="G872" s="8" t="str">
        <f>IFERROR(__xludf.DUMMYFUNCTION("""COMPUTED_VALUE"""),"3rd")</f>
        <v>3rd</v>
      </c>
      <c r="H872" s="8" t="str">
        <f>IFERROR(__xludf.DUMMYFUNCTION("""COMPUTED_VALUE"""),"GA Regional 32")</f>
        <v>GA Regional 32</v>
      </c>
      <c r="I872" s="10">
        <f>IFERROR(__xludf.DUMMYFUNCTION("""COMPUTED_VALUE"""),42887.0)</f>
        <v>42887</v>
      </c>
      <c r="J872" s="10">
        <f>IFERROR(__xludf.DUMMYFUNCTION("""COMPUTED_VALUE"""),43983.0)</f>
        <v>43983</v>
      </c>
      <c r="K872" s="18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9" t="str">
        <f>IFERROR(__xludf.DUMMYFUNCTION("""COMPUTED_VALUE"""),"Wimberly")</f>
        <v>Wimberly</v>
      </c>
      <c r="B873" s="8" t="str">
        <f>IFERROR(__xludf.DUMMYFUNCTION("""COMPUTED_VALUE"""),"Don")</f>
        <v>Don</v>
      </c>
      <c r="C873" s="8" t="str">
        <f>IFERROR(__xludf.DUMMYFUNCTION("""COMPUTED_VALUE"""),"Porter")</f>
        <v>Porter</v>
      </c>
      <c r="D873" s="8" t="str">
        <f>IFERROR(__xludf.DUMMYFUNCTION("""COMPUTED_VALUE"""),"TX")</f>
        <v>TX</v>
      </c>
      <c r="E873" s="8" t="str">
        <f>IFERROR(__xludf.DUMMYFUNCTION("""COMPUTED_VALUE"""),"USA")</f>
        <v>USA</v>
      </c>
      <c r="F873" s="8" t="str">
        <f>IFERROR(__xludf.DUMMYFUNCTION("""COMPUTED_VALUE"""),"Pro Doubles")</f>
        <v>Pro Doubles</v>
      </c>
      <c r="G873" s="8" t="str">
        <f>IFERROR(__xludf.DUMMYFUNCTION("""COMPUTED_VALUE"""),"3rd")</f>
        <v>3rd</v>
      </c>
      <c r="H873" s="8" t="str">
        <f>IFERROR(__xludf.DUMMYFUNCTION("""COMPUTED_VALUE"""),"TX Regional 33")</f>
        <v>TX Regional 33</v>
      </c>
      <c r="I873" s="10">
        <f>IFERROR(__xludf.DUMMYFUNCTION("""COMPUTED_VALUE"""),43252.0)</f>
        <v>43252</v>
      </c>
      <c r="J873" s="10">
        <f>IFERROR(__xludf.DUMMYFUNCTION("""COMPUTED_VALUE"""),44348.0)</f>
        <v>44348</v>
      </c>
      <c r="K873" s="18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9" t="str">
        <f>IFERROR(__xludf.DUMMYFUNCTION("""COMPUTED_VALUE"""),"Windham II")</f>
        <v>Windham II</v>
      </c>
      <c r="B874" s="8" t="str">
        <f>IFERROR(__xludf.DUMMYFUNCTION("""COMPUTED_VALUE"""),"Allen")</f>
        <v>Allen</v>
      </c>
      <c r="C874" s="8" t="str">
        <f>IFERROR(__xludf.DUMMYFUNCTION("""COMPUTED_VALUE"""),"Splendora")</f>
        <v>Splendora</v>
      </c>
      <c r="D874" s="8" t="str">
        <f>IFERROR(__xludf.DUMMYFUNCTION("""COMPUTED_VALUE"""),"TX")</f>
        <v>TX</v>
      </c>
      <c r="E874" s="8" t="str">
        <f>IFERROR(__xludf.DUMMYFUNCTION("""COMPUTED_VALUE"""),"USA")</f>
        <v>USA</v>
      </c>
      <c r="F874" s="8" t="str">
        <f>IFERROR(__xludf.DUMMYFUNCTION("""COMPUTED_VALUE"""),"Mens Singles Cricket")</f>
        <v>Mens Singles Cricket</v>
      </c>
      <c r="G874" s="8" t="str">
        <f>IFERROR(__xludf.DUMMYFUNCTION("""COMPUTED_VALUE"""),"1st")</f>
        <v>1st</v>
      </c>
      <c r="H874" s="8" t="str">
        <f>IFERROR(__xludf.DUMMYFUNCTION("""COMPUTED_VALUE"""),"TX Regional 32")</f>
        <v>TX Regional 32</v>
      </c>
      <c r="I874" s="10">
        <f>IFERROR(__xludf.DUMMYFUNCTION("""COMPUTED_VALUE"""),42887.0)</f>
        <v>42887</v>
      </c>
      <c r="J874" s="10">
        <f>IFERROR(__xludf.DUMMYFUNCTION("""COMPUTED_VALUE"""),43983.0)</f>
        <v>43983</v>
      </c>
      <c r="K874" s="18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9" t="str">
        <f>IFERROR(__xludf.DUMMYFUNCTION("""COMPUTED_VALUE"""),"Winstanley")</f>
        <v>Winstanley</v>
      </c>
      <c r="B875" s="8" t="str">
        <f>IFERROR(__xludf.DUMMYFUNCTION("""COMPUTED_VALUE"""),"Dean")</f>
        <v>Dean</v>
      </c>
      <c r="C875" s="8" t="str">
        <f>IFERROR(__xludf.DUMMYFUNCTION("""COMPUTED_VALUE"""),"")</f>
        <v/>
      </c>
      <c r="D875" s="8" t="str">
        <f>IFERROR(__xludf.DUMMYFUNCTION("""COMPUTED_VALUE"""),"UNK")</f>
        <v>UNK</v>
      </c>
      <c r="E875" s="8" t="str">
        <f>IFERROR(__xludf.DUMMYFUNCTION("""COMPUTED_VALUE"""),"England")</f>
        <v>England</v>
      </c>
      <c r="F875" s="8" t="str">
        <f>IFERROR(__xludf.DUMMYFUNCTION("""COMPUTED_VALUE"""),"PDC Merit Ranking")</f>
        <v>PDC Merit Ranking</v>
      </c>
      <c r="G875" s="8" t="str">
        <f>IFERROR(__xludf.DUMMYFUNCTION("""COMPUTED_VALUE"""),"32nd")</f>
        <v>32nd</v>
      </c>
      <c r="H875" s="8" t="str">
        <f>IFERROR(__xludf.DUMMYFUNCTION("""COMPUTED_VALUE"""),"PDC Merit Ranking")</f>
        <v>PDC Merit Ranking</v>
      </c>
      <c r="I875" s="10">
        <f>IFERROR(__xludf.DUMMYFUNCTION("""COMPUTED_VALUE"""),42401.0)</f>
        <v>42401</v>
      </c>
      <c r="J875" s="10">
        <f>IFERROR(__xludf.DUMMYFUNCTION("""COMPUTED_VALUE"""),44713.0)</f>
        <v>44713</v>
      </c>
      <c r="K875" s="18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9" t="str">
        <f>IFERROR(__xludf.DUMMYFUNCTION("""COMPUTED_VALUE"""),"Winters")</f>
        <v>Winters</v>
      </c>
      <c r="B876" s="8" t="str">
        <f>IFERROR(__xludf.DUMMYFUNCTION("""COMPUTED_VALUE"""),"Dallas")</f>
        <v>Dallas</v>
      </c>
      <c r="C876" s="8" t="str">
        <f>IFERROR(__xludf.DUMMYFUNCTION("""COMPUTED_VALUE"""),"Plattsmouth")</f>
        <v>Plattsmouth</v>
      </c>
      <c r="D876" s="8" t="str">
        <f>IFERROR(__xludf.DUMMYFUNCTION("""COMPUTED_VALUE"""),"NE")</f>
        <v>NE</v>
      </c>
      <c r="E876" s="8" t="str">
        <f>IFERROR(__xludf.DUMMYFUNCTION("""COMPUTED_VALUE"""),"USA")</f>
        <v>USA</v>
      </c>
      <c r="F876" s="8" t="str">
        <f>IFERROR(__xludf.DUMMYFUNCTION("""COMPUTED_VALUE"""),"Mens Singles")</f>
        <v>Mens Singles</v>
      </c>
      <c r="G876" s="8" t="str">
        <f>IFERROR(__xludf.DUMMYFUNCTION("""COMPUTED_VALUE"""),"2nd")</f>
        <v>2nd</v>
      </c>
      <c r="H876" s="8" t="str">
        <f>IFERROR(__xludf.DUMMYFUNCTION("""COMPUTED_VALUE"""),"NE Regional 33")</f>
        <v>NE Regional 33</v>
      </c>
      <c r="I876" s="10">
        <f>IFERROR(__xludf.DUMMYFUNCTION("""COMPUTED_VALUE"""),43252.0)</f>
        <v>43252</v>
      </c>
      <c r="J876" s="10">
        <f>IFERROR(__xludf.DUMMYFUNCTION("""COMPUTED_VALUE"""),44348.0)</f>
        <v>44348</v>
      </c>
      <c r="K876" s="18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9" t="str">
        <f>IFERROR(__xludf.DUMMYFUNCTION("""COMPUTED_VALUE"""),"Wnuk")</f>
        <v>Wnuk</v>
      </c>
      <c r="B877" s="8" t="str">
        <f>IFERROR(__xludf.DUMMYFUNCTION("""COMPUTED_VALUE"""),"Rick")</f>
        <v>Rick</v>
      </c>
      <c r="C877" s="8" t="str">
        <f>IFERROR(__xludf.DUMMYFUNCTION("""COMPUTED_VALUE"""),"Milwaukee")</f>
        <v>Milwaukee</v>
      </c>
      <c r="D877" s="8" t="str">
        <f>IFERROR(__xludf.DUMMYFUNCTION("""COMPUTED_VALUE"""),"WI")</f>
        <v>WI</v>
      </c>
      <c r="E877" s="8" t="str">
        <f>IFERROR(__xludf.DUMMYFUNCTION("""COMPUTED_VALUE"""),"USA")</f>
        <v>USA</v>
      </c>
      <c r="F877" s="8" t="str">
        <f>IFERROR(__xludf.DUMMYFUNCTION("""COMPUTED_VALUE"""),"Known Pro")</f>
        <v>Known Pro</v>
      </c>
      <c r="G877" s="8" t="str">
        <f>IFERROR(__xludf.DUMMYFUNCTION("""COMPUTED_VALUE"""),"")</f>
        <v/>
      </c>
      <c r="H877" s="8" t="str">
        <f>IFERROR(__xludf.DUMMYFUNCTION("""COMPUTED_VALUE"""),"Known Ability")</f>
        <v>Known Ability</v>
      </c>
      <c r="I877" s="10">
        <f>IFERROR(__xludf.DUMMYFUNCTION("""COMPUTED_VALUE"""),36892.0)</f>
        <v>36892</v>
      </c>
      <c r="J877" s="10">
        <f>IFERROR(__xludf.DUMMYFUNCTION("""COMPUTED_VALUE"""),45809.0)</f>
        <v>45809</v>
      </c>
      <c r="K877" s="18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9" t="str">
        <f>IFERROR(__xludf.DUMMYFUNCTION("""COMPUTED_VALUE"""),"Wochok")</f>
        <v>Wochok</v>
      </c>
      <c r="B878" s="8" t="str">
        <f>IFERROR(__xludf.DUMMYFUNCTION("""COMPUTED_VALUE"""),"Erika")</f>
        <v>Erika</v>
      </c>
      <c r="C878" s="8" t="str">
        <f>IFERROR(__xludf.DUMMYFUNCTION("""COMPUTED_VALUE"""),"Prattville")</f>
        <v>Prattville</v>
      </c>
      <c r="D878" s="8" t="str">
        <f>IFERROR(__xludf.DUMMYFUNCTION("""COMPUTED_VALUE"""),"AL")</f>
        <v>AL</v>
      </c>
      <c r="E878" s="8" t="str">
        <f>IFERROR(__xludf.DUMMYFUNCTION("""COMPUTED_VALUE"""),"USA")</f>
        <v>USA</v>
      </c>
      <c r="F878" s="8" t="str">
        <f>IFERROR(__xludf.DUMMYFUNCTION("""COMPUTED_VALUE"""),"Mens Cricket Doubles")</f>
        <v>Mens Cricket Doubles</v>
      </c>
      <c r="G878" s="8" t="str">
        <f>IFERROR(__xludf.DUMMYFUNCTION("""COMPUTED_VALUE"""),"3rd")</f>
        <v>3rd</v>
      </c>
      <c r="H878" s="8" t="str">
        <f>IFERROR(__xludf.DUMMYFUNCTION("""COMPUTED_VALUE"""),"GA Regional 33")</f>
        <v>GA Regional 33</v>
      </c>
      <c r="I878" s="10">
        <f>IFERROR(__xludf.DUMMYFUNCTION("""COMPUTED_VALUE"""),43252.0)</f>
        <v>43252</v>
      </c>
      <c r="J878" s="10">
        <f>IFERROR(__xludf.DUMMYFUNCTION("""COMPUTED_VALUE"""),44348.0)</f>
        <v>44348</v>
      </c>
      <c r="K878" s="18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9" t="str">
        <f>IFERROR(__xludf.DUMMYFUNCTION("""COMPUTED_VALUE"""),"Wollaston")</f>
        <v>Wollaston</v>
      </c>
      <c r="B879" s="8" t="str">
        <f>IFERROR(__xludf.DUMMYFUNCTION("""COMPUTED_VALUE"""),"Scott")</f>
        <v>Scott</v>
      </c>
      <c r="C879" s="8" t="str">
        <f>IFERROR(__xludf.DUMMYFUNCTION("""COMPUTED_VALUE"""),"River Ridge")</f>
        <v>River Ridge</v>
      </c>
      <c r="D879" s="8" t="str">
        <f>IFERROR(__xludf.DUMMYFUNCTION("""COMPUTED_VALUE"""),"LA")</f>
        <v>LA</v>
      </c>
      <c r="E879" s="8" t="str">
        <f>IFERROR(__xludf.DUMMYFUNCTION("""COMPUTED_VALUE"""),"USA")</f>
        <v>USA</v>
      </c>
      <c r="F879" s="8" t="str">
        <f>IFERROR(__xludf.DUMMYFUNCTION("""COMPUTED_VALUE"""),"ADO 2014")</f>
        <v>ADO 2014</v>
      </c>
      <c r="G879" s="8" t="str">
        <f>IFERROR(__xludf.DUMMYFUNCTION("""COMPUTED_VALUE"""),"37th")</f>
        <v>37th</v>
      </c>
      <c r="H879" s="8" t="str">
        <f>IFERROR(__xludf.DUMMYFUNCTION("""COMPUTED_VALUE"""),"Off AA List")</f>
        <v>Off AA List</v>
      </c>
      <c r="I879" s="10">
        <f>IFERROR(__xludf.DUMMYFUNCTION("""COMPUTED_VALUE"""),42887.0)</f>
        <v>42887</v>
      </c>
      <c r="J879" s="10">
        <f>IFERROR(__xludf.DUMMYFUNCTION("""COMPUTED_VALUE"""),43983.0)</f>
        <v>43983</v>
      </c>
      <c r="K879" s="18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9" t="str">
        <f>IFERROR(__xludf.DUMMYFUNCTION("""COMPUTED_VALUE"""),"Wolter")</f>
        <v>Wolter</v>
      </c>
      <c r="B880" s="8" t="str">
        <f>IFERROR(__xludf.DUMMYFUNCTION("""COMPUTED_VALUE"""),"Reynold")</f>
        <v>Reynold</v>
      </c>
      <c r="C880" s="8" t="str">
        <f>IFERROR(__xludf.DUMMYFUNCTION("""COMPUTED_VALUE"""),"Tomball")</f>
        <v>Tomball</v>
      </c>
      <c r="D880" s="8" t="str">
        <f>IFERROR(__xludf.DUMMYFUNCTION("""COMPUTED_VALUE"""),"TX")</f>
        <v>TX</v>
      </c>
      <c r="E880" s="8" t="str">
        <f>IFERROR(__xludf.DUMMYFUNCTION("""COMPUTED_VALUE"""),"USA")</f>
        <v>USA</v>
      </c>
      <c r="F880" s="8" t="str">
        <f>IFERROR(__xludf.DUMMYFUNCTION("""COMPUTED_VALUE"""),"Men Cricket Doubles")</f>
        <v>Men Cricket Doubles</v>
      </c>
      <c r="G880" s="8" t="str">
        <f>IFERROR(__xludf.DUMMYFUNCTION("""COMPUTED_VALUE"""),"3rd")</f>
        <v>3rd</v>
      </c>
      <c r="H880" s="8" t="str">
        <f>IFERROR(__xludf.DUMMYFUNCTION("""COMPUTED_VALUE"""),"Florida BS 34")</f>
        <v>Florida BS 34</v>
      </c>
      <c r="I880" s="10">
        <f>IFERROR(__xludf.DUMMYFUNCTION("""COMPUTED_VALUE"""),43617.0)</f>
        <v>43617</v>
      </c>
      <c r="J880" s="10">
        <f>IFERROR(__xludf.DUMMYFUNCTION("""COMPUTED_VALUE"""),44713.0)</f>
        <v>44713</v>
      </c>
      <c r="K880" s="18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9" t="str">
        <f>IFERROR(__xludf.DUMMYFUNCTION("""COMPUTED_VALUE"""),"Womack")</f>
        <v>Womack</v>
      </c>
      <c r="B881" s="8" t="str">
        <f>IFERROR(__xludf.DUMMYFUNCTION("""COMPUTED_VALUE"""),"Jacob")</f>
        <v>Jacob</v>
      </c>
      <c r="C881" s="8" t="str">
        <f>IFERROR(__xludf.DUMMYFUNCTION("""COMPUTED_VALUE"""),"Westminster")</f>
        <v>Westminster</v>
      </c>
      <c r="D881" s="8" t="str">
        <f>IFERROR(__xludf.DUMMYFUNCTION("""COMPUTED_VALUE"""),"CO")</f>
        <v>CO</v>
      </c>
      <c r="E881" s="8" t="str">
        <f>IFERROR(__xludf.DUMMYFUNCTION("""COMPUTED_VALUE"""),"USA")</f>
        <v>USA</v>
      </c>
      <c r="F881" s="8" t="str">
        <f>IFERROR(__xludf.DUMMYFUNCTION("""COMPUTED_VALUE"""),"Pro Cricket Singles")</f>
        <v>Pro Cricket Singles</v>
      </c>
      <c r="G881" s="8" t="str">
        <f>IFERROR(__xludf.DUMMYFUNCTION("""COMPUTED_VALUE"""),"1st")</f>
        <v>1st</v>
      </c>
      <c r="H881" s="8" t="str">
        <f>IFERROR(__xludf.DUMMYFUNCTION("""COMPUTED_VALUE"""),"NV Regional 32")</f>
        <v>NV Regional 32</v>
      </c>
      <c r="I881" s="10">
        <f>IFERROR(__xludf.DUMMYFUNCTION("""COMPUTED_VALUE"""),42887.0)</f>
        <v>42887</v>
      </c>
      <c r="J881" s="10">
        <f>IFERROR(__xludf.DUMMYFUNCTION("""COMPUTED_VALUE"""),43983.0)</f>
        <v>43983</v>
      </c>
      <c r="K881" s="18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9" t="str">
        <f>IFERROR(__xludf.DUMMYFUNCTION("""COMPUTED_VALUE"""),"Woolfort")</f>
        <v>Woolfort</v>
      </c>
      <c r="B882" s="8" t="str">
        <f>IFERROR(__xludf.DUMMYFUNCTION("""COMPUTED_VALUE"""),"Nikolaus")</f>
        <v>Nikolaus</v>
      </c>
      <c r="C882" s="8" t="str">
        <f>IFERROR(__xludf.DUMMYFUNCTION("""COMPUTED_VALUE"""),"Myrtle Beach")</f>
        <v>Myrtle Beach</v>
      </c>
      <c r="D882" s="8" t="str">
        <f>IFERROR(__xludf.DUMMYFUNCTION("""COMPUTED_VALUE"""),"SC")</f>
        <v>SC</v>
      </c>
      <c r="E882" s="8" t="str">
        <f>IFERROR(__xludf.DUMMYFUNCTION("""COMPUTED_VALUE"""),"USA")</f>
        <v>USA</v>
      </c>
      <c r="F882" s="8" t="str">
        <f>IFERROR(__xludf.DUMMYFUNCTION("""COMPUTED_VALUE"""),"Mens Doubles")</f>
        <v>Mens Doubles</v>
      </c>
      <c r="G882" s="8" t="str">
        <f>IFERROR(__xludf.DUMMYFUNCTION("""COMPUTED_VALUE"""),"3rd")</f>
        <v>3rd</v>
      </c>
      <c r="H882" s="8" t="str">
        <f>IFERROR(__xludf.DUMMYFUNCTION("""COMPUTED_VALUE"""),"SC Regional 32")</f>
        <v>SC Regional 32</v>
      </c>
      <c r="I882" s="10">
        <f>IFERROR(__xludf.DUMMYFUNCTION("""COMPUTED_VALUE"""),42887.0)</f>
        <v>42887</v>
      </c>
      <c r="J882" s="10">
        <f>IFERROR(__xludf.DUMMYFUNCTION("""COMPUTED_VALUE"""),43983.0)</f>
        <v>43983</v>
      </c>
      <c r="K882" s="18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9" t="str">
        <f>IFERROR(__xludf.DUMMYFUNCTION("""COMPUTED_VALUE"""),"Wootten")</f>
        <v>Wootten</v>
      </c>
      <c r="B883" s="8" t="str">
        <f>IFERROR(__xludf.DUMMYFUNCTION("""COMPUTED_VALUE"""),"Clifford")</f>
        <v>Clifford</v>
      </c>
      <c r="C883" s="8" t="str">
        <f>IFERROR(__xludf.DUMMYFUNCTION("""COMPUTED_VALUE"""),"Orlando")</f>
        <v>Orlando</v>
      </c>
      <c r="D883" s="8" t="str">
        <f>IFERROR(__xludf.DUMMYFUNCTION("""COMPUTED_VALUE"""),"FL")</f>
        <v>FL</v>
      </c>
      <c r="E883" s="8" t="str">
        <f>IFERROR(__xludf.DUMMYFUNCTION("""COMPUTED_VALUE"""),"USA")</f>
        <v>USA</v>
      </c>
      <c r="F883" s="8" t="str">
        <f>IFERROR(__xludf.DUMMYFUNCTION("""COMPUTED_VALUE"""),"Known Pro")</f>
        <v>Known Pro</v>
      </c>
      <c r="G883" s="8" t="str">
        <f>IFERROR(__xludf.DUMMYFUNCTION("""COMPUTED_VALUE"""),"")</f>
        <v/>
      </c>
      <c r="H883" s="8" t="str">
        <f>IFERROR(__xludf.DUMMYFUNCTION("""COMPUTED_VALUE"""),"Known Ability")</f>
        <v>Known Ability</v>
      </c>
      <c r="I883" s="10">
        <f>IFERROR(__xludf.DUMMYFUNCTION("""COMPUTED_VALUE"""),36892.0)</f>
        <v>36892</v>
      </c>
      <c r="J883" s="10">
        <f>IFERROR(__xludf.DUMMYFUNCTION("""COMPUTED_VALUE"""),45809.0)</f>
        <v>45809</v>
      </c>
      <c r="K883" s="18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9" t="str">
        <f>IFERROR(__xludf.DUMMYFUNCTION("""COMPUTED_VALUE"""),"Workman")</f>
        <v>Workman</v>
      </c>
      <c r="B884" s="8" t="str">
        <f>IFERROR(__xludf.DUMMYFUNCTION("""COMPUTED_VALUE"""),"James")</f>
        <v>James</v>
      </c>
      <c r="C884" s="8" t="str">
        <f>IFERROR(__xludf.DUMMYFUNCTION("""COMPUTED_VALUE"""),"Grove City")</f>
        <v>Grove City</v>
      </c>
      <c r="D884" s="8" t="str">
        <f>IFERROR(__xludf.DUMMYFUNCTION("""COMPUTED_VALUE"""),"OH")</f>
        <v>OH</v>
      </c>
      <c r="E884" s="8" t="str">
        <f>IFERROR(__xludf.DUMMYFUNCTION("""COMPUTED_VALUE"""),"USA")</f>
        <v>USA</v>
      </c>
      <c r="F884" s="8" t="str">
        <f>IFERROR(__xludf.DUMMYFUNCTION("""COMPUTED_VALUE"""),"Mens Doubles")</f>
        <v>Mens Doubles</v>
      </c>
      <c r="G884" s="8" t="str">
        <f>IFERROR(__xludf.DUMMYFUNCTION("""COMPUTED_VALUE"""),"1st")</f>
        <v>1st</v>
      </c>
      <c r="H884" s="8" t="str">
        <f>IFERROR(__xludf.DUMMYFUNCTION("""COMPUTED_VALUE"""),"OH Regional 32")</f>
        <v>OH Regional 32</v>
      </c>
      <c r="I884" s="10">
        <f>IFERROR(__xludf.DUMMYFUNCTION("""COMPUTED_VALUE"""),42887.0)</f>
        <v>42887</v>
      </c>
      <c r="J884" s="10">
        <f>IFERROR(__xludf.DUMMYFUNCTION("""COMPUTED_VALUE"""),43983.0)</f>
        <v>43983</v>
      </c>
      <c r="K884" s="18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9" t="str">
        <f>IFERROR(__xludf.DUMMYFUNCTION("""COMPUTED_VALUE"""),"Worlock")</f>
        <v>Worlock</v>
      </c>
      <c r="B885" s="8" t="str">
        <f>IFERROR(__xludf.DUMMYFUNCTION("""COMPUTED_VALUE"""),"Steven")</f>
        <v>Steven</v>
      </c>
      <c r="C885" s="8" t="str">
        <f>IFERROR(__xludf.DUMMYFUNCTION("""COMPUTED_VALUE"""),"Boonville")</f>
        <v>Boonville</v>
      </c>
      <c r="D885" s="8" t="str">
        <f>IFERROR(__xludf.DUMMYFUNCTION("""COMPUTED_VALUE"""),"NY")</f>
        <v>NY</v>
      </c>
      <c r="E885" s="8" t="str">
        <f>IFERROR(__xludf.DUMMYFUNCTION("""COMPUTED_VALUE"""),"USA")</f>
        <v>USA</v>
      </c>
      <c r="F885" s="8" t="str">
        <f>IFERROR(__xludf.DUMMYFUNCTION("""COMPUTED_VALUE"""),"Men Doubles 501")</f>
        <v>Men Doubles 501</v>
      </c>
      <c r="G885" s="8" t="str">
        <f>IFERROR(__xludf.DUMMYFUNCTION("""COMPUTED_VALUE"""),"3rd")</f>
        <v>3rd</v>
      </c>
      <c r="H885" s="8" t="str">
        <f>IFERROR(__xludf.DUMMYFUNCTION("""COMPUTED_VALUE"""),"New York BS 34")</f>
        <v>New York BS 34</v>
      </c>
      <c r="I885" s="10">
        <f>IFERROR(__xludf.DUMMYFUNCTION("""COMPUTED_VALUE"""),43617.0)</f>
        <v>43617</v>
      </c>
      <c r="J885" s="10">
        <f>IFERROR(__xludf.DUMMYFUNCTION("""COMPUTED_VALUE"""),44713.0)</f>
        <v>44713</v>
      </c>
      <c r="K885" s="18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9" t="str">
        <f>IFERROR(__xludf.DUMMYFUNCTION("""COMPUTED_VALUE"""),"Wyckoff")</f>
        <v>Wyckoff</v>
      </c>
      <c r="B886" s="8" t="str">
        <f>IFERROR(__xludf.DUMMYFUNCTION("""COMPUTED_VALUE"""),"Gary")</f>
        <v>Gary</v>
      </c>
      <c r="C886" s="8" t="str">
        <f>IFERROR(__xludf.DUMMYFUNCTION("""COMPUTED_VALUE"""),"Elyria")</f>
        <v>Elyria</v>
      </c>
      <c r="D886" s="8" t="str">
        <f>IFERROR(__xludf.DUMMYFUNCTION("""COMPUTED_VALUE"""),"OH")</f>
        <v>OH</v>
      </c>
      <c r="E886" s="8" t="str">
        <f>IFERROR(__xludf.DUMMYFUNCTION("""COMPUTED_VALUE"""),"USA")</f>
        <v>USA</v>
      </c>
      <c r="F886" s="8" t="str">
        <f>IFERROR(__xludf.DUMMYFUNCTION("""COMPUTED_VALUE"""),"Men Doubles Cricket")</f>
        <v>Men Doubles Cricket</v>
      </c>
      <c r="G886" s="8" t="str">
        <f>IFERROR(__xludf.DUMMYFUNCTION("""COMPUTED_VALUE"""),"2nd")</f>
        <v>2nd</v>
      </c>
      <c r="H886" s="8" t="str">
        <f>IFERROR(__xludf.DUMMYFUNCTION("""COMPUTED_VALUE"""),"Ohio BS 34")</f>
        <v>Ohio BS 34</v>
      </c>
      <c r="I886" s="10">
        <f>IFERROR(__xludf.DUMMYFUNCTION("""COMPUTED_VALUE"""),43617.0)</f>
        <v>43617</v>
      </c>
      <c r="J886" s="10">
        <f>IFERROR(__xludf.DUMMYFUNCTION("""COMPUTED_VALUE"""),44713.0)</f>
        <v>44713</v>
      </c>
      <c r="K886" s="18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9" t="str">
        <f>IFERROR(__xludf.DUMMYFUNCTION("""COMPUTED_VALUE"""),"Yang")</f>
        <v>Yang</v>
      </c>
      <c r="B887" s="8" t="str">
        <f>IFERROR(__xludf.DUMMYFUNCTION("""COMPUTED_VALUE"""),"Tom")</f>
        <v>Tom</v>
      </c>
      <c r="C887" s="8" t="str">
        <f>IFERROR(__xludf.DUMMYFUNCTION("""COMPUTED_VALUE"""),"")</f>
        <v/>
      </c>
      <c r="D887" s="8" t="str">
        <f>IFERROR(__xludf.DUMMYFUNCTION("""COMPUTED_VALUE"""),"UNK")</f>
        <v>UNK</v>
      </c>
      <c r="E887" s="8" t="str">
        <f>IFERROR(__xludf.DUMMYFUNCTION("""COMPUTED_VALUE"""),"Canada")</f>
        <v>Canada</v>
      </c>
      <c r="F887" s="8" t="str">
        <f>IFERROR(__xludf.DUMMYFUNCTION("""COMPUTED_VALUE"""),"DL")</f>
        <v>DL</v>
      </c>
      <c r="G887" s="8" t="str">
        <f>IFERROR(__xludf.DUMMYFUNCTION("""COMPUTED_VALUE"""),"83rd")</f>
        <v>83rd</v>
      </c>
      <c r="H887" s="8" t="str">
        <f>IFERROR(__xludf.DUMMYFUNCTION("""COMPUTED_VALUE"""),"DL")</f>
        <v>DL</v>
      </c>
      <c r="I887" s="10">
        <f>IFERROR(__xludf.DUMMYFUNCTION("""COMPUTED_VALUE"""),42401.0)</f>
        <v>42401</v>
      </c>
      <c r="J887" s="10">
        <f>IFERROR(__xludf.DUMMYFUNCTION("""COMPUTED_VALUE"""),44713.0)</f>
        <v>44713</v>
      </c>
      <c r="K887" s="18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9" t="str">
        <f>IFERROR(__xludf.DUMMYFUNCTION("""COMPUTED_VALUE"""),"Yanock")</f>
        <v>Yanock</v>
      </c>
      <c r="B888" s="8" t="str">
        <f>IFERROR(__xludf.DUMMYFUNCTION("""COMPUTED_VALUE"""),"John")</f>
        <v>John</v>
      </c>
      <c r="C888" s="8" t="str">
        <f>IFERROR(__xludf.DUMMYFUNCTION("""COMPUTED_VALUE"""),"Frisco")</f>
        <v>Frisco</v>
      </c>
      <c r="D888" s="8" t="str">
        <f>IFERROR(__xludf.DUMMYFUNCTION("""COMPUTED_VALUE"""),"TX")</f>
        <v>TX</v>
      </c>
      <c r="E888" s="8" t="str">
        <f>IFERROR(__xludf.DUMMYFUNCTION("""COMPUTED_VALUE"""),"USA")</f>
        <v>USA</v>
      </c>
      <c r="F888" s="8" t="str">
        <f>IFERROR(__xludf.DUMMYFUNCTION("""COMPUTED_VALUE"""),"Men Doubles Cricket")</f>
        <v>Men Doubles Cricket</v>
      </c>
      <c r="G888" s="8" t="str">
        <f>IFERROR(__xludf.DUMMYFUNCTION("""COMPUTED_VALUE"""),"3rd")</f>
        <v>3rd</v>
      </c>
      <c r="H888" s="8" t="str">
        <f>IFERROR(__xludf.DUMMYFUNCTION("""COMPUTED_VALUE"""),"Texas BS 34")</f>
        <v>Texas BS 34</v>
      </c>
      <c r="I888" s="10">
        <f>IFERROR(__xludf.DUMMYFUNCTION("""COMPUTED_VALUE"""),43617.0)</f>
        <v>43617</v>
      </c>
      <c r="J888" s="10">
        <f>IFERROR(__xludf.DUMMYFUNCTION("""COMPUTED_VALUE"""),44713.0)</f>
        <v>44713</v>
      </c>
      <c r="K888" s="18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9" t="str">
        <f>IFERROR(__xludf.DUMMYFUNCTION("""COMPUTED_VALUE"""),"Yasenchak")</f>
        <v>Yasenchak</v>
      </c>
      <c r="B889" s="8" t="str">
        <f>IFERROR(__xludf.DUMMYFUNCTION("""COMPUTED_VALUE"""),"Kevin")</f>
        <v>Kevin</v>
      </c>
      <c r="C889" s="8" t="str">
        <f>IFERROR(__xludf.DUMMYFUNCTION("""COMPUTED_VALUE"""),"Cleveland")</f>
        <v>Cleveland</v>
      </c>
      <c r="D889" s="8" t="str">
        <f>IFERROR(__xludf.DUMMYFUNCTION("""COMPUTED_VALUE"""),"OH")</f>
        <v>OH</v>
      </c>
      <c r="E889" s="8" t="str">
        <f>IFERROR(__xludf.DUMMYFUNCTION("""COMPUTED_VALUE"""),"USA")</f>
        <v>USA</v>
      </c>
      <c r="F889" s="8" t="str">
        <f>IFERROR(__xludf.DUMMYFUNCTION("""COMPUTED_VALUE"""),"Men 501 Doubles")</f>
        <v>Men 501 Doubles</v>
      </c>
      <c r="G889" s="8" t="str">
        <f>IFERROR(__xludf.DUMMYFUNCTION("""COMPUTED_VALUE"""),"2nd")</f>
        <v>2nd</v>
      </c>
      <c r="H889" s="8" t="str">
        <f>IFERROR(__xludf.DUMMYFUNCTION("""COMPUTED_VALUE"""),"BullShooter 34 Finals")</f>
        <v>BullShooter 34 Finals</v>
      </c>
      <c r="I889" s="10">
        <f>IFERROR(__xludf.DUMMYFUNCTION("""COMPUTED_VALUE"""),43617.0)</f>
        <v>43617</v>
      </c>
      <c r="J889" s="10">
        <f>IFERROR(__xludf.DUMMYFUNCTION("""COMPUTED_VALUE"""),44713.0)</f>
        <v>44713</v>
      </c>
      <c r="K889" s="18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9" t="str">
        <f>IFERROR(__xludf.DUMMYFUNCTION("""COMPUTED_VALUE"""),"Ybanez")</f>
        <v>Ybanez</v>
      </c>
      <c r="B890" s="8" t="str">
        <f>IFERROR(__xludf.DUMMYFUNCTION("""COMPUTED_VALUE"""),"Benedicto")</f>
        <v>Benedicto</v>
      </c>
      <c r="C890" s="8" t="str">
        <f>IFERROR(__xludf.DUMMYFUNCTION("""COMPUTED_VALUE"""),"")</f>
        <v/>
      </c>
      <c r="D890" s="8" t="str">
        <f>IFERROR(__xludf.DUMMYFUNCTION("""COMPUTED_VALUE"""),"UNK")</f>
        <v>UNK</v>
      </c>
      <c r="E890" s="8" t="str">
        <f>IFERROR(__xludf.DUMMYFUNCTION("""COMPUTED_VALUE"""),"Philippines")</f>
        <v>Philippines</v>
      </c>
      <c r="F890" s="8" t="str">
        <f>IFERROR(__xludf.DUMMYFUNCTION("""COMPUTED_VALUE"""),"DL")</f>
        <v>DL</v>
      </c>
      <c r="G890" s="8" t="str">
        <f>IFERROR(__xludf.DUMMYFUNCTION("""COMPUTED_VALUE"""),"39th")</f>
        <v>39th</v>
      </c>
      <c r="H890" s="8" t="str">
        <f>IFERROR(__xludf.DUMMYFUNCTION("""COMPUTED_VALUE"""),"DL")</f>
        <v>DL</v>
      </c>
      <c r="I890" s="10">
        <f>IFERROR(__xludf.DUMMYFUNCTION("""COMPUTED_VALUE"""),42401.0)</f>
        <v>42401</v>
      </c>
      <c r="J890" s="10">
        <f>IFERROR(__xludf.DUMMYFUNCTION("""COMPUTED_VALUE"""),44713.0)</f>
        <v>44713</v>
      </c>
      <c r="K890" s="18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9" t="str">
        <f>IFERROR(__xludf.DUMMYFUNCTION("""COMPUTED_VALUE"""),"Yeast")</f>
        <v>Yeast</v>
      </c>
      <c r="B891" s="8" t="str">
        <f>IFERROR(__xludf.DUMMYFUNCTION("""COMPUTED_VALUE"""),"Nicholas")</f>
        <v>Nicholas</v>
      </c>
      <c r="C891" s="8" t="str">
        <f>IFERROR(__xludf.DUMMYFUNCTION("""COMPUTED_VALUE"""),"Galesburg")</f>
        <v>Galesburg</v>
      </c>
      <c r="D891" s="8" t="str">
        <f>IFERROR(__xludf.DUMMYFUNCTION("""COMPUTED_VALUE"""),"IL")</f>
        <v>IL</v>
      </c>
      <c r="E891" s="8" t="str">
        <f>IFERROR(__xludf.DUMMYFUNCTION("""COMPUTED_VALUE"""),"USA")</f>
        <v>USA</v>
      </c>
      <c r="F891" s="8" t="str">
        <f>IFERROR(__xludf.DUMMYFUNCTION("""COMPUTED_VALUE"""),"Pro/Am Cricket")</f>
        <v>Pro/Am Cricket</v>
      </c>
      <c r="G891" s="8" t="str">
        <f>IFERROR(__xludf.DUMMYFUNCTION("""COMPUTED_VALUE"""),"3rd")</f>
        <v>3rd</v>
      </c>
      <c r="H891" s="8" t="str">
        <f>IFERROR(__xludf.DUMMYFUNCTION("""COMPUTED_VALUE"""),"Wisconsin BS 34")</f>
        <v>Wisconsin BS 34</v>
      </c>
      <c r="I891" s="10">
        <f>IFERROR(__xludf.DUMMYFUNCTION("""COMPUTED_VALUE"""),43617.0)</f>
        <v>43617</v>
      </c>
      <c r="J891" s="10">
        <f>IFERROR(__xludf.DUMMYFUNCTION("""COMPUTED_VALUE"""),44713.0)</f>
        <v>44713</v>
      </c>
      <c r="K891" s="18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9" t="str">
        <f>IFERROR(__xludf.DUMMYFUNCTION("""COMPUTED_VALUE"""),"Yin")</f>
        <v>Yin</v>
      </c>
      <c r="B892" s="8" t="str">
        <f>IFERROR(__xludf.DUMMYFUNCTION("""COMPUTED_VALUE"""),"Deng")</f>
        <v>Deng</v>
      </c>
      <c r="C892" s="8" t="str">
        <f>IFERROR(__xludf.DUMMYFUNCTION("""COMPUTED_VALUE"""),"")</f>
        <v/>
      </c>
      <c r="D892" s="8" t="str">
        <f>IFERROR(__xludf.DUMMYFUNCTION("""COMPUTED_VALUE"""),"UNK")</f>
        <v>UNK</v>
      </c>
      <c r="E892" s="8" t="str">
        <f>IFERROR(__xludf.DUMMYFUNCTION("""COMPUTED_VALUE"""),"China")</f>
        <v>China</v>
      </c>
      <c r="F892" s="8" t="str">
        <f>IFERROR(__xludf.DUMMYFUNCTION("""COMPUTED_VALUE"""),"DL")</f>
        <v>DL</v>
      </c>
      <c r="G892" s="8" t="str">
        <f>IFERROR(__xludf.DUMMYFUNCTION("""COMPUTED_VALUE"""),"94th")</f>
        <v>94th</v>
      </c>
      <c r="H892" s="8" t="str">
        <f>IFERROR(__xludf.DUMMYFUNCTION("""COMPUTED_VALUE"""),"DL")</f>
        <v>DL</v>
      </c>
      <c r="I892" s="10">
        <f>IFERROR(__xludf.DUMMYFUNCTION("""COMPUTED_VALUE"""),42401.0)</f>
        <v>42401</v>
      </c>
      <c r="J892" s="10">
        <f>IFERROR(__xludf.DUMMYFUNCTION("""COMPUTED_VALUE"""),44713.0)</f>
        <v>44713</v>
      </c>
      <c r="K892" s="18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9" t="str">
        <f>IFERROR(__xludf.DUMMYFUNCTION("""COMPUTED_VALUE"""),"Yoder")</f>
        <v>Yoder</v>
      </c>
      <c r="B893" s="8" t="str">
        <f>IFERROR(__xludf.DUMMYFUNCTION("""COMPUTED_VALUE"""),"Jason")</f>
        <v>Jason</v>
      </c>
      <c r="C893" s="8" t="str">
        <f>IFERROR(__xludf.DUMMYFUNCTION("""COMPUTED_VALUE"""),"Cottingswood")</f>
        <v>Cottingswood</v>
      </c>
      <c r="D893" s="8" t="str">
        <f>IFERROR(__xludf.DUMMYFUNCTION("""COMPUTED_VALUE"""),"NJ")</f>
        <v>NJ</v>
      </c>
      <c r="E893" s="8" t="str">
        <f>IFERROR(__xludf.DUMMYFUNCTION("""COMPUTED_VALUE"""),"USA")</f>
        <v>USA</v>
      </c>
      <c r="F893" s="8" t="str">
        <f>IFERROR(__xludf.DUMMYFUNCTION("""COMPUTED_VALUE"""),"Mixed Triples 701")</f>
        <v>Mixed Triples 701</v>
      </c>
      <c r="G893" s="8" t="str">
        <f>IFERROR(__xludf.DUMMYFUNCTION("""COMPUTED_VALUE"""),"3rd")</f>
        <v>3rd</v>
      </c>
      <c r="H893" s="8" t="str">
        <f>IFERROR(__xludf.DUMMYFUNCTION("""COMPUTED_VALUE"""),"BullShooter 32")</f>
        <v>BullShooter 32</v>
      </c>
      <c r="I893" s="10">
        <f>IFERROR(__xludf.DUMMYFUNCTION("""COMPUTED_VALUE"""),42887.0)</f>
        <v>42887</v>
      </c>
      <c r="J893" s="10">
        <f>IFERROR(__xludf.DUMMYFUNCTION("""COMPUTED_VALUE"""),43983.0)</f>
        <v>43983</v>
      </c>
      <c r="K893" s="18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9" t="str">
        <f>IFERROR(__xludf.DUMMYFUNCTION("""COMPUTED_VALUE"""),"Young")</f>
        <v>Young</v>
      </c>
      <c r="B894" s="8" t="str">
        <f>IFERROR(__xludf.DUMMYFUNCTION("""COMPUTED_VALUE"""),"David")</f>
        <v>David</v>
      </c>
      <c r="C894" s="8" t="str">
        <f>IFERROR(__xludf.DUMMYFUNCTION("""COMPUTED_VALUE"""),"Lawrenceville")</f>
        <v>Lawrenceville</v>
      </c>
      <c r="D894" s="8" t="str">
        <f>IFERROR(__xludf.DUMMYFUNCTION("""COMPUTED_VALUE"""),"IL")</f>
        <v>IL</v>
      </c>
      <c r="E894" s="8" t="str">
        <f>IFERROR(__xludf.DUMMYFUNCTION("""COMPUTED_VALUE"""),"USA")</f>
        <v>USA</v>
      </c>
      <c r="F894" s="8" t="str">
        <f>IFERROR(__xludf.DUMMYFUNCTION("""COMPUTED_VALUE"""),"Mens Cricket Doubles")</f>
        <v>Mens Cricket Doubles</v>
      </c>
      <c r="G894" s="8" t="str">
        <f>IFERROR(__xludf.DUMMYFUNCTION("""COMPUTED_VALUE"""),"3rd")</f>
        <v>3rd</v>
      </c>
      <c r="H894" s="8" t="str">
        <f>IFERROR(__xludf.DUMMYFUNCTION("""COMPUTED_VALUE"""),"IN Regional 33")</f>
        <v>IN Regional 33</v>
      </c>
      <c r="I894" s="10">
        <f>IFERROR(__xludf.DUMMYFUNCTION("""COMPUTED_VALUE"""),43252.0)</f>
        <v>43252</v>
      </c>
      <c r="J894" s="10">
        <f>IFERROR(__xludf.DUMMYFUNCTION("""COMPUTED_VALUE"""),44348.0)</f>
        <v>44348</v>
      </c>
      <c r="K894" s="18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9" t="str">
        <f>IFERROR(__xludf.DUMMYFUNCTION("""COMPUTED_VALUE"""),"Young")</f>
        <v>Young</v>
      </c>
      <c r="B895" s="8" t="str">
        <f>IFERROR(__xludf.DUMMYFUNCTION("""COMPUTED_VALUE"""),"Michael")</f>
        <v>Michael</v>
      </c>
      <c r="C895" s="8" t="str">
        <f>IFERROR(__xludf.DUMMYFUNCTION("""COMPUTED_VALUE"""),"Geneva")</f>
        <v>Geneva</v>
      </c>
      <c r="D895" s="8" t="str">
        <f>IFERROR(__xludf.DUMMYFUNCTION("""COMPUTED_VALUE"""),"NY")</f>
        <v>NY</v>
      </c>
      <c r="E895" s="8" t="str">
        <f>IFERROR(__xludf.DUMMYFUNCTION("""COMPUTED_VALUE"""),"USA")</f>
        <v>USA</v>
      </c>
      <c r="F895" s="8" t="str">
        <f>IFERROR(__xludf.DUMMYFUNCTION("""COMPUTED_VALUE"""),"Mens Doubles")</f>
        <v>Mens Doubles</v>
      </c>
      <c r="G895" s="8" t="str">
        <f>IFERROR(__xludf.DUMMYFUNCTION("""COMPUTED_VALUE"""),"1st")</f>
        <v>1st</v>
      </c>
      <c r="H895" s="8" t="str">
        <f>IFERROR(__xludf.DUMMYFUNCTION("""COMPUTED_VALUE"""),"NY Regional 33")</f>
        <v>NY Regional 33</v>
      </c>
      <c r="I895" s="10">
        <f>IFERROR(__xludf.DUMMYFUNCTION("""COMPUTED_VALUE"""),43252.0)</f>
        <v>43252</v>
      </c>
      <c r="J895" s="10">
        <f>IFERROR(__xludf.DUMMYFUNCTION("""COMPUTED_VALUE"""),44348.0)</f>
        <v>44348</v>
      </c>
      <c r="K895" s="18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9" t="str">
        <f>IFERROR(__xludf.DUMMYFUNCTION("""COMPUTED_VALUE"""),"Yuan Ning")</f>
        <v>Yuan Ning</v>
      </c>
      <c r="B896" s="8" t="str">
        <f>IFERROR(__xludf.DUMMYFUNCTION("""COMPUTED_VALUE"""),"Zhang")</f>
        <v>Zhang</v>
      </c>
      <c r="C896" s="8" t="str">
        <f>IFERROR(__xludf.DUMMYFUNCTION("""COMPUTED_VALUE"""),"")</f>
        <v/>
      </c>
      <c r="D896" s="8" t="str">
        <f>IFERROR(__xludf.DUMMYFUNCTION("""COMPUTED_VALUE"""),"UNK")</f>
        <v>UNK</v>
      </c>
      <c r="E896" s="8" t="str">
        <f>IFERROR(__xludf.DUMMYFUNCTION("""COMPUTED_VALUE"""),"Taiwan")</f>
        <v>Taiwan</v>
      </c>
      <c r="F896" s="8" t="str">
        <f>IFERROR(__xludf.DUMMYFUNCTION("""COMPUTED_VALUE"""),"DL")</f>
        <v>DL</v>
      </c>
      <c r="G896" s="8" t="str">
        <f>IFERROR(__xludf.DUMMYFUNCTION("""COMPUTED_VALUE"""),"68th")</f>
        <v>68th</v>
      </c>
      <c r="H896" s="8" t="str">
        <f>IFERROR(__xludf.DUMMYFUNCTION("""COMPUTED_VALUE"""),"DL")</f>
        <v>DL</v>
      </c>
      <c r="I896" s="10">
        <f>IFERROR(__xludf.DUMMYFUNCTION("""COMPUTED_VALUE"""),42401.0)</f>
        <v>42401</v>
      </c>
      <c r="J896" s="10">
        <f>IFERROR(__xludf.DUMMYFUNCTION("""COMPUTED_VALUE"""),44713.0)</f>
        <v>44713</v>
      </c>
      <c r="K896" s="18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9" t="str">
        <f>IFERROR(__xludf.DUMMYFUNCTION("""COMPUTED_VALUE"""),"Yueh Hsun")</f>
        <v>Yueh Hsun</v>
      </c>
      <c r="B897" s="8" t="str">
        <f>IFERROR(__xludf.DUMMYFUNCTION("""COMPUTED_VALUE"""),"Chang")</f>
        <v>Chang</v>
      </c>
      <c r="C897" s="8" t="str">
        <f>IFERROR(__xludf.DUMMYFUNCTION("""COMPUTED_VALUE"""),"")</f>
        <v/>
      </c>
      <c r="D897" s="8" t="str">
        <f>IFERROR(__xludf.DUMMYFUNCTION("""COMPUTED_VALUE"""),"UNK")</f>
        <v>UNK</v>
      </c>
      <c r="E897" s="8" t="str">
        <f>IFERROR(__xludf.DUMMYFUNCTION("""COMPUTED_VALUE"""),"Taiwan")</f>
        <v>Taiwan</v>
      </c>
      <c r="F897" s="8" t="str">
        <f>IFERROR(__xludf.DUMMYFUNCTION("""COMPUTED_VALUE"""),"DL")</f>
        <v>DL</v>
      </c>
      <c r="G897" s="8" t="str">
        <f>IFERROR(__xludf.DUMMYFUNCTION("""COMPUTED_VALUE"""),"94th")</f>
        <v>94th</v>
      </c>
      <c r="H897" s="8" t="str">
        <f>IFERROR(__xludf.DUMMYFUNCTION("""COMPUTED_VALUE"""),"DL")</f>
        <v>DL</v>
      </c>
      <c r="I897" s="10">
        <f>IFERROR(__xludf.DUMMYFUNCTION("""COMPUTED_VALUE"""),42401.0)</f>
        <v>42401</v>
      </c>
      <c r="J897" s="10">
        <f>IFERROR(__xludf.DUMMYFUNCTION("""COMPUTED_VALUE"""),44713.0)</f>
        <v>44713</v>
      </c>
      <c r="K897" s="18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9" t="str">
        <f>IFERROR(__xludf.DUMMYFUNCTION("""COMPUTED_VALUE"""),"Zellner")</f>
        <v>Zellner</v>
      </c>
      <c r="B898" s="8" t="str">
        <f>IFERROR(__xludf.DUMMYFUNCTION("""COMPUTED_VALUE"""),"Ken")</f>
        <v>Ken</v>
      </c>
      <c r="C898" s="8" t="str">
        <f>IFERROR(__xludf.DUMMYFUNCTION("""COMPUTED_VALUE"""),"Spring")</f>
        <v>Spring</v>
      </c>
      <c r="D898" s="8" t="str">
        <f>IFERROR(__xludf.DUMMYFUNCTION("""COMPUTED_VALUE"""),"TX")</f>
        <v>TX</v>
      </c>
      <c r="E898" s="8" t="str">
        <f>IFERROR(__xludf.DUMMYFUNCTION("""COMPUTED_VALUE"""),"USA")</f>
        <v>USA</v>
      </c>
      <c r="F898" s="8" t="str">
        <f>IFERROR(__xludf.DUMMYFUNCTION("""COMPUTED_VALUE"""),"Mens Doubles")</f>
        <v>Mens Doubles</v>
      </c>
      <c r="G898" s="8" t="str">
        <f>IFERROR(__xludf.DUMMYFUNCTION("""COMPUTED_VALUE"""),"2nd")</f>
        <v>2nd</v>
      </c>
      <c r="H898" s="8" t="str">
        <f>IFERROR(__xludf.DUMMYFUNCTION("""COMPUTED_VALUE"""),"TX Regional 33")</f>
        <v>TX Regional 33</v>
      </c>
      <c r="I898" s="10">
        <f>IFERROR(__xludf.DUMMYFUNCTION("""COMPUTED_VALUE"""),43252.0)</f>
        <v>43252</v>
      </c>
      <c r="J898" s="10">
        <f>IFERROR(__xludf.DUMMYFUNCTION("""COMPUTED_VALUE"""),44348.0)</f>
        <v>44348</v>
      </c>
      <c r="K898" s="18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9" t="str">
        <f>IFERROR(__xludf.DUMMYFUNCTION("""COMPUTED_VALUE"""),"Zolfaghari")</f>
        <v>Zolfaghari</v>
      </c>
      <c r="B899" s="8" t="str">
        <f>IFERROR(__xludf.DUMMYFUNCTION("""COMPUTED_VALUE"""),"Steven")</f>
        <v>Steven</v>
      </c>
      <c r="C899" s="8" t="str">
        <f>IFERROR(__xludf.DUMMYFUNCTION("""COMPUTED_VALUE"""),"Bloomington")</f>
        <v>Bloomington</v>
      </c>
      <c r="D899" s="8" t="str">
        <f>IFERROR(__xludf.DUMMYFUNCTION("""COMPUTED_VALUE"""),"IL")</f>
        <v>IL</v>
      </c>
      <c r="E899" s="8" t="str">
        <f>IFERROR(__xludf.DUMMYFUNCTION("""COMPUTED_VALUE"""),"USA")</f>
        <v>USA</v>
      </c>
      <c r="F899" s="8" t="str">
        <f>IFERROR(__xludf.DUMMYFUNCTION("""COMPUTED_VALUE"""),"Mens Doubles")</f>
        <v>Mens Doubles</v>
      </c>
      <c r="G899" s="8" t="str">
        <f>IFERROR(__xludf.DUMMYFUNCTION("""COMPUTED_VALUE"""),"2nd")</f>
        <v>2nd</v>
      </c>
      <c r="H899" s="8" t="str">
        <f>IFERROR(__xludf.DUMMYFUNCTION("""COMPUTED_VALUE"""),"BS 33 Finals")</f>
        <v>BS 33 Finals</v>
      </c>
      <c r="I899" s="10">
        <f>IFERROR(__xludf.DUMMYFUNCTION("""COMPUTED_VALUE"""),43252.0)</f>
        <v>43252</v>
      </c>
      <c r="J899" s="10">
        <f>IFERROR(__xludf.DUMMYFUNCTION("""COMPUTED_VALUE"""),44348.0)</f>
        <v>44348</v>
      </c>
      <c r="K899" s="18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9" t="str">
        <f>IFERROR(__xludf.DUMMYFUNCTION("""COMPUTED_VALUE"""),"Zurick")</f>
        <v>Zurick</v>
      </c>
      <c r="B900" s="8" t="str">
        <f>IFERROR(__xludf.DUMMYFUNCTION("""COMPUTED_VALUE"""),"John")</f>
        <v>John</v>
      </c>
      <c r="C900" s="8" t="str">
        <f>IFERROR(__xludf.DUMMYFUNCTION("""COMPUTED_VALUE"""),"South Elgin")</f>
        <v>South Elgin</v>
      </c>
      <c r="D900" s="8" t="str">
        <f>IFERROR(__xludf.DUMMYFUNCTION("""COMPUTED_VALUE"""),"IL")</f>
        <v>IL</v>
      </c>
      <c r="E900" s="8" t="str">
        <f>IFERROR(__xludf.DUMMYFUNCTION("""COMPUTED_VALUE"""),"USA")</f>
        <v>USA</v>
      </c>
      <c r="F900" s="8" t="str">
        <f>IFERROR(__xludf.DUMMYFUNCTION("""COMPUTED_VALUE"""),"Top Gun Triples")</f>
        <v>Top Gun Triples</v>
      </c>
      <c r="G900" s="8" t="str">
        <f>IFERROR(__xludf.DUMMYFUNCTION("""COMPUTED_VALUE"""),"3rd")</f>
        <v>3rd</v>
      </c>
      <c r="H900" s="8" t="str">
        <f>IFERROR(__xludf.DUMMYFUNCTION("""COMPUTED_VALUE"""),"BS 33 Finals")</f>
        <v>BS 33 Finals</v>
      </c>
      <c r="I900" s="10">
        <f>IFERROR(__xludf.DUMMYFUNCTION("""COMPUTED_VALUE"""),43252.0)</f>
        <v>43252</v>
      </c>
      <c r="J900" s="10">
        <f>IFERROR(__xludf.DUMMYFUNCTION("""COMPUTED_VALUE"""),44348.0)</f>
        <v>44348</v>
      </c>
      <c r="K900" s="18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9"/>
      <c r="B901" s="8"/>
      <c r="C901" s="8"/>
      <c r="D901" s="8"/>
      <c r="E901" s="8"/>
      <c r="F901" s="8"/>
      <c r="G901" s="8"/>
      <c r="H901" s="8"/>
      <c r="I901" s="10"/>
      <c r="J901" s="10"/>
      <c r="K901" s="18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9"/>
      <c r="B902" s="8"/>
      <c r="C902" s="8"/>
      <c r="D902" s="8"/>
      <c r="E902" s="8"/>
      <c r="F902" s="8"/>
      <c r="G902" s="8"/>
      <c r="H902" s="8"/>
      <c r="I902" s="10"/>
      <c r="J902" s="10"/>
      <c r="K902" s="18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9"/>
      <c r="B903" s="8"/>
      <c r="C903" s="8"/>
      <c r="D903" s="8"/>
      <c r="E903" s="8"/>
      <c r="F903" s="8"/>
      <c r="G903" s="8"/>
      <c r="H903" s="8"/>
      <c r="I903" s="10"/>
      <c r="J903" s="10"/>
      <c r="K903" s="18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9"/>
      <c r="B904" s="8"/>
      <c r="C904" s="8"/>
      <c r="D904" s="8"/>
      <c r="E904" s="8"/>
      <c r="F904" s="8"/>
      <c r="G904" s="8"/>
      <c r="H904" s="8"/>
      <c r="I904" s="10"/>
      <c r="J904" s="10"/>
      <c r="K904" s="18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9"/>
      <c r="B905" s="8"/>
      <c r="C905" s="8"/>
      <c r="D905" s="8"/>
      <c r="E905" s="8"/>
      <c r="F905" s="8"/>
      <c r="G905" s="8"/>
      <c r="H905" s="8"/>
      <c r="I905" s="10"/>
      <c r="J905" s="10"/>
      <c r="K905" s="18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9"/>
      <c r="B906" s="8"/>
      <c r="C906" s="8"/>
      <c r="D906" s="8"/>
      <c r="E906" s="8"/>
      <c r="F906" s="8"/>
      <c r="G906" s="8"/>
      <c r="H906" s="8"/>
      <c r="I906" s="10"/>
      <c r="J906" s="10"/>
      <c r="K906" s="18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9"/>
      <c r="B907" s="8"/>
      <c r="C907" s="8"/>
      <c r="D907" s="8"/>
      <c r="E907" s="8"/>
      <c r="F907" s="8"/>
      <c r="G907" s="8"/>
      <c r="H907" s="8"/>
      <c r="I907" s="10"/>
      <c r="J907" s="10"/>
      <c r="K907" s="18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9"/>
      <c r="B908" s="8"/>
      <c r="C908" s="8"/>
      <c r="D908" s="8"/>
      <c r="E908" s="8"/>
      <c r="F908" s="8"/>
      <c r="G908" s="8"/>
      <c r="H908" s="8"/>
      <c r="I908" s="10"/>
      <c r="J908" s="10"/>
      <c r="K908" s="18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9"/>
      <c r="B909" s="8"/>
      <c r="C909" s="8"/>
      <c r="D909" s="8"/>
      <c r="E909" s="8"/>
      <c r="F909" s="8"/>
      <c r="G909" s="8"/>
      <c r="H909" s="8"/>
      <c r="I909" s="10"/>
      <c r="J909" s="10"/>
      <c r="K909" s="18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9"/>
      <c r="B910" s="8"/>
      <c r="C910" s="8"/>
      <c r="D910" s="8"/>
      <c r="E910" s="8"/>
      <c r="F910" s="8"/>
      <c r="G910" s="8"/>
      <c r="H910" s="8"/>
      <c r="I910" s="10"/>
      <c r="J910" s="10"/>
      <c r="K910" s="18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9"/>
      <c r="B911" s="8"/>
      <c r="C911" s="8"/>
      <c r="D911" s="8"/>
      <c r="E911" s="8"/>
      <c r="F911" s="8"/>
      <c r="G911" s="8"/>
      <c r="H911" s="8"/>
      <c r="I911" s="10"/>
      <c r="J911" s="10"/>
      <c r="K911" s="18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9"/>
      <c r="B912" s="8"/>
      <c r="C912" s="8"/>
      <c r="D912" s="8"/>
      <c r="E912" s="8"/>
      <c r="F912" s="8"/>
      <c r="G912" s="8"/>
      <c r="H912" s="8"/>
      <c r="I912" s="10"/>
      <c r="J912" s="10"/>
      <c r="K912" s="18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9"/>
      <c r="B913" s="8"/>
      <c r="C913" s="8"/>
      <c r="D913" s="8"/>
      <c r="E913" s="8"/>
      <c r="F913" s="8"/>
      <c r="G913" s="8"/>
      <c r="H913" s="8"/>
      <c r="I913" s="10"/>
      <c r="J913" s="10"/>
      <c r="K913" s="18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9"/>
      <c r="B914" s="8"/>
      <c r="C914" s="8"/>
      <c r="D914" s="8"/>
      <c r="E914" s="8"/>
      <c r="F914" s="8"/>
      <c r="G914" s="8"/>
      <c r="H914" s="8"/>
      <c r="I914" s="10"/>
      <c r="J914" s="10"/>
      <c r="K914" s="18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9"/>
      <c r="B915" s="8"/>
      <c r="C915" s="8"/>
      <c r="D915" s="8"/>
      <c r="E915" s="8"/>
      <c r="F915" s="8"/>
      <c r="G915" s="8"/>
      <c r="H915" s="8"/>
      <c r="I915" s="10"/>
      <c r="J915" s="10"/>
      <c r="K915" s="18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9"/>
      <c r="B916" s="8"/>
      <c r="C916" s="8"/>
      <c r="D916" s="8"/>
      <c r="E916" s="8"/>
      <c r="F916" s="8"/>
      <c r="G916" s="8"/>
      <c r="H916" s="8"/>
      <c r="I916" s="10"/>
      <c r="J916" s="10"/>
      <c r="K916" s="18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9"/>
      <c r="B917" s="8"/>
      <c r="C917" s="8"/>
      <c r="D917" s="8"/>
      <c r="E917" s="8"/>
      <c r="F917" s="8"/>
      <c r="G917" s="8"/>
      <c r="H917" s="8"/>
      <c r="I917" s="10"/>
      <c r="J917" s="10"/>
      <c r="K917" s="18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9"/>
      <c r="B918" s="8"/>
      <c r="C918" s="8"/>
      <c r="D918" s="8"/>
      <c r="E918" s="8"/>
      <c r="F918" s="8"/>
      <c r="G918" s="8"/>
      <c r="H918" s="8"/>
      <c r="I918" s="10"/>
      <c r="J918" s="10"/>
      <c r="K918" s="18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9"/>
      <c r="B919" s="8"/>
      <c r="C919" s="8"/>
      <c r="D919" s="8"/>
      <c r="E919" s="8"/>
      <c r="F919" s="8"/>
      <c r="G919" s="8"/>
      <c r="H919" s="8"/>
      <c r="I919" s="10"/>
      <c r="J919" s="10"/>
      <c r="K919" s="18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9"/>
      <c r="B920" s="8"/>
      <c r="C920" s="8"/>
      <c r="D920" s="8"/>
      <c r="E920" s="8"/>
      <c r="F920" s="8"/>
      <c r="G920" s="8"/>
      <c r="H920" s="8"/>
      <c r="I920" s="10"/>
      <c r="J920" s="10"/>
      <c r="K920" s="18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9"/>
      <c r="B921" s="8"/>
      <c r="C921" s="8"/>
      <c r="D921" s="8"/>
      <c r="E921" s="8"/>
      <c r="F921" s="8"/>
      <c r="G921" s="8"/>
      <c r="H921" s="8"/>
      <c r="I921" s="10"/>
      <c r="J921" s="10"/>
      <c r="K921" s="18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9"/>
      <c r="B922" s="8"/>
      <c r="C922" s="8"/>
      <c r="D922" s="8"/>
      <c r="E922" s="8"/>
      <c r="F922" s="8"/>
      <c r="G922" s="8"/>
      <c r="H922" s="8"/>
      <c r="I922" s="10"/>
      <c r="J922" s="10"/>
      <c r="K922" s="18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9"/>
      <c r="B923" s="8"/>
      <c r="C923" s="8"/>
      <c r="D923" s="8"/>
      <c r="E923" s="8"/>
      <c r="F923" s="8"/>
      <c r="G923" s="8"/>
      <c r="H923" s="8"/>
      <c r="I923" s="10"/>
      <c r="J923" s="10"/>
      <c r="K923" s="18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9"/>
      <c r="B924" s="8"/>
      <c r="C924" s="8"/>
      <c r="D924" s="8"/>
      <c r="E924" s="8"/>
      <c r="F924" s="8"/>
      <c r="G924" s="8"/>
      <c r="H924" s="8"/>
      <c r="I924" s="10"/>
      <c r="J924" s="10"/>
      <c r="K924" s="18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9"/>
      <c r="B925" s="8"/>
      <c r="C925" s="8"/>
      <c r="D925" s="8"/>
      <c r="E925" s="8"/>
      <c r="F925" s="8"/>
      <c r="G925" s="8"/>
      <c r="H925" s="8"/>
      <c r="I925" s="10"/>
      <c r="J925" s="10"/>
      <c r="K925" s="18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9"/>
      <c r="B926" s="8"/>
      <c r="C926" s="8"/>
      <c r="D926" s="8"/>
      <c r="E926" s="8"/>
      <c r="F926" s="8"/>
      <c r="G926" s="8"/>
      <c r="H926" s="8"/>
      <c r="I926" s="10"/>
      <c r="J926" s="10"/>
      <c r="K926" s="18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9"/>
      <c r="B927" s="8"/>
      <c r="C927" s="8"/>
      <c r="D927" s="8"/>
      <c r="E927" s="8"/>
      <c r="F927" s="8"/>
      <c r="G927" s="8"/>
      <c r="H927" s="8"/>
      <c r="I927" s="10"/>
      <c r="J927" s="10"/>
      <c r="K927" s="18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9"/>
      <c r="B928" s="8"/>
      <c r="C928" s="8"/>
      <c r="D928" s="8"/>
      <c r="E928" s="8"/>
      <c r="F928" s="8"/>
      <c r="G928" s="8"/>
      <c r="H928" s="8"/>
      <c r="I928" s="10"/>
      <c r="J928" s="10"/>
      <c r="K928" s="18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9"/>
      <c r="B929" s="8"/>
      <c r="C929" s="8"/>
      <c r="D929" s="8"/>
      <c r="E929" s="8"/>
      <c r="F929" s="8"/>
      <c r="G929" s="8"/>
      <c r="H929" s="8"/>
      <c r="I929" s="10"/>
      <c r="J929" s="10"/>
      <c r="K929" s="18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9"/>
      <c r="B930" s="8"/>
      <c r="C930" s="8"/>
      <c r="D930" s="8"/>
      <c r="E930" s="8"/>
      <c r="F930" s="8"/>
      <c r="G930" s="8"/>
      <c r="H930" s="8"/>
      <c r="I930" s="10"/>
      <c r="J930" s="10"/>
      <c r="K930" s="18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9"/>
      <c r="B931" s="8"/>
      <c r="C931" s="8"/>
      <c r="D931" s="8"/>
      <c r="E931" s="8"/>
      <c r="F931" s="8"/>
      <c r="G931" s="8"/>
      <c r="H931" s="8"/>
      <c r="I931" s="10"/>
      <c r="J931" s="10"/>
      <c r="K931" s="18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9"/>
      <c r="B932" s="8"/>
      <c r="C932" s="8"/>
      <c r="D932" s="8"/>
      <c r="E932" s="8"/>
      <c r="F932" s="8"/>
      <c r="G932" s="8"/>
      <c r="H932" s="8"/>
      <c r="I932" s="10"/>
      <c r="J932" s="10"/>
      <c r="K932" s="18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9"/>
      <c r="B933" s="8"/>
      <c r="C933" s="8"/>
      <c r="D933" s="8"/>
      <c r="E933" s="8"/>
      <c r="F933" s="8"/>
      <c r="G933" s="8"/>
      <c r="H933" s="8"/>
      <c r="I933" s="10"/>
      <c r="J933" s="10"/>
      <c r="K933" s="18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9"/>
      <c r="B934" s="8"/>
      <c r="C934" s="8"/>
      <c r="D934" s="8"/>
      <c r="E934" s="8"/>
      <c r="F934" s="8"/>
      <c r="G934" s="8"/>
      <c r="H934" s="8"/>
      <c r="I934" s="10"/>
      <c r="J934" s="10"/>
      <c r="K934" s="18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9"/>
      <c r="B935" s="8"/>
      <c r="C935" s="8"/>
      <c r="D935" s="8"/>
      <c r="E935" s="8"/>
      <c r="F935" s="8"/>
      <c r="G935" s="8"/>
      <c r="H935" s="8"/>
      <c r="I935" s="10"/>
      <c r="J935" s="10"/>
      <c r="K935" s="18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9"/>
      <c r="B936" s="8"/>
      <c r="C936" s="8"/>
      <c r="D936" s="8"/>
      <c r="E936" s="8"/>
      <c r="F936" s="8"/>
      <c r="G936" s="8"/>
      <c r="H936" s="8"/>
      <c r="I936" s="10"/>
      <c r="J936" s="10"/>
      <c r="K936" s="18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9"/>
      <c r="B937" s="8"/>
      <c r="C937" s="8"/>
      <c r="D937" s="8"/>
      <c r="E937" s="8"/>
      <c r="F937" s="8"/>
      <c r="G937" s="8"/>
      <c r="H937" s="8"/>
      <c r="I937" s="10"/>
      <c r="J937" s="10"/>
      <c r="K937" s="18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9"/>
      <c r="B938" s="8"/>
      <c r="C938" s="8"/>
      <c r="D938" s="8"/>
      <c r="E938" s="8"/>
      <c r="F938" s="8"/>
      <c r="G938" s="8"/>
      <c r="H938" s="8"/>
      <c r="I938" s="10"/>
      <c r="J938" s="10"/>
      <c r="K938" s="18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9"/>
      <c r="B939" s="8"/>
      <c r="C939" s="8"/>
      <c r="D939" s="8"/>
      <c r="E939" s="8"/>
      <c r="F939" s="8"/>
      <c r="G939" s="8"/>
      <c r="H939" s="8"/>
      <c r="I939" s="10"/>
      <c r="J939" s="10"/>
      <c r="K939" s="18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9"/>
      <c r="B940" s="8"/>
      <c r="C940" s="8"/>
      <c r="D940" s="8"/>
      <c r="E940" s="8"/>
      <c r="F940" s="8"/>
      <c r="G940" s="8"/>
      <c r="H940" s="8"/>
      <c r="I940" s="10"/>
      <c r="J940" s="10"/>
      <c r="K940" s="18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9"/>
      <c r="B941" s="8"/>
      <c r="C941" s="8"/>
      <c r="D941" s="8"/>
      <c r="E941" s="8"/>
      <c r="F941" s="8"/>
      <c r="G941" s="8"/>
      <c r="H941" s="8"/>
      <c r="I941" s="10"/>
      <c r="J941" s="10"/>
      <c r="K941" s="18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9"/>
      <c r="B942" s="8"/>
      <c r="C942" s="8"/>
      <c r="D942" s="8"/>
      <c r="E942" s="8"/>
      <c r="F942" s="8"/>
      <c r="G942" s="8"/>
      <c r="H942" s="8"/>
      <c r="I942" s="10"/>
      <c r="J942" s="10"/>
      <c r="K942" s="18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9"/>
      <c r="B943" s="8"/>
      <c r="C943" s="8"/>
      <c r="D943" s="8"/>
      <c r="E943" s="8"/>
      <c r="F943" s="8"/>
      <c r="G943" s="8"/>
      <c r="H943" s="8"/>
      <c r="I943" s="10"/>
      <c r="J943" s="10"/>
      <c r="K943" s="18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9"/>
      <c r="B944" s="8"/>
      <c r="C944" s="8"/>
      <c r="D944" s="8"/>
      <c r="E944" s="8"/>
      <c r="F944" s="8"/>
      <c r="G944" s="8"/>
      <c r="H944" s="8"/>
      <c r="I944" s="10"/>
      <c r="J944" s="10"/>
      <c r="K944" s="18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9"/>
      <c r="B945" s="8"/>
      <c r="C945" s="8"/>
      <c r="D945" s="8"/>
      <c r="E945" s="8"/>
      <c r="F945" s="8"/>
      <c r="G945" s="8"/>
      <c r="H945" s="8"/>
      <c r="I945" s="10"/>
      <c r="J945" s="10"/>
      <c r="K945" s="18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9"/>
      <c r="B946" s="8"/>
      <c r="C946" s="8"/>
      <c r="D946" s="8"/>
      <c r="E946" s="8"/>
      <c r="F946" s="8"/>
      <c r="G946" s="8"/>
      <c r="H946" s="8"/>
      <c r="I946" s="10"/>
      <c r="J946" s="10"/>
      <c r="K946" s="18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9"/>
      <c r="B947" s="8"/>
      <c r="C947" s="8"/>
      <c r="D947" s="8"/>
      <c r="E947" s="8"/>
      <c r="F947" s="8"/>
      <c r="G947" s="8"/>
      <c r="H947" s="8"/>
      <c r="I947" s="10"/>
      <c r="J947" s="10"/>
      <c r="K947" s="18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9"/>
      <c r="B948" s="8"/>
      <c r="C948" s="8"/>
      <c r="D948" s="8"/>
      <c r="E948" s="8"/>
      <c r="F948" s="8"/>
      <c r="G948" s="8"/>
      <c r="H948" s="8"/>
      <c r="I948" s="10"/>
      <c r="J948" s="10"/>
      <c r="K948" s="18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9"/>
      <c r="B949" s="8"/>
      <c r="C949" s="8"/>
      <c r="D949" s="8"/>
      <c r="E949" s="8"/>
      <c r="F949" s="8"/>
      <c r="G949" s="8"/>
      <c r="H949" s="8"/>
      <c r="I949" s="10"/>
      <c r="J949" s="10"/>
      <c r="K949" s="18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9"/>
      <c r="B950" s="8"/>
      <c r="C950" s="8"/>
      <c r="D950" s="8"/>
      <c r="E950" s="8"/>
      <c r="F950" s="8"/>
      <c r="G950" s="8"/>
      <c r="H950" s="8"/>
      <c r="I950" s="10"/>
      <c r="J950" s="10"/>
      <c r="K950" s="18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9"/>
      <c r="B951" s="8"/>
      <c r="C951" s="8"/>
      <c r="D951" s="8"/>
      <c r="E951" s="8"/>
      <c r="F951" s="8"/>
      <c r="G951" s="8"/>
      <c r="H951" s="8"/>
      <c r="I951" s="10"/>
      <c r="J951" s="10"/>
      <c r="K951" s="18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9"/>
      <c r="B952" s="8"/>
      <c r="C952" s="8"/>
      <c r="D952" s="8"/>
      <c r="E952" s="8"/>
      <c r="F952" s="8"/>
      <c r="G952" s="8"/>
      <c r="H952" s="8"/>
      <c r="I952" s="10"/>
      <c r="J952" s="10"/>
      <c r="K952" s="18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9"/>
      <c r="B953" s="8"/>
      <c r="C953" s="8"/>
      <c r="D953" s="8"/>
      <c r="E953" s="8"/>
      <c r="F953" s="8"/>
      <c r="G953" s="8"/>
      <c r="H953" s="8"/>
      <c r="I953" s="10"/>
      <c r="J953" s="10"/>
      <c r="K953" s="18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9"/>
      <c r="B954" s="8"/>
      <c r="C954" s="8"/>
      <c r="D954" s="8"/>
      <c r="E954" s="8"/>
      <c r="F954" s="8"/>
      <c r="G954" s="8"/>
      <c r="H954" s="8"/>
      <c r="I954" s="10"/>
      <c r="J954" s="10"/>
      <c r="K954" s="18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9"/>
      <c r="B955" s="8"/>
      <c r="C955" s="8"/>
      <c r="D955" s="8"/>
      <c r="E955" s="8"/>
      <c r="F955" s="8"/>
      <c r="G955" s="8"/>
      <c r="H955" s="8"/>
      <c r="I955" s="10"/>
      <c r="J955" s="10"/>
      <c r="K955" s="18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9"/>
      <c r="B956" s="8"/>
      <c r="C956" s="8"/>
      <c r="D956" s="8"/>
      <c r="E956" s="8"/>
      <c r="F956" s="8"/>
      <c r="G956" s="8"/>
      <c r="H956" s="8"/>
      <c r="I956" s="10"/>
      <c r="J956" s="10"/>
      <c r="K956" s="18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9"/>
      <c r="B957" s="8"/>
      <c r="C957" s="8"/>
      <c r="D957" s="8"/>
      <c r="E957" s="8"/>
      <c r="F957" s="8"/>
      <c r="G957" s="8"/>
      <c r="H957" s="8"/>
      <c r="I957" s="10"/>
      <c r="J957" s="10"/>
      <c r="K957" s="18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9"/>
      <c r="B958" s="8"/>
      <c r="C958" s="8"/>
      <c r="D958" s="8"/>
      <c r="E958" s="8"/>
      <c r="F958" s="8"/>
      <c r="G958" s="8"/>
      <c r="H958" s="8"/>
      <c r="I958" s="10"/>
      <c r="J958" s="10"/>
      <c r="K958" s="18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9"/>
      <c r="B959" s="8"/>
      <c r="C959" s="8"/>
      <c r="D959" s="8"/>
      <c r="E959" s="8"/>
      <c r="F959" s="8"/>
      <c r="G959" s="8"/>
      <c r="H959" s="8"/>
      <c r="I959" s="10"/>
      <c r="J959" s="10"/>
      <c r="K959" s="18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9"/>
      <c r="B960" s="8"/>
      <c r="C960" s="8"/>
      <c r="D960" s="8"/>
      <c r="E960" s="8"/>
      <c r="F960" s="8"/>
      <c r="G960" s="8"/>
      <c r="H960" s="8"/>
      <c r="I960" s="10"/>
      <c r="J960" s="10"/>
      <c r="K960" s="18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9"/>
      <c r="B961" s="8"/>
      <c r="C961" s="8"/>
      <c r="D961" s="8"/>
      <c r="E961" s="8"/>
      <c r="F961" s="8"/>
      <c r="G961" s="8"/>
      <c r="H961" s="8"/>
      <c r="I961" s="10"/>
      <c r="J961" s="10"/>
      <c r="K961" s="18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9"/>
      <c r="B962" s="8"/>
      <c r="C962" s="8"/>
      <c r="D962" s="8"/>
      <c r="E962" s="8"/>
      <c r="F962" s="8"/>
      <c r="G962" s="8"/>
      <c r="H962" s="8"/>
      <c r="I962" s="10"/>
      <c r="J962" s="10"/>
      <c r="K962" s="18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9"/>
      <c r="B963" s="8"/>
      <c r="C963" s="8"/>
      <c r="D963" s="8"/>
      <c r="E963" s="8"/>
      <c r="F963" s="8"/>
      <c r="G963" s="8"/>
      <c r="H963" s="8"/>
      <c r="I963" s="10"/>
      <c r="J963" s="10"/>
      <c r="K963" s="18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9"/>
      <c r="B964" s="8"/>
      <c r="C964" s="8"/>
      <c r="D964" s="8"/>
      <c r="E964" s="8"/>
      <c r="F964" s="8"/>
      <c r="G964" s="8"/>
      <c r="H964" s="8"/>
      <c r="I964" s="10"/>
      <c r="J964" s="10"/>
      <c r="K964" s="18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9"/>
      <c r="B965" s="8"/>
      <c r="C965" s="8"/>
      <c r="D965" s="8"/>
      <c r="E965" s="8"/>
      <c r="F965" s="8"/>
      <c r="G965" s="8"/>
      <c r="H965" s="8"/>
      <c r="I965" s="10"/>
      <c r="J965" s="10"/>
      <c r="K965" s="18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9"/>
      <c r="B966" s="8"/>
      <c r="C966" s="8"/>
      <c r="D966" s="8"/>
      <c r="E966" s="8"/>
      <c r="F966" s="8"/>
      <c r="G966" s="8"/>
      <c r="H966" s="8"/>
      <c r="I966" s="10"/>
      <c r="J966" s="10"/>
      <c r="K966" s="18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9"/>
      <c r="B967" s="8"/>
      <c r="C967" s="8"/>
      <c r="D967" s="8"/>
      <c r="E967" s="8"/>
      <c r="F967" s="8"/>
      <c r="G967" s="8"/>
      <c r="H967" s="8"/>
      <c r="I967" s="10"/>
      <c r="J967" s="10"/>
      <c r="K967" s="18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9"/>
      <c r="B968" s="8"/>
      <c r="C968" s="8"/>
      <c r="D968" s="8"/>
      <c r="E968" s="8"/>
      <c r="F968" s="8"/>
      <c r="G968" s="8"/>
      <c r="H968" s="8"/>
      <c r="I968" s="10"/>
      <c r="J968" s="10"/>
      <c r="K968" s="18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9"/>
      <c r="B969" s="8"/>
      <c r="C969" s="8"/>
      <c r="D969" s="8"/>
      <c r="E969" s="8"/>
      <c r="F969" s="8"/>
      <c r="G969" s="8"/>
      <c r="H969" s="8"/>
      <c r="I969" s="10"/>
      <c r="J969" s="10"/>
      <c r="K969" s="18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9"/>
      <c r="B970" s="8"/>
      <c r="C970" s="8"/>
      <c r="D970" s="8"/>
      <c r="E970" s="8"/>
      <c r="F970" s="8"/>
      <c r="G970" s="8"/>
      <c r="H970" s="8"/>
      <c r="I970" s="10"/>
      <c r="J970" s="10"/>
      <c r="K970" s="18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9"/>
      <c r="B971" s="8"/>
      <c r="C971" s="8"/>
      <c r="D971" s="8"/>
      <c r="E971" s="8"/>
      <c r="F971" s="8"/>
      <c r="G971" s="8"/>
      <c r="H971" s="8"/>
      <c r="I971" s="10"/>
      <c r="J971" s="10"/>
      <c r="K971" s="18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9"/>
      <c r="B972" s="8"/>
      <c r="C972" s="8"/>
      <c r="D972" s="8"/>
      <c r="E972" s="8"/>
      <c r="F972" s="8"/>
      <c r="G972" s="8"/>
      <c r="H972" s="8"/>
      <c r="I972" s="10"/>
      <c r="J972" s="10"/>
      <c r="K972" s="18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9"/>
      <c r="B973" s="8"/>
      <c r="C973" s="8"/>
      <c r="D973" s="8"/>
      <c r="E973" s="8"/>
      <c r="F973" s="8"/>
      <c r="G973" s="8"/>
      <c r="H973" s="8"/>
      <c r="I973" s="10"/>
      <c r="J973" s="10"/>
      <c r="K973" s="18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9"/>
      <c r="B974" s="8"/>
      <c r="C974" s="8"/>
      <c r="D974" s="8"/>
      <c r="E974" s="8"/>
      <c r="F974" s="8"/>
      <c r="G974" s="8"/>
      <c r="H974" s="8"/>
      <c r="I974" s="10"/>
      <c r="J974" s="10"/>
      <c r="K974" s="18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9"/>
      <c r="B975" s="8"/>
      <c r="C975" s="8"/>
      <c r="D975" s="8"/>
      <c r="E975" s="8"/>
      <c r="F975" s="8"/>
      <c r="G975" s="8"/>
      <c r="H975" s="8"/>
      <c r="I975" s="10"/>
      <c r="J975" s="10"/>
      <c r="K975" s="18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9"/>
      <c r="B976" s="8"/>
      <c r="C976" s="8"/>
      <c r="D976" s="8"/>
      <c r="E976" s="8"/>
      <c r="F976" s="8"/>
      <c r="G976" s="8"/>
      <c r="H976" s="8"/>
      <c r="I976" s="10"/>
      <c r="J976" s="10"/>
      <c r="K976" s="18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9"/>
      <c r="B977" s="8"/>
      <c r="C977" s="8"/>
      <c r="D977" s="8"/>
      <c r="E977" s="8"/>
      <c r="F977" s="8"/>
      <c r="G977" s="8"/>
      <c r="H977" s="8"/>
      <c r="I977" s="10"/>
      <c r="J977" s="10"/>
      <c r="K977" s="18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9"/>
      <c r="B978" s="8"/>
      <c r="C978" s="8"/>
      <c r="D978" s="8"/>
      <c r="E978" s="8"/>
      <c r="F978" s="8"/>
      <c r="G978" s="8"/>
      <c r="H978" s="8"/>
      <c r="I978" s="10"/>
      <c r="J978" s="10"/>
      <c r="K978" s="18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9"/>
      <c r="B979" s="8"/>
      <c r="C979" s="8"/>
      <c r="D979" s="8"/>
      <c r="E979" s="8"/>
      <c r="F979" s="8"/>
      <c r="G979" s="8"/>
      <c r="H979" s="8"/>
      <c r="I979" s="10"/>
      <c r="J979" s="10"/>
      <c r="K979" s="18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9"/>
      <c r="B980" s="8"/>
      <c r="C980" s="8"/>
      <c r="D980" s="8"/>
      <c r="E980" s="8"/>
      <c r="F980" s="8"/>
      <c r="G980" s="8"/>
      <c r="H980" s="8"/>
      <c r="I980" s="10"/>
      <c r="J980" s="10"/>
      <c r="K980" s="18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9"/>
      <c r="B981" s="8"/>
      <c r="C981" s="8"/>
      <c r="D981" s="8"/>
      <c r="E981" s="8"/>
      <c r="F981" s="8"/>
      <c r="G981" s="8"/>
      <c r="H981" s="8"/>
      <c r="I981" s="10"/>
      <c r="J981" s="10"/>
      <c r="K981" s="18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9"/>
      <c r="B982" s="8"/>
      <c r="C982" s="8"/>
      <c r="D982" s="8"/>
      <c r="E982" s="8"/>
      <c r="F982" s="8"/>
      <c r="G982" s="8"/>
      <c r="H982" s="8"/>
      <c r="I982" s="10"/>
      <c r="J982" s="10"/>
      <c r="K982" s="18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9"/>
      <c r="B983" s="8"/>
      <c r="C983" s="8"/>
      <c r="D983" s="8"/>
      <c r="E983" s="8"/>
      <c r="F983" s="8"/>
      <c r="G983" s="8"/>
      <c r="H983" s="8"/>
      <c r="I983" s="10"/>
      <c r="J983" s="10"/>
      <c r="K983" s="18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9"/>
      <c r="B984" s="8"/>
      <c r="C984" s="8"/>
      <c r="D984" s="8"/>
      <c r="E984" s="8"/>
      <c r="F984" s="8"/>
      <c r="G984" s="8"/>
      <c r="H984" s="8"/>
      <c r="I984" s="10"/>
      <c r="J984" s="10"/>
      <c r="K984" s="18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9"/>
      <c r="B985" s="8"/>
      <c r="C985" s="8"/>
      <c r="D985" s="8"/>
      <c r="E985" s="8"/>
      <c r="F985" s="8"/>
      <c r="G985" s="8"/>
      <c r="H985" s="8"/>
      <c r="I985" s="10"/>
      <c r="J985" s="10"/>
      <c r="K985" s="18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9"/>
      <c r="B986" s="8"/>
      <c r="C986" s="8"/>
      <c r="D986" s="8"/>
      <c r="E986" s="8"/>
      <c r="F986" s="8"/>
      <c r="G986" s="8"/>
      <c r="H986" s="8"/>
      <c r="I986" s="10"/>
      <c r="J986" s="10"/>
      <c r="K986" s="18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9"/>
      <c r="B987" s="8"/>
      <c r="C987" s="8"/>
      <c r="D987" s="8"/>
      <c r="E987" s="8"/>
      <c r="F987" s="8"/>
      <c r="G987" s="8"/>
      <c r="H987" s="8"/>
      <c r="I987" s="10"/>
      <c r="J987" s="10"/>
      <c r="K987" s="18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9"/>
      <c r="B988" s="8"/>
      <c r="C988" s="8"/>
      <c r="D988" s="8"/>
      <c r="E988" s="8"/>
      <c r="F988" s="8"/>
      <c r="G988" s="8"/>
      <c r="H988" s="8"/>
      <c r="I988" s="10"/>
      <c r="J988" s="10"/>
      <c r="K988" s="18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9"/>
      <c r="B989" s="8"/>
      <c r="C989" s="8"/>
      <c r="D989" s="8"/>
      <c r="E989" s="8"/>
      <c r="F989" s="8"/>
      <c r="G989" s="8"/>
      <c r="H989" s="8"/>
      <c r="I989" s="10"/>
      <c r="J989" s="10"/>
      <c r="K989" s="18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9"/>
      <c r="B990" s="8"/>
      <c r="C990" s="8"/>
      <c r="D990" s="8"/>
      <c r="E990" s="8"/>
      <c r="F990" s="8"/>
      <c r="G990" s="8"/>
      <c r="H990" s="8"/>
      <c r="I990" s="10"/>
      <c r="J990" s="10"/>
      <c r="K990" s="18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9"/>
      <c r="B991" s="8"/>
      <c r="C991" s="8"/>
      <c r="D991" s="8"/>
      <c r="E991" s="8"/>
      <c r="F991" s="8"/>
      <c r="G991" s="8"/>
      <c r="H991" s="8"/>
      <c r="I991" s="10"/>
      <c r="J991" s="10"/>
      <c r="K991" s="18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9"/>
      <c r="B992" s="8"/>
      <c r="C992" s="8"/>
      <c r="D992" s="8"/>
      <c r="E992" s="8"/>
      <c r="F992" s="8"/>
      <c r="G992" s="8"/>
      <c r="H992" s="8"/>
      <c r="I992" s="10"/>
      <c r="J992" s="10"/>
      <c r="K992" s="18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9"/>
      <c r="B993" s="8"/>
      <c r="C993" s="8"/>
      <c r="D993" s="8"/>
      <c r="E993" s="8"/>
      <c r="F993" s="8"/>
      <c r="G993" s="8"/>
      <c r="H993" s="8"/>
      <c r="I993" s="10"/>
      <c r="J993" s="10"/>
      <c r="K993" s="18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9"/>
      <c r="B994" s="8"/>
      <c r="C994" s="8"/>
      <c r="D994" s="8"/>
      <c r="E994" s="8"/>
      <c r="F994" s="8"/>
      <c r="G994" s="8"/>
      <c r="H994" s="8"/>
      <c r="I994" s="10"/>
      <c r="J994" s="10"/>
      <c r="K994" s="18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9"/>
      <c r="B995" s="8"/>
      <c r="C995" s="8"/>
      <c r="D995" s="8"/>
      <c r="E995" s="8"/>
      <c r="F995" s="8"/>
      <c r="G995" s="8"/>
      <c r="H995" s="8"/>
      <c r="I995" s="10"/>
      <c r="J995" s="10"/>
      <c r="K995" s="18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9"/>
      <c r="B996" s="8"/>
      <c r="C996" s="8"/>
      <c r="D996" s="8"/>
      <c r="E996" s="8"/>
      <c r="F996" s="8"/>
      <c r="G996" s="8"/>
      <c r="H996" s="8"/>
      <c r="I996" s="10"/>
      <c r="J996" s="10"/>
      <c r="K996" s="18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9"/>
      <c r="B997" s="8"/>
      <c r="C997" s="8"/>
      <c r="D997" s="8"/>
      <c r="E997" s="8"/>
      <c r="F997" s="8"/>
      <c r="G997" s="8"/>
      <c r="H997" s="8"/>
      <c r="I997" s="10"/>
      <c r="J997" s="10"/>
      <c r="K997" s="18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9"/>
      <c r="B998" s="8"/>
      <c r="C998" s="8"/>
      <c r="D998" s="8"/>
      <c r="E998" s="8"/>
      <c r="F998" s="8"/>
      <c r="G998" s="8"/>
      <c r="H998" s="8"/>
      <c r="I998" s="10"/>
      <c r="J998" s="10"/>
      <c r="K998" s="18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9"/>
      <c r="B999" s="8"/>
      <c r="C999" s="8"/>
      <c r="D999" s="8"/>
      <c r="E999" s="8"/>
      <c r="F999" s="8"/>
      <c r="G999" s="8"/>
      <c r="H999" s="8"/>
      <c r="I999" s="10"/>
      <c r="J999" s="10"/>
      <c r="K999" s="18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9"/>
      <c r="B1000" s="8"/>
      <c r="C1000" s="8"/>
      <c r="D1000" s="8"/>
      <c r="E1000" s="8"/>
      <c r="F1000" s="8"/>
      <c r="G1000" s="8"/>
      <c r="H1000" s="8"/>
      <c r="I1000" s="10"/>
      <c r="J1000" s="10"/>
      <c r="K1000" s="18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4.25" customHeight="1">
      <c r="A1001" s="9"/>
      <c r="B1001" s="8"/>
      <c r="C1001" s="8"/>
      <c r="D1001" s="8"/>
      <c r="E1001" s="8"/>
      <c r="F1001" s="8"/>
      <c r="G1001" s="8"/>
      <c r="H1001" s="8"/>
      <c r="I1001" s="10"/>
      <c r="J1001" s="10"/>
      <c r="K1001" s="18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4.25" customHeight="1">
      <c r="A1002" s="9"/>
      <c r="B1002" s="8"/>
      <c r="C1002" s="8"/>
      <c r="D1002" s="8"/>
      <c r="E1002" s="8"/>
      <c r="F1002" s="8"/>
      <c r="G1002" s="8"/>
      <c r="H1002" s="8"/>
      <c r="I1002" s="10"/>
      <c r="J1002" s="10"/>
      <c r="K1002" s="18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4.25" customHeight="1">
      <c r="A1003" s="9"/>
      <c r="B1003" s="8"/>
      <c r="C1003" s="8"/>
      <c r="D1003" s="8"/>
      <c r="E1003" s="8"/>
      <c r="F1003" s="8"/>
      <c r="G1003" s="8"/>
      <c r="H1003" s="8"/>
      <c r="I1003" s="10"/>
      <c r="J1003" s="10"/>
      <c r="K1003" s="18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4.25" customHeight="1">
      <c r="A1004" s="9"/>
      <c r="B1004" s="8"/>
      <c r="C1004" s="8"/>
      <c r="D1004" s="8"/>
      <c r="E1004" s="8"/>
      <c r="F1004" s="8"/>
      <c r="G1004" s="8"/>
      <c r="H1004" s="8"/>
      <c r="I1004" s="10"/>
      <c r="J1004" s="10"/>
      <c r="K1004" s="18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4.25" customHeight="1">
      <c r="A1005" s="9"/>
      <c r="B1005" s="8"/>
      <c r="C1005" s="8"/>
      <c r="D1005" s="8"/>
      <c r="E1005" s="8"/>
      <c r="F1005" s="8"/>
      <c r="G1005" s="8"/>
      <c r="H1005" s="8"/>
      <c r="I1005" s="10"/>
      <c r="J1005" s="10"/>
      <c r="K1005" s="18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4.25" customHeight="1">
      <c r="A1006" s="9"/>
      <c r="B1006" s="8"/>
      <c r="C1006" s="8"/>
      <c r="D1006" s="8"/>
      <c r="E1006" s="8"/>
      <c r="F1006" s="8"/>
      <c r="G1006" s="8"/>
      <c r="H1006" s="8"/>
      <c r="I1006" s="10"/>
      <c r="J1006" s="10"/>
      <c r="K1006" s="18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4.25" customHeight="1">
      <c r="A1007" s="9"/>
      <c r="B1007" s="8"/>
      <c r="C1007" s="8"/>
      <c r="D1007" s="8"/>
      <c r="E1007" s="8"/>
      <c r="F1007" s="8"/>
      <c r="G1007" s="8"/>
      <c r="H1007" s="8"/>
      <c r="I1007" s="10"/>
      <c r="J1007" s="10"/>
      <c r="K1007" s="18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4.25" customHeight="1">
      <c r="A1008" s="9"/>
      <c r="B1008" s="8"/>
      <c r="C1008" s="8"/>
      <c r="D1008" s="8"/>
      <c r="E1008" s="8"/>
      <c r="F1008" s="8"/>
      <c r="G1008" s="8"/>
      <c r="H1008" s="8"/>
      <c r="I1008" s="10"/>
      <c r="J1008" s="10"/>
      <c r="K1008" s="18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ht="14.25" customHeight="1">
      <c r="A1009" s="9"/>
      <c r="B1009" s="8"/>
      <c r="C1009" s="8"/>
      <c r="D1009" s="8"/>
      <c r="E1009" s="8"/>
      <c r="F1009" s="8"/>
      <c r="G1009" s="8"/>
      <c r="H1009" s="8"/>
      <c r="I1009" s="10"/>
      <c r="J1009" s="10"/>
      <c r="K1009" s="18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ht="14.25" customHeight="1">
      <c r="A1010" s="9"/>
      <c r="B1010" s="8"/>
      <c r="C1010" s="8"/>
      <c r="D1010" s="8"/>
      <c r="E1010" s="8"/>
      <c r="F1010" s="8"/>
      <c r="G1010" s="8"/>
      <c r="H1010" s="8"/>
      <c r="I1010" s="10"/>
      <c r="J1010" s="10"/>
      <c r="K1010" s="18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ht="14.25" customHeight="1">
      <c r="A1011" s="9"/>
      <c r="B1011" s="8"/>
      <c r="C1011" s="8"/>
      <c r="D1011" s="8"/>
      <c r="E1011" s="8"/>
      <c r="F1011" s="8"/>
      <c r="G1011" s="8"/>
      <c r="H1011" s="8"/>
      <c r="I1011" s="10"/>
      <c r="J1011" s="10"/>
      <c r="K1011" s="18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ht="14.25" customHeight="1">
      <c r="A1012" s="9"/>
      <c r="B1012" s="8"/>
      <c r="C1012" s="8"/>
      <c r="D1012" s="8"/>
      <c r="E1012" s="8"/>
      <c r="F1012" s="8"/>
      <c r="G1012" s="8"/>
      <c r="H1012" s="8"/>
      <c r="I1012" s="10"/>
      <c r="J1012" s="10"/>
      <c r="K1012" s="18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ht="14.25" customHeight="1">
      <c r="A1013" s="9"/>
      <c r="B1013" s="8"/>
      <c r="C1013" s="8"/>
      <c r="D1013" s="8"/>
      <c r="E1013" s="8"/>
      <c r="F1013" s="8"/>
      <c r="G1013" s="8"/>
      <c r="H1013" s="8"/>
      <c r="I1013" s="10"/>
      <c r="J1013" s="10"/>
      <c r="K1013" s="18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ht="14.25" customHeight="1">
      <c r="A1014" s="9"/>
      <c r="B1014" s="8"/>
      <c r="C1014" s="8"/>
      <c r="D1014" s="8"/>
      <c r="E1014" s="8"/>
      <c r="F1014" s="8"/>
      <c r="G1014" s="8"/>
      <c r="H1014" s="8"/>
      <c r="I1014" s="10"/>
      <c r="J1014" s="10"/>
      <c r="K1014" s="18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ht="14.25" customHeight="1">
      <c r="A1015" s="9"/>
      <c r="B1015" s="8"/>
      <c r="C1015" s="8"/>
      <c r="D1015" s="8"/>
      <c r="E1015" s="8"/>
      <c r="F1015" s="8"/>
      <c r="G1015" s="8"/>
      <c r="H1015" s="8"/>
      <c r="I1015" s="10"/>
      <c r="J1015" s="10"/>
      <c r="K1015" s="18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ht="14.25" customHeight="1">
      <c r="A1016" s="9"/>
      <c r="B1016" s="8"/>
      <c r="C1016" s="8"/>
      <c r="D1016" s="8"/>
      <c r="E1016" s="8"/>
      <c r="F1016" s="8"/>
      <c r="G1016" s="8"/>
      <c r="H1016" s="8"/>
      <c r="I1016" s="10"/>
      <c r="J1016" s="10"/>
      <c r="K1016" s="18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ht="14.25" customHeight="1">
      <c r="A1017" s="9"/>
      <c r="B1017" s="8"/>
      <c r="C1017" s="8"/>
      <c r="D1017" s="8"/>
      <c r="E1017" s="8"/>
      <c r="F1017" s="8"/>
      <c r="G1017" s="8"/>
      <c r="H1017" s="8"/>
      <c r="I1017" s="10"/>
      <c r="J1017" s="10"/>
      <c r="K1017" s="18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ht="14.25" customHeight="1">
      <c r="A1018" s="9"/>
      <c r="B1018" s="8"/>
      <c r="C1018" s="8"/>
      <c r="D1018" s="8"/>
      <c r="E1018" s="8"/>
      <c r="F1018" s="8"/>
      <c r="G1018" s="8"/>
      <c r="H1018" s="8"/>
      <c r="I1018" s="10"/>
      <c r="J1018" s="10"/>
      <c r="K1018" s="18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ht="14.25" customHeight="1">
      <c r="A1019" s="9"/>
      <c r="B1019" s="8"/>
      <c r="C1019" s="8"/>
      <c r="D1019" s="8"/>
      <c r="E1019" s="8"/>
      <c r="F1019" s="8"/>
      <c r="G1019" s="8"/>
      <c r="H1019" s="8"/>
      <c r="I1019" s="10"/>
      <c r="J1019" s="10"/>
      <c r="K1019" s="18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ht="14.25" customHeight="1">
      <c r="A1020" s="9"/>
      <c r="B1020" s="8"/>
      <c r="C1020" s="8"/>
      <c r="D1020" s="8"/>
      <c r="E1020" s="8"/>
      <c r="F1020" s="8"/>
      <c r="G1020" s="8"/>
      <c r="H1020" s="8"/>
      <c r="I1020" s="10"/>
      <c r="J1020" s="10"/>
      <c r="K1020" s="18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ht="14.25" customHeight="1">
      <c r="A1021" s="9"/>
      <c r="B1021" s="8"/>
      <c r="C1021" s="8"/>
      <c r="D1021" s="8"/>
      <c r="E1021" s="8"/>
      <c r="F1021" s="8"/>
      <c r="G1021" s="8"/>
      <c r="H1021" s="8"/>
      <c r="I1021" s="10"/>
      <c r="J1021" s="10"/>
      <c r="K1021" s="18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ht="14.25" customHeight="1">
      <c r="A1022" s="9"/>
      <c r="B1022" s="8"/>
      <c r="C1022" s="8"/>
      <c r="D1022" s="8"/>
      <c r="E1022" s="8"/>
      <c r="F1022" s="8"/>
      <c r="G1022" s="8"/>
      <c r="H1022" s="8"/>
      <c r="I1022" s="10"/>
      <c r="J1022" s="10"/>
      <c r="K1022" s="18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ht="14.25" customHeight="1">
      <c r="A1023" s="9"/>
      <c r="B1023" s="8"/>
      <c r="C1023" s="8"/>
      <c r="D1023" s="8"/>
      <c r="E1023" s="8"/>
      <c r="F1023" s="8"/>
      <c r="G1023" s="8"/>
      <c r="H1023" s="8"/>
      <c r="I1023" s="10"/>
      <c r="J1023" s="10"/>
      <c r="K1023" s="18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ht="14.25" customHeight="1">
      <c r="A1024" s="9"/>
      <c r="B1024" s="8"/>
      <c r="C1024" s="8"/>
      <c r="D1024" s="8"/>
      <c r="E1024" s="8"/>
      <c r="F1024" s="8"/>
      <c r="G1024" s="8"/>
      <c r="H1024" s="8"/>
      <c r="I1024" s="10"/>
      <c r="J1024" s="10"/>
      <c r="K1024" s="18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ht="14.25" customHeight="1">
      <c r="A1025" s="9"/>
      <c r="B1025" s="8"/>
      <c r="C1025" s="8"/>
      <c r="D1025" s="8"/>
      <c r="E1025" s="8"/>
      <c r="F1025" s="8"/>
      <c r="G1025" s="8"/>
      <c r="H1025" s="8"/>
      <c r="I1025" s="10"/>
      <c r="J1025" s="10"/>
      <c r="K1025" s="18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ht="14.25" customHeight="1">
      <c r="A1026" s="9"/>
      <c r="B1026" s="8"/>
      <c r="C1026" s="8"/>
      <c r="D1026" s="8"/>
      <c r="E1026" s="8"/>
      <c r="F1026" s="8"/>
      <c r="G1026" s="8"/>
      <c r="H1026" s="8"/>
      <c r="I1026" s="10"/>
      <c r="J1026" s="10"/>
      <c r="K1026" s="18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ht="14.25" customHeight="1">
      <c r="A1027" s="9"/>
      <c r="B1027" s="8"/>
      <c r="C1027" s="8"/>
      <c r="D1027" s="8"/>
      <c r="E1027" s="8"/>
      <c r="F1027" s="8"/>
      <c r="G1027" s="8"/>
      <c r="H1027" s="8"/>
      <c r="I1027" s="10"/>
      <c r="J1027" s="10"/>
      <c r="K1027" s="18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ht="14.25" customHeight="1">
      <c r="A1028" s="9"/>
      <c r="B1028" s="8"/>
      <c r="C1028" s="8"/>
      <c r="D1028" s="8"/>
      <c r="E1028" s="8"/>
      <c r="F1028" s="8"/>
      <c r="G1028" s="8"/>
      <c r="H1028" s="8"/>
      <c r="I1028" s="10"/>
      <c r="J1028" s="10"/>
      <c r="K1028" s="18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ht="14.25" customHeight="1">
      <c r="A1029" s="9"/>
      <c r="B1029" s="8"/>
      <c r="C1029" s="8"/>
      <c r="D1029" s="8"/>
      <c r="E1029" s="8"/>
      <c r="F1029" s="8"/>
      <c r="G1029" s="8"/>
      <c r="H1029" s="8"/>
      <c r="I1029" s="10"/>
      <c r="J1029" s="10"/>
      <c r="K1029" s="18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ht="14.25" customHeight="1">
      <c r="A1030" s="9"/>
      <c r="B1030" s="8"/>
      <c r="C1030" s="8"/>
      <c r="D1030" s="8"/>
      <c r="E1030" s="8"/>
      <c r="F1030" s="8"/>
      <c r="G1030" s="8"/>
      <c r="H1030" s="8"/>
      <c r="I1030" s="10"/>
      <c r="J1030" s="10"/>
      <c r="K1030" s="18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ht="14.25" customHeight="1">
      <c r="A1031" s="9"/>
      <c r="B1031" s="8"/>
      <c r="C1031" s="8"/>
      <c r="D1031" s="8"/>
      <c r="E1031" s="8"/>
      <c r="F1031" s="8"/>
      <c r="G1031" s="8"/>
      <c r="H1031" s="8"/>
      <c r="I1031" s="10"/>
      <c r="J1031" s="10"/>
      <c r="K1031" s="18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ht="14.25" customHeight="1">
      <c r="A1032" s="9"/>
      <c r="B1032" s="8"/>
      <c r="C1032" s="8"/>
      <c r="D1032" s="8"/>
      <c r="E1032" s="8"/>
      <c r="F1032" s="8"/>
      <c r="G1032" s="8"/>
      <c r="H1032" s="8"/>
      <c r="I1032" s="10"/>
      <c r="J1032" s="10"/>
      <c r="K1032" s="18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ht="14.25" customHeight="1">
      <c r="A1033" s="9"/>
      <c r="B1033" s="8"/>
      <c r="C1033" s="8"/>
      <c r="D1033" s="8"/>
      <c r="E1033" s="8"/>
      <c r="F1033" s="8"/>
      <c r="G1033" s="8"/>
      <c r="H1033" s="8"/>
      <c r="I1033" s="10"/>
      <c r="J1033" s="10"/>
      <c r="K1033" s="18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ht="14.25" customHeight="1">
      <c r="A1034" s="9"/>
      <c r="B1034" s="8"/>
      <c r="C1034" s="8"/>
      <c r="D1034" s="8"/>
      <c r="E1034" s="8"/>
      <c r="F1034" s="8"/>
      <c r="G1034" s="8"/>
      <c r="H1034" s="8"/>
      <c r="I1034" s="10"/>
      <c r="J1034" s="10"/>
      <c r="K1034" s="18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ht="14.25" customHeight="1">
      <c r="A1035" s="9"/>
      <c r="B1035" s="8"/>
      <c r="C1035" s="8"/>
      <c r="D1035" s="8"/>
      <c r="E1035" s="8"/>
      <c r="F1035" s="8"/>
      <c r="G1035" s="8"/>
      <c r="H1035" s="8"/>
      <c r="I1035" s="10"/>
      <c r="J1035" s="10"/>
      <c r="K1035" s="18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ht="14.25" customHeight="1">
      <c r="A1036" s="9"/>
      <c r="B1036" s="8"/>
      <c r="C1036" s="8"/>
      <c r="D1036" s="8"/>
      <c r="E1036" s="8"/>
      <c r="F1036" s="8"/>
      <c r="G1036" s="8"/>
      <c r="H1036" s="8"/>
      <c r="I1036" s="10"/>
      <c r="J1036" s="10"/>
      <c r="K1036" s="18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ht="14.25" customHeight="1">
      <c r="A1037" s="9"/>
      <c r="B1037" s="8"/>
      <c r="C1037" s="8"/>
      <c r="D1037" s="8"/>
      <c r="E1037" s="8"/>
      <c r="F1037" s="8"/>
      <c r="G1037" s="8"/>
      <c r="H1037" s="8"/>
      <c r="I1037" s="10"/>
      <c r="J1037" s="10"/>
      <c r="K1037" s="18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ht="14.25" customHeight="1">
      <c r="A1038" s="9"/>
      <c r="B1038" s="8"/>
      <c r="C1038" s="8"/>
      <c r="D1038" s="8"/>
      <c r="E1038" s="8"/>
      <c r="F1038" s="8"/>
      <c r="G1038" s="8"/>
      <c r="H1038" s="8"/>
      <c r="I1038" s="10"/>
      <c r="J1038" s="10"/>
      <c r="K1038" s="18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ht="14.25" customHeight="1">
      <c r="A1039" s="9"/>
      <c r="B1039" s="8"/>
      <c r="C1039" s="8"/>
      <c r="D1039" s="8"/>
      <c r="E1039" s="8"/>
      <c r="F1039" s="8"/>
      <c r="G1039" s="8"/>
      <c r="H1039" s="8"/>
      <c r="I1039" s="10"/>
      <c r="J1039" s="10"/>
      <c r="K1039" s="18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ht="14.25" customHeight="1">
      <c r="A1040" s="9"/>
      <c r="B1040" s="8"/>
      <c r="C1040" s="8"/>
      <c r="D1040" s="8"/>
      <c r="E1040" s="8"/>
      <c r="F1040" s="8"/>
      <c r="G1040" s="8"/>
      <c r="H1040" s="8"/>
      <c r="I1040" s="10"/>
      <c r="J1040" s="10"/>
      <c r="K1040" s="18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ht="14.25" customHeight="1">
      <c r="A1041" s="9"/>
      <c r="B1041" s="8"/>
      <c r="C1041" s="8"/>
      <c r="D1041" s="8"/>
      <c r="E1041" s="8"/>
      <c r="F1041" s="8"/>
      <c r="G1041" s="8"/>
      <c r="H1041" s="8"/>
      <c r="I1041" s="10"/>
      <c r="J1041" s="10"/>
      <c r="K1041" s="18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ht="14.25" customHeight="1">
      <c r="A1042" s="9"/>
      <c r="B1042" s="8"/>
      <c r="C1042" s="8"/>
      <c r="D1042" s="8"/>
      <c r="E1042" s="8"/>
      <c r="F1042" s="8"/>
      <c r="G1042" s="8"/>
      <c r="H1042" s="8"/>
      <c r="I1042" s="10"/>
      <c r="J1042" s="10"/>
      <c r="K1042" s="18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ht="14.25" customHeight="1">
      <c r="A1043" s="9"/>
      <c r="B1043" s="8"/>
      <c r="C1043" s="8"/>
      <c r="D1043" s="8"/>
      <c r="E1043" s="8"/>
      <c r="F1043" s="8"/>
      <c r="G1043" s="8"/>
      <c r="H1043" s="8"/>
      <c r="I1043" s="10"/>
      <c r="J1043" s="10"/>
      <c r="K1043" s="18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ht="14.25" customHeight="1">
      <c r="A1044" s="9"/>
      <c r="B1044" s="8"/>
      <c r="C1044" s="8"/>
      <c r="D1044" s="8"/>
      <c r="E1044" s="8"/>
      <c r="F1044" s="8"/>
      <c r="G1044" s="8"/>
      <c r="H1044" s="8"/>
      <c r="I1044" s="10"/>
      <c r="J1044" s="10"/>
      <c r="K1044" s="18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ht="14.25" customHeight="1">
      <c r="A1045" s="9"/>
      <c r="B1045" s="8"/>
      <c r="C1045" s="8"/>
      <c r="D1045" s="8"/>
      <c r="E1045" s="8"/>
      <c r="F1045" s="8"/>
      <c r="G1045" s="8"/>
      <c r="H1045" s="8"/>
      <c r="I1045" s="10"/>
      <c r="J1045" s="10"/>
      <c r="K1045" s="18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ht="14.25" customHeight="1">
      <c r="A1046" s="9"/>
      <c r="B1046" s="8"/>
      <c r="C1046" s="8"/>
      <c r="D1046" s="8"/>
      <c r="E1046" s="8"/>
      <c r="F1046" s="8"/>
      <c r="G1046" s="8"/>
      <c r="H1046" s="8"/>
      <c r="I1046" s="10"/>
      <c r="J1046" s="10"/>
      <c r="K1046" s="18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ht="14.25" customHeight="1">
      <c r="A1047" s="9"/>
      <c r="B1047" s="8"/>
      <c r="C1047" s="8"/>
      <c r="D1047" s="8"/>
      <c r="E1047" s="8"/>
      <c r="F1047" s="8"/>
      <c r="G1047" s="8"/>
      <c r="H1047" s="8"/>
      <c r="I1047" s="10"/>
      <c r="J1047" s="10"/>
      <c r="K1047" s="18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ht="14.25" customHeight="1">
      <c r="A1048" s="9"/>
      <c r="B1048" s="8"/>
      <c r="C1048" s="8"/>
      <c r="D1048" s="8"/>
      <c r="E1048" s="8"/>
      <c r="F1048" s="8"/>
      <c r="G1048" s="8"/>
      <c r="H1048" s="8"/>
      <c r="I1048" s="10"/>
      <c r="J1048" s="10"/>
      <c r="K1048" s="18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ht="14.25" customHeight="1">
      <c r="A1049" s="9"/>
      <c r="B1049" s="8"/>
      <c r="C1049" s="8"/>
      <c r="D1049" s="8"/>
      <c r="E1049" s="8"/>
      <c r="F1049" s="8"/>
      <c r="G1049" s="8"/>
      <c r="H1049" s="8"/>
      <c r="I1049" s="10"/>
      <c r="J1049" s="10"/>
      <c r="K1049" s="18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ht="14.25" customHeight="1">
      <c r="A1050" s="9"/>
      <c r="B1050" s="8"/>
      <c r="C1050" s="8"/>
      <c r="D1050" s="8"/>
      <c r="E1050" s="8"/>
      <c r="F1050" s="8"/>
      <c r="G1050" s="8"/>
      <c r="H1050" s="8"/>
      <c r="I1050" s="10"/>
      <c r="J1050" s="10"/>
      <c r="K1050" s="18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ht="14.25" customHeight="1">
      <c r="A1051" s="9"/>
      <c r="B1051" s="8"/>
      <c r="C1051" s="8"/>
      <c r="D1051" s="8"/>
      <c r="E1051" s="8"/>
      <c r="F1051" s="8"/>
      <c r="G1051" s="8"/>
      <c r="H1051" s="8"/>
      <c r="I1051" s="10"/>
      <c r="J1051" s="10"/>
      <c r="K1051" s="18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ht="14.25" customHeight="1">
      <c r="A1052" s="9"/>
      <c r="B1052" s="8"/>
      <c r="C1052" s="8"/>
      <c r="D1052" s="8"/>
      <c r="E1052" s="8"/>
      <c r="F1052" s="8"/>
      <c r="G1052" s="8"/>
      <c r="H1052" s="8"/>
      <c r="I1052" s="10"/>
      <c r="J1052" s="10"/>
      <c r="K1052" s="18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ht="14.25" customHeight="1">
      <c r="A1053" s="9"/>
      <c r="B1053" s="8"/>
      <c r="C1053" s="8"/>
      <c r="D1053" s="8"/>
      <c r="E1053" s="8"/>
      <c r="F1053" s="8"/>
      <c r="G1053" s="8"/>
      <c r="H1053" s="8"/>
      <c r="I1053" s="10"/>
      <c r="J1053" s="10"/>
      <c r="K1053" s="18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ht="14.25" customHeight="1">
      <c r="A1054" s="9"/>
      <c r="B1054" s="8"/>
      <c r="C1054" s="8"/>
      <c r="D1054" s="8"/>
      <c r="E1054" s="8"/>
      <c r="F1054" s="8"/>
      <c r="G1054" s="8"/>
      <c r="H1054" s="8"/>
      <c r="I1054" s="10"/>
      <c r="J1054" s="10"/>
      <c r="K1054" s="18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ht="14.25" customHeight="1">
      <c r="A1055" s="9"/>
      <c r="B1055" s="8"/>
      <c r="C1055" s="8"/>
      <c r="D1055" s="8"/>
      <c r="E1055" s="8"/>
      <c r="F1055" s="8"/>
      <c r="G1055" s="8"/>
      <c r="H1055" s="8"/>
      <c r="I1055" s="10"/>
      <c r="J1055" s="10"/>
      <c r="K1055" s="18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ht="14.25" customHeight="1">
      <c r="A1056" s="9"/>
      <c r="B1056" s="8"/>
      <c r="C1056" s="8"/>
      <c r="D1056" s="8"/>
      <c r="E1056" s="8"/>
      <c r="F1056" s="8"/>
      <c r="G1056" s="8"/>
      <c r="H1056" s="8"/>
      <c r="I1056" s="10"/>
      <c r="J1056" s="10"/>
      <c r="K1056" s="18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ht="14.25" customHeight="1">
      <c r="A1057" s="9"/>
      <c r="B1057" s="8"/>
      <c r="C1057" s="8"/>
      <c r="D1057" s="8"/>
      <c r="E1057" s="8"/>
      <c r="F1057" s="8"/>
      <c r="G1057" s="8"/>
      <c r="H1057" s="8"/>
      <c r="I1057" s="10"/>
      <c r="J1057" s="10"/>
      <c r="K1057" s="18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ht="14.25" customHeight="1">
      <c r="A1058" s="9"/>
      <c r="B1058" s="8"/>
      <c r="C1058" s="8"/>
      <c r="D1058" s="8"/>
      <c r="E1058" s="8"/>
      <c r="F1058" s="8"/>
      <c r="G1058" s="8"/>
      <c r="H1058" s="8"/>
      <c r="I1058" s="10"/>
      <c r="J1058" s="10"/>
      <c r="K1058" s="18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ht="14.25" customHeight="1">
      <c r="A1059" s="9"/>
      <c r="B1059" s="8"/>
      <c r="C1059" s="8"/>
      <c r="D1059" s="8"/>
      <c r="E1059" s="8"/>
      <c r="F1059" s="8"/>
      <c r="G1059" s="8"/>
      <c r="H1059" s="8"/>
      <c r="I1059" s="10"/>
      <c r="J1059" s="10"/>
      <c r="K1059" s="18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ht="14.25" customHeight="1">
      <c r="A1060" s="9"/>
      <c r="B1060" s="8"/>
      <c r="C1060" s="8"/>
      <c r="D1060" s="8"/>
      <c r="E1060" s="8"/>
      <c r="F1060" s="8"/>
      <c r="G1060" s="8"/>
      <c r="H1060" s="8"/>
      <c r="I1060" s="10"/>
      <c r="J1060" s="10"/>
      <c r="K1060" s="18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ht="14.25" customHeight="1">
      <c r="A1061" s="9"/>
      <c r="B1061" s="8"/>
      <c r="C1061" s="8"/>
      <c r="D1061" s="8"/>
      <c r="E1061" s="8"/>
      <c r="F1061" s="8"/>
      <c r="G1061" s="8"/>
      <c r="H1061" s="8"/>
      <c r="I1061" s="10"/>
      <c r="J1061" s="10"/>
      <c r="K1061" s="18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ht="14.25" customHeight="1">
      <c r="A1062" s="9"/>
      <c r="B1062" s="8"/>
      <c r="C1062" s="8"/>
      <c r="D1062" s="8"/>
      <c r="E1062" s="8"/>
      <c r="F1062" s="8"/>
      <c r="G1062" s="8"/>
      <c r="H1062" s="8"/>
      <c r="I1062" s="10"/>
      <c r="J1062" s="10"/>
      <c r="K1062" s="18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ht="14.25" customHeight="1">
      <c r="A1063" s="9"/>
      <c r="B1063" s="8"/>
      <c r="C1063" s="8"/>
      <c r="D1063" s="8"/>
      <c r="E1063" s="8"/>
      <c r="F1063" s="8"/>
      <c r="G1063" s="8"/>
      <c r="H1063" s="8"/>
      <c r="I1063" s="10"/>
      <c r="J1063" s="10"/>
      <c r="K1063" s="18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ht="14.25" customHeight="1">
      <c r="A1064" s="9"/>
      <c r="B1064" s="8"/>
      <c r="C1064" s="8"/>
      <c r="D1064" s="8"/>
      <c r="E1064" s="8"/>
      <c r="F1064" s="8"/>
      <c r="G1064" s="8"/>
      <c r="H1064" s="8"/>
      <c r="I1064" s="10"/>
      <c r="J1064" s="10"/>
      <c r="K1064" s="18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ht="14.25" customHeight="1">
      <c r="A1065" s="9"/>
      <c r="B1065" s="8"/>
      <c r="C1065" s="8"/>
      <c r="D1065" s="8"/>
      <c r="E1065" s="8"/>
      <c r="F1065" s="8"/>
      <c r="G1065" s="8"/>
      <c r="H1065" s="8"/>
      <c r="I1065" s="10"/>
      <c r="J1065" s="10"/>
      <c r="K1065" s="18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ht="14.25" customHeight="1">
      <c r="A1066" s="9"/>
      <c r="B1066" s="8"/>
      <c r="C1066" s="8"/>
      <c r="D1066" s="8"/>
      <c r="E1066" s="8"/>
      <c r="F1066" s="8"/>
      <c r="G1066" s="8"/>
      <c r="H1066" s="8"/>
      <c r="I1066" s="10"/>
      <c r="J1066" s="10"/>
      <c r="K1066" s="18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ht="14.25" customHeight="1">
      <c r="A1067" s="9"/>
      <c r="B1067" s="8"/>
      <c r="C1067" s="8"/>
      <c r="D1067" s="8"/>
      <c r="E1067" s="8"/>
      <c r="F1067" s="8"/>
      <c r="G1067" s="8"/>
      <c r="H1067" s="8"/>
      <c r="I1067" s="10"/>
      <c r="J1067" s="10"/>
      <c r="K1067" s="18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ht="14.25" customHeight="1">
      <c r="A1068" s="9"/>
      <c r="B1068" s="8"/>
      <c r="C1068" s="8"/>
      <c r="D1068" s="8"/>
      <c r="E1068" s="8"/>
      <c r="F1068" s="8"/>
      <c r="G1068" s="8"/>
      <c r="H1068" s="8"/>
      <c r="I1068" s="10"/>
      <c r="J1068" s="10"/>
      <c r="K1068" s="18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ht="14.25" customHeight="1">
      <c r="A1069" s="9"/>
      <c r="B1069" s="8"/>
      <c r="C1069" s="8"/>
      <c r="D1069" s="8"/>
      <c r="E1069" s="8"/>
      <c r="F1069" s="8"/>
      <c r="G1069" s="8"/>
      <c r="H1069" s="8"/>
      <c r="I1069" s="10"/>
      <c r="J1069" s="10"/>
      <c r="K1069" s="18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ht="14.25" customHeight="1">
      <c r="A1070" s="9"/>
      <c r="B1070" s="8"/>
      <c r="C1070" s="8"/>
      <c r="D1070" s="8"/>
      <c r="E1070" s="8"/>
      <c r="F1070" s="8"/>
      <c r="G1070" s="8"/>
      <c r="H1070" s="8"/>
      <c r="I1070" s="10"/>
      <c r="J1070" s="10"/>
      <c r="K1070" s="18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ht="14.25" customHeight="1">
      <c r="A1071" s="9"/>
      <c r="B1071" s="8"/>
      <c r="C1071" s="8"/>
      <c r="D1071" s="8"/>
      <c r="E1071" s="8"/>
      <c r="F1071" s="8"/>
      <c r="G1071" s="8"/>
      <c r="H1071" s="8"/>
      <c r="I1071" s="10"/>
      <c r="J1071" s="10"/>
      <c r="K1071" s="18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ht="14.25" customHeight="1">
      <c r="A1072" s="9"/>
      <c r="B1072" s="8"/>
      <c r="C1072" s="8"/>
      <c r="D1072" s="8"/>
      <c r="E1072" s="8"/>
      <c r="F1072" s="8"/>
      <c r="G1072" s="8"/>
      <c r="H1072" s="8"/>
      <c r="I1072" s="10"/>
      <c r="J1072" s="10"/>
      <c r="K1072" s="18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ht="14.25" customHeight="1">
      <c r="A1073" s="9"/>
      <c r="B1073" s="8"/>
      <c r="C1073" s="8"/>
      <c r="D1073" s="8"/>
      <c r="E1073" s="8"/>
      <c r="F1073" s="8"/>
      <c r="G1073" s="8"/>
      <c r="H1073" s="8"/>
      <c r="I1073" s="10"/>
      <c r="J1073" s="10"/>
      <c r="K1073" s="18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ht="14.25" customHeight="1">
      <c r="A1074" s="9"/>
      <c r="B1074" s="8"/>
      <c r="C1074" s="8"/>
      <c r="D1074" s="8"/>
      <c r="E1074" s="8"/>
      <c r="F1074" s="8"/>
      <c r="G1074" s="8"/>
      <c r="H1074" s="8"/>
      <c r="I1074" s="10"/>
      <c r="J1074" s="10"/>
      <c r="K1074" s="18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ht="14.25" customHeight="1">
      <c r="A1075" s="9"/>
      <c r="B1075" s="8"/>
      <c r="C1075" s="8"/>
      <c r="D1075" s="8"/>
      <c r="E1075" s="8"/>
      <c r="F1075" s="8"/>
      <c r="G1075" s="8"/>
      <c r="H1075" s="8"/>
      <c r="I1075" s="10"/>
      <c r="J1075" s="10"/>
      <c r="K1075" s="18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ht="14.25" customHeight="1">
      <c r="A1076" s="9"/>
      <c r="B1076" s="8"/>
      <c r="C1076" s="8"/>
      <c r="D1076" s="8"/>
      <c r="E1076" s="8"/>
      <c r="F1076" s="8"/>
      <c r="G1076" s="8"/>
      <c r="H1076" s="8"/>
      <c r="I1076" s="10"/>
      <c r="J1076" s="10"/>
      <c r="K1076" s="18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ht="14.25" customHeight="1">
      <c r="A1077" s="9"/>
      <c r="B1077" s="8"/>
      <c r="C1077" s="8"/>
      <c r="D1077" s="8"/>
      <c r="E1077" s="8"/>
      <c r="F1077" s="8"/>
      <c r="G1077" s="8"/>
      <c r="H1077" s="8"/>
      <c r="I1077" s="10"/>
      <c r="J1077" s="10"/>
      <c r="K1077" s="18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ht="14.25" customHeight="1">
      <c r="A1078" s="9"/>
      <c r="B1078" s="8"/>
      <c r="C1078" s="8"/>
      <c r="D1078" s="8"/>
      <c r="E1078" s="8"/>
      <c r="F1078" s="8"/>
      <c r="G1078" s="8"/>
      <c r="H1078" s="8"/>
      <c r="I1078" s="10"/>
      <c r="J1078" s="10"/>
      <c r="K1078" s="18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ht="14.25" customHeight="1">
      <c r="A1079" s="9"/>
      <c r="B1079" s="8"/>
      <c r="C1079" s="8"/>
      <c r="D1079" s="8"/>
      <c r="E1079" s="8"/>
      <c r="F1079" s="8"/>
      <c r="G1079" s="8"/>
      <c r="H1079" s="8"/>
      <c r="I1079" s="10"/>
      <c r="J1079" s="10"/>
      <c r="K1079" s="18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ht="14.25" customHeight="1">
      <c r="A1080" s="9"/>
      <c r="B1080" s="8"/>
      <c r="C1080" s="8"/>
      <c r="D1080" s="8"/>
      <c r="E1080" s="8"/>
      <c r="F1080" s="8"/>
      <c r="G1080" s="8"/>
      <c r="H1080" s="8"/>
      <c r="I1080" s="10"/>
      <c r="J1080" s="10"/>
      <c r="K1080" s="18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ht="14.25" customHeight="1">
      <c r="A1081" s="9"/>
      <c r="B1081" s="8"/>
      <c r="C1081" s="8"/>
      <c r="D1081" s="8"/>
      <c r="E1081" s="8"/>
      <c r="F1081" s="8"/>
      <c r="G1081" s="8"/>
      <c r="H1081" s="8"/>
      <c r="I1081" s="10"/>
      <c r="J1081" s="10"/>
      <c r="K1081" s="18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ht="14.25" customHeight="1">
      <c r="A1082" s="9"/>
      <c r="B1082" s="8"/>
      <c r="C1082" s="8"/>
      <c r="D1082" s="8"/>
      <c r="E1082" s="8"/>
      <c r="F1082" s="8"/>
      <c r="G1082" s="8"/>
      <c r="H1082" s="8"/>
      <c r="I1082" s="10"/>
      <c r="J1082" s="10"/>
      <c r="K1082" s="18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ht="14.25" customHeight="1">
      <c r="A1083" s="9"/>
      <c r="B1083" s="8"/>
      <c r="C1083" s="8"/>
      <c r="D1083" s="8"/>
      <c r="E1083" s="8"/>
      <c r="F1083" s="8"/>
      <c r="G1083" s="8"/>
      <c r="H1083" s="8"/>
      <c r="I1083" s="10"/>
      <c r="J1083" s="10"/>
      <c r="K1083" s="18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ht="14.25" customHeight="1">
      <c r="A1084" s="9"/>
      <c r="B1084" s="8"/>
      <c r="C1084" s="8"/>
      <c r="D1084" s="8"/>
      <c r="E1084" s="8"/>
      <c r="F1084" s="8"/>
      <c r="G1084" s="8"/>
      <c r="H1084" s="8"/>
      <c r="I1084" s="10"/>
      <c r="J1084" s="10"/>
      <c r="K1084" s="18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ht="14.25" customHeight="1">
      <c r="A1085" s="9"/>
      <c r="B1085" s="8"/>
      <c r="C1085" s="8"/>
      <c r="D1085" s="8"/>
      <c r="E1085" s="8"/>
      <c r="F1085" s="8"/>
      <c r="G1085" s="8"/>
      <c r="H1085" s="8"/>
      <c r="I1085" s="10"/>
      <c r="J1085" s="10"/>
      <c r="K1085" s="18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ht="14.25" customHeight="1">
      <c r="A1086" s="9"/>
      <c r="B1086" s="8"/>
      <c r="C1086" s="8"/>
      <c r="D1086" s="8"/>
      <c r="E1086" s="8"/>
      <c r="F1086" s="8"/>
      <c r="G1086" s="8"/>
      <c r="H1086" s="8"/>
      <c r="I1086" s="10"/>
      <c r="J1086" s="10"/>
      <c r="K1086" s="18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ht="14.25" customHeight="1">
      <c r="A1087" s="9"/>
      <c r="B1087" s="8"/>
      <c r="C1087" s="8"/>
      <c r="D1087" s="8"/>
      <c r="E1087" s="8"/>
      <c r="F1087" s="8"/>
      <c r="G1087" s="8"/>
      <c r="H1087" s="8"/>
      <c r="I1087" s="10"/>
      <c r="J1087" s="10"/>
      <c r="K1087" s="18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ht="14.25" customHeight="1">
      <c r="A1088" s="9"/>
      <c r="B1088" s="8"/>
      <c r="C1088" s="8"/>
      <c r="D1088" s="8"/>
      <c r="E1088" s="8"/>
      <c r="F1088" s="8"/>
      <c r="G1088" s="8"/>
      <c r="H1088" s="8"/>
      <c r="I1088" s="10"/>
      <c r="J1088" s="10"/>
      <c r="K1088" s="18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ht="14.25" customHeight="1">
      <c r="A1089" s="9"/>
      <c r="B1089" s="8"/>
      <c r="C1089" s="8"/>
      <c r="D1089" s="8"/>
      <c r="E1089" s="8"/>
      <c r="F1089" s="8"/>
      <c r="G1089" s="8"/>
      <c r="H1089" s="8"/>
      <c r="I1089" s="10"/>
      <c r="J1089" s="10"/>
      <c r="K1089" s="18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ht="14.25" customHeight="1">
      <c r="A1090" s="9"/>
      <c r="B1090" s="8"/>
      <c r="C1090" s="8"/>
      <c r="D1090" s="8"/>
      <c r="E1090" s="8"/>
      <c r="F1090" s="8"/>
      <c r="G1090" s="8"/>
      <c r="H1090" s="8"/>
      <c r="I1090" s="10"/>
      <c r="J1090" s="10"/>
      <c r="K1090" s="18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ht="14.25" customHeight="1">
      <c r="A1091" s="9"/>
      <c r="B1091" s="8"/>
      <c r="C1091" s="8"/>
      <c r="D1091" s="8"/>
      <c r="E1091" s="8"/>
      <c r="F1091" s="8"/>
      <c r="G1091" s="8"/>
      <c r="H1091" s="8"/>
      <c r="I1091" s="10"/>
      <c r="J1091" s="10"/>
      <c r="K1091" s="18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ht="14.25" customHeight="1">
      <c r="A1092" s="9"/>
      <c r="B1092" s="8"/>
      <c r="C1092" s="8"/>
      <c r="D1092" s="8"/>
      <c r="E1092" s="8"/>
      <c r="F1092" s="8"/>
      <c r="G1092" s="8"/>
      <c r="H1092" s="8"/>
      <c r="I1092" s="10"/>
      <c r="J1092" s="10"/>
      <c r="K1092" s="18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ht="14.25" customHeight="1">
      <c r="A1093" s="9"/>
      <c r="B1093" s="8"/>
      <c r="C1093" s="8"/>
      <c r="D1093" s="8"/>
      <c r="E1093" s="8"/>
      <c r="F1093" s="8"/>
      <c r="G1093" s="8"/>
      <c r="H1093" s="8"/>
      <c r="I1093" s="10"/>
      <c r="J1093" s="10"/>
      <c r="K1093" s="18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ht="14.25" customHeight="1">
      <c r="A1094" s="9"/>
      <c r="B1094" s="8"/>
      <c r="C1094" s="8"/>
      <c r="D1094" s="8"/>
      <c r="E1094" s="8"/>
      <c r="F1094" s="8"/>
      <c r="G1094" s="8"/>
      <c r="H1094" s="8"/>
      <c r="I1094" s="10"/>
      <c r="J1094" s="10"/>
      <c r="K1094" s="18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ht="14.25" customHeight="1">
      <c r="A1095" s="9"/>
      <c r="B1095" s="8"/>
      <c r="C1095" s="8"/>
      <c r="D1095" s="8"/>
      <c r="E1095" s="8"/>
      <c r="F1095" s="8"/>
      <c r="G1095" s="8"/>
      <c r="H1095" s="8"/>
      <c r="I1095" s="10"/>
      <c r="J1095" s="10"/>
      <c r="K1095" s="18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ht="14.25" customHeight="1">
      <c r="A1096" s="9"/>
      <c r="B1096" s="8"/>
      <c r="C1096" s="8"/>
      <c r="D1096" s="8"/>
      <c r="E1096" s="8"/>
      <c r="F1096" s="8"/>
      <c r="G1096" s="8"/>
      <c r="H1096" s="8"/>
      <c r="I1096" s="10"/>
      <c r="J1096" s="10"/>
      <c r="K1096" s="18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ht="14.25" customHeight="1">
      <c r="A1097" s="9"/>
      <c r="B1097" s="8"/>
      <c r="C1097" s="8"/>
      <c r="D1097" s="8"/>
      <c r="E1097" s="8"/>
      <c r="F1097" s="8"/>
      <c r="G1097" s="8"/>
      <c r="H1097" s="8"/>
      <c r="I1097" s="10"/>
      <c r="J1097" s="10"/>
      <c r="K1097" s="18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ht="14.25" customHeight="1">
      <c r="A1098" s="9"/>
      <c r="B1098" s="8"/>
      <c r="C1098" s="8"/>
      <c r="D1098" s="8"/>
      <c r="E1098" s="8"/>
      <c r="F1098" s="8"/>
      <c r="G1098" s="8"/>
      <c r="H1098" s="8"/>
      <c r="I1098" s="10"/>
      <c r="J1098" s="10"/>
      <c r="K1098" s="18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ht="14.25" customHeight="1">
      <c r="A1099" s="9"/>
      <c r="B1099" s="8"/>
      <c r="C1099" s="8"/>
      <c r="D1099" s="8"/>
      <c r="E1099" s="8"/>
      <c r="F1099" s="8"/>
      <c r="G1099" s="8"/>
      <c r="H1099" s="8"/>
      <c r="I1099" s="10"/>
      <c r="J1099" s="10"/>
      <c r="K1099" s="18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ht="14.25" customHeight="1">
      <c r="A1100" s="9"/>
      <c r="B1100" s="8"/>
      <c r="C1100" s="8"/>
      <c r="D1100" s="8"/>
      <c r="E1100" s="8"/>
      <c r="F1100" s="8"/>
      <c r="G1100" s="8"/>
      <c r="H1100" s="8"/>
      <c r="I1100" s="10"/>
      <c r="J1100" s="10"/>
      <c r="K1100" s="18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ht="14.25" customHeight="1">
      <c r="A1101" s="9"/>
      <c r="B1101" s="8"/>
      <c r="C1101" s="8"/>
      <c r="D1101" s="8"/>
      <c r="E1101" s="8"/>
      <c r="F1101" s="8"/>
      <c r="G1101" s="8"/>
      <c r="H1101" s="8"/>
      <c r="I1101" s="10"/>
      <c r="J1101" s="10"/>
      <c r="K1101" s="18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ht="14.25" customHeight="1">
      <c r="A1102" s="9"/>
      <c r="B1102" s="8"/>
      <c r="C1102" s="8"/>
      <c r="D1102" s="8"/>
      <c r="E1102" s="8"/>
      <c r="F1102" s="8"/>
      <c r="G1102" s="8"/>
      <c r="H1102" s="8"/>
      <c r="I1102" s="10"/>
      <c r="J1102" s="10"/>
      <c r="K1102" s="18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ht="14.25" customHeight="1">
      <c r="A1103" s="9"/>
      <c r="B1103" s="8"/>
      <c r="C1103" s="8"/>
      <c r="D1103" s="8"/>
      <c r="E1103" s="8"/>
      <c r="F1103" s="8"/>
      <c r="G1103" s="8"/>
      <c r="H1103" s="8"/>
      <c r="I1103" s="10"/>
      <c r="J1103" s="10"/>
      <c r="K1103" s="18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ht="14.25" customHeight="1">
      <c r="A1104" s="9"/>
      <c r="B1104" s="8"/>
      <c r="C1104" s="8"/>
      <c r="D1104" s="8"/>
      <c r="E1104" s="8"/>
      <c r="F1104" s="8"/>
      <c r="G1104" s="8"/>
      <c r="H1104" s="8"/>
      <c r="I1104" s="10"/>
      <c r="J1104" s="10"/>
      <c r="K1104" s="18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ht="14.25" customHeight="1">
      <c r="A1105" s="9"/>
      <c r="B1105" s="8"/>
      <c r="C1105" s="8"/>
      <c r="D1105" s="8"/>
      <c r="E1105" s="8"/>
      <c r="F1105" s="8"/>
      <c r="G1105" s="8"/>
      <c r="H1105" s="8"/>
      <c r="I1105" s="10"/>
      <c r="J1105" s="10"/>
      <c r="K1105" s="18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ht="14.25" customHeight="1">
      <c r="A1106" s="9"/>
      <c r="B1106" s="8"/>
      <c r="C1106" s="8"/>
      <c r="D1106" s="8"/>
      <c r="E1106" s="8"/>
      <c r="F1106" s="8"/>
      <c r="G1106" s="8"/>
      <c r="H1106" s="8"/>
      <c r="I1106" s="10"/>
      <c r="J1106" s="10"/>
      <c r="K1106" s="18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ht="14.25" customHeight="1">
      <c r="A1107" s="9"/>
      <c r="B1107" s="8"/>
      <c r="C1107" s="8"/>
      <c r="D1107" s="8"/>
      <c r="E1107" s="8"/>
      <c r="F1107" s="8"/>
      <c r="G1107" s="8"/>
      <c r="H1107" s="8"/>
      <c r="I1107" s="10"/>
      <c r="J1107" s="10"/>
      <c r="K1107" s="18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ht="14.25" customHeight="1">
      <c r="A1108" s="9"/>
      <c r="B1108" s="8"/>
      <c r="C1108" s="8"/>
      <c r="D1108" s="8"/>
      <c r="E1108" s="8"/>
      <c r="F1108" s="8"/>
      <c r="G1108" s="8"/>
      <c r="H1108" s="8"/>
      <c r="I1108" s="10"/>
      <c r="J1108" s="10"/>
      <c r="K1108" s="18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ht="14.25" customHeight="1">
      <c r="A1109" s="9"/>
      <c r="B1109" s="8"/>
      <c r="C1109" s="8"/>
      <c r="D1109" s="8"/>
      <c r="E1109" s="8"/>
      <c r="F1109" s="8"/>
      <c r="G1109" s="8"/>
      <c r="H1109" s="8"/>
      <c r="I1109" s="10"/>
      <c r="J1109" s="10"/>
      <c r="K1109" s="18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ht="14.25" customHeight="1">
      <c r="A1110" s="9"/>
      <c r="B1110" s="8"/>
      <c r="C1110" s="8"/>
      <c r="D1110" s="8"/>
      <c r="E1110" s="8"/>
      <c r="F1110" s="8"/>
      <c r="G1110" s="8"/>
      <c r="H1110" s="8"/>
      <c r="I1110" s="10"/>
      <c r="J1110" s="10"/>
      <c r="K1110" s="18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ht="14.25" customHeight="1">
      <c r="A1111" s="9"/>
      <c r="B1111" s="8"/>
      <c r="C1111" s="8"/>
      <c r="D1111" s="8"/>
      <c r="E1111" s="8"/>
      <c r="F1111" s="8"/>
      <c r="G1111" s="8"/>
      <c r="H1111" s="8"/>
      <c r="I1111" s="10"/>
      <c r="J1111" s="10"/>
      <c r="K1111" s="18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ht="14.25" customHeight="1">
      <c r="A1112" s="9"/>
      <c r="B1112" s="8"/>
      <c r="C1112" s="8"/>
      <c r="D1112" s="8"/>
      <c r="E1112" s="8"/>
      <c r="F1112" s="8"/>
      <c r="G1112" s="8"/>
      <c r="H1112" s="8"/>
      <c r="I1112" s="10"/>
      <c r="J1112" s="10"/>
      <c r="K1112" s="18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ht="14.25" customHeight="1">
      <c r="A1113" s="9"/>
      <c r="B1113" s="8"/>
      <c r="C1113" s="8"/>
      <c r="D1113" s="8"/>
      <c r="E1113" s="8"/>
      <c r="F1113" s="8"/>
      <c r="G1113" s="8"/>
      <c r="H1113" s="8"/>
      <c r="I1113" s="10"/>
      <c r="J1113" s="10"/>
      <c r="K1113" s="18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ht="14.25" customHeight="1">
      <c r="A1114" s="9"/>
      <c r="B1114" s="8"/>
      <c r="C1114" s="8"/>
      <c r="D1114" s="8"/>
      <c r="E1114" s="8"/>
      <c r="F1114" s="8"/>
      <c r="G1114" s="8"/>
      <c r="H1114" s="8"/>
      <c r="I1114" s="10"/>
      <c r="J1114" s="10"/>
      <c r="K1114" s="18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ht="14.25" customHeight="1">
      <c r="A1115" s="9"/>
      <c r="B1115" s="8"/>
      <c r="C1115" s="8"/>
      <c r="D1115" s="8"/>
      <c r="E1115" s="8"/>
      <c r="F1115" s="8"/>
      <c r="G1115" s="8"/>
      <c r="H1115" s="8"/>
      <c r="I1115" s="10"/>
      <c r="J1115" s="10"/>
      <c r="K1115" s="18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ht="14.25" customHeight="1">
      <c r="A1116" s="9"/>
      <c r="B1116" s="8"/>
      <c r="C1116" s="8"/>
      <c r="D1116" s="8"/>
      <c r="E1116" s="8"/>
      <c r="F1116" s="8"/>
      <c r="G1116" s="8"/>
      <c r="H1116" s="8"/>
      <c r="I1116" s="10"/>
      <c r="J1116" s="10"/>
      <c r="K1116" s="18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ht="14.25" customHeight="1">
      <c r="A1117" s="9"/>
      <c r="B1117" s="8"/>
      <c r="C1117" s="8"/>
      <c r="D1117" s="8"/>
      <c r="E1117" s="8"/>
      <c r="F1117" s="8"/>
      <c r="G1117" s="8"/>
      <c r="H1117" s="8"/>
      <c r="I1117" s="10"/>
      <c r="J1117" s="10"/>
      <c r="K1117" s="18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ht="14.25" customHeight="1">
      <c r="A1118" s="9"/>
      <c r="B1118" s="8"/>
      <c r="C1118" s="8"/>
      <c r="D1118" s="8"/>
      <c r="E1118" s="8"/>
      <c r="F1118" s="8"/>
      <c r="G1118" s="8"/>
      <c r="H1118" s="8"/>
      <c r="I1118" s="10"/>
      <c r="J1118" s="10"/>
      <c r="K1118" s="18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ht="14.25" customHeight="1">
      <c r="A1119" s="9"/>
      <c r="B1119" s="8"/>
      <c r="C1119" s="8"/>
      <c r="D1119" s="8"/>
      <c r="E1119" s="8"/>
      <c r="F1119" s="8"/>
      <c r="G1119" s="8"/>
      <c r="H1119" s="8"/>
      <c r="I1119" s="10"/>
      <c r="J1119" s="10"/>
      <c r="K1119" s="18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ht="14.25" customHeight="1">
      <c r="A1120" s="9"/>
      <c r="B1120" s="8"/>
      <c r="C1120" s="8"/>
      <c r="D1120" s="8"/>
      <c r="E1120" s="8"/>
      <c r="F1120" s="8"/>
      <c r="G1120" s="8"/>
      <c r="H1120" s="8"/>
      <c r="I1120" s="10"/>
      <c r="J1120" s="10"/>
      <c r="K1120" s="18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ht="14.25" customHeight="1">
      <c r="A1121" s="9"/>
      <c r="B1121" s="8"/>
      <c r="C1121" s="8"/>
      <c r="D1121" s="8"/>
      <c r="E1121" s="8"/>
      <c r="F1121" s="8"/>
      <c r="G1121" s="8"/>
      <c r="H1121" s="8"/>
      <c r="I1121" s="10"/>
      <c r="J1121" s="10"/>
      <c r="K1121" s="18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ht="14.25" customHeight="1">
      <c r="A1122" s="9"/>
      <c r="B1122" s="8"/>
      <c r="C1122" s="8"/>
      <c r="D1122" s="8"/>
      <c r="E1122" s="8"/>
      <c r="F1122" s="8"/>
      <c r="G1122" s="8"/>
      <c r="H1122" s="8"/>
      <c r="I1122" s="10"/>
      <c r="J1122" s="10"/>
      <c r="K1122" s="18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ht="14.25" customHeight="1">
      <c r="A1123" s="9"/>
      <c r="B1123" s="8"/>
      <c r="C1123" s="8"/>
      <c r="D1123" s="8"/>
      <c r="E1123" s="8"/>
      <c r="F1123" s="8"/>
      <c r="G1123" s="8"/>
      <c r="H1123" s="8"/>
      <c r="I1123" s="10"/>
      <c r="J1123" s="10"/>
      <c r="K1123" s="18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ht="14.25" customHeight="1">
      <c r="A1124" s="9"/>
      <c r="B1124" s="8"/>
      <c r="C1124" s="8"/>
      <c r="D1124" s="8"/>
      <c r="E1124" s="8"/>
      <c r="F1124" s="8"/>
      <c r="G1124" s="8"/>
      <c r="H1124" s="8"/>
      <c r="I1124" s="10"/>
      <c r="J1124" s="10"/>
      <c r="K1124" s="18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ht="14.25" customHeight="1">
      <c r="A1125" s="9"/>
      <c r="B1125" s="8"/>
      <c r="C1125" s="8"/>
      <c r="D1125" s="8"/>
      <c r="E1125" s="8"/>
      <c r="F1125" s="8"/>
      <c r="G1125" s="8"/>
      <c r="H1125" s="8"/>
      <c r="I1125" s="10"/>
      <c r="J1125" s="10"/>
      <c r="K1125" s="18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ht="14.25" customHeight="1">
      <c r="A1126" s="9"/>
      <c r="B1126" s="8"/>
      <c r="C1126" s="8"/>
      <c r="D1126" s="8"/>
      <c r="E1126" s="8"/>
      <c r="F1126" s="8"/>
      <c r="G1126" s="8"/>
      <c r="H1126" s="8"/>
      <c r="I1126" s="10"/>
      <c r="J1126" s="10"/>
      <c r="K1126" s="18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ht="14.25" customHeight="1">
      <c r="A1127" s="9"/>
      <c r="B1127" s="8"/>
      <c r="C1127" s="8"/>
      <c r="D1127" s="8"/>
      <c r="E1127" s="8"/>
      <c r="F1127" s="8"/>
      <c r="G1127" s="8"/>
      <c r="H1127" s="8"/>
      <c r="I1127" s="10"/>
      <c r="J1127" s="10"/>
      <c r="K1127" s="18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ht="14.25" customHeight="1">
      <c r="A1128" s="9"/>
      <c r="B1128" s="8"/>
      <c r="C1128" s="8"/>
      <c r="D1128" s="8"/>
      <c r="E1128" s="8"/>
      <c r="F1128" s="8"/>
      <c r="G1128" s="8"/>
      <c r="H1128" s="8"/>
      <c r="I1128" s="10"/>
      <c r="J1128" s="10"/>
      <c r="K1128" s="18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ht="14.25" customHeight="1">
      <c r="A1129" s="9"/>
      <c r="B1129" s="8"/>
      <c r="C1129" s="8"/>
      <c r="D1129" s="8"/>
      <c r="E1129" s="8"/>
      <c r="F1129" s="8"/>
      <c r="G1129" s="8"/>
      <c r="H1129" s="8"/>
      <c r="I1129" s="10"/>
      <c r="J1129" s="10"/>
      <c r="K1129" s="18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ht="14.25" customHeight="1">
      <c r="A1130" s="9"/>
      <c r="B1130" s="8"/>
      <c r="C1130" s="8"/>
      <c r="D1130" s="8"/>
      <c r="E1130" s="8"/>
      <c r="F1130" s="8"/>
      <c r="G1130" s="8"/>
      <c r="H1130" s="8"/>
      <c r="I1130" s="10"/>
      <c r="J1130" s="10"/>
      <c r="K1130" s="18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ht="14.25" customHeight="1">
      <c r="A1131" s="9"/>
      <c r="B1131" s="8"/>
      <c r="C1131" s="8"/>
      <c r="D1131" s="8"/>
      <c r="E1131" s="8"/>
      <c r="F1131" s="8"/>
      <c r="G1131" s="8"/>
      <c r="H1131" s="8"/>
      <c r="I1131" s="10"/>
      <c r="J1131" s="10"/>
      <c r="K1131" s="18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ht="14.25" customHeight="1">
      <c r="A1132" s="9"/>
      <c r="B1132" s="8"/>
      <c r="C1132" s="8"/>
      <c r="D1132" s="8"/>
      <c r="E1132" s="8"/>
      <c r="F1132" s="8"/>
      <c r="G1132" s="8"/>
      <c r="H1132" s="8"/>
      <c r="I1132" s="10"/>
      <c r="J1132" s="10"/>
      <c r="K1132" s="18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ht="14.25" customHeight="1">
      <c r="A1133" s="9"/>
      <c r="B1133" s="8"/>
      <c r="C1133" s="8"/>
      <c r="D1133" s="8"/>
      <c r="E1133" s="8"/>
      <c r="F1133" s="8"/>
      <c r="G1133" s="8"/>
      <c r="H1133" s="8"/>
      <c r="I1133" s="10"/>
      <c r="J1133" s="10"/>
      <c r="K1133" s="18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ht="14.25" customHeight="1">
      <c r="A1134" s="9"/>
      <c r="B1134" s="8"/>
      <c r="C1134" s="8"/>
      <c r="D1134" s="8"/>
      <c r="E1134" s="8"/>
      <c r="F1134" s="8"/>
      <c r="G1134" s="8"/>
      <c r="H1134" s="8"/>
      <c r="I1134" s="10"/>
      <c r="J1134" s="10"/>
      <c r="K1134" s="18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ht="14.25" customHeight="1">
      <c r="A1135" s="9"/>
      <c r="B1135" s="8"/>
      <c r="C1135" s="8"/>
      <c r="D1135" s="8"/>
      <c r="E1135" s="8"/>
      <c r="F1135" s="8"/>
      <c r="G1135" s="8"/>
      <c r="H1135" s="8"/>
      <c r="I1135" s="10"/>
      <c r="J1135" s="10"/>
      <c r="K1135" s="18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ht="14.25" customHeight="1">
      <c r="A1136" s="9"/>
      <c r="B1136" s="8"/>
      <c r="C1136" s="8"/>
      <c r="D1136" s="8"/>
      <c r="E1136" s="8"/>
      <c r="F1136" s="8"/>
      <c r="G1136" s="8"/>
      <c r="H1136" s="8"/>
      <c r="I1136" s="10"/>
      <c r="J1136" s="10"/>
      <c r="K1136" s="18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ht="14.25" customHeight="1">
      <c r="A1137" s="9"/>
      <c r="B1137" s="8"/>
      <c r="C1137" s="8"/>
      <c r="D1137" s="8"/>
      <c r="E1137" s="8"/>
      <c r="F1137" s="8"/>
      <c r="G1137" s="8"/>
      <c r="H1137" s="8"/>
      <c r="I1137" s="10"/>
      <c r="J1137" s="10"/>
      <c r="K1137" s="18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ht="14.25" customHeight="1">
      <c r="A1138" s="9"/>
      <c r="B1138" s="8"/>
      <c r="C1138" s="8"/>
      <c r="D1138" s="8"/>
      <c r="E1138" s="8"/>
      <c r="F1138" s="8"/>
      <c r="G1138" s="8"/>
      <c r="H1138" s="8"/>
      <c r="I1138" s="10"/>
      <c r="J1138" s="10"/>
      <c r="K1138" s="18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ht="14.25" customHeight="1">
      <c r="A1139" s="9"/>
      <c r="B1139" s="8"/>
      <c r="C1139" s="8"/>
      <c r="D1139" s="8"/>
      <c r="E1139" s="8"/>
      <c r="F1139" s="8"/>
      <c r="G1139" s="8"/>
      <c r="H1139" s="8"/>
      <c r="I1139" s="10"/>
      <c r="J1139" s="10"/>
      <c r="K1139" s="18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ht="14.25" customHeight="1">
      <c r="A1140" s="9"/>
      <c r="B1140" s="8"/>
      <c r="C1140" s="8"/>
      <c r="D1140" s="8"/>
      <c r="E1140" s="8"/>
      <c r="F1140" s="8"/>
      <c r="G1140" s="8"/>
      <c r="H1140" s="8"/>
      <c r="I1140" s="10"/>
      <c r="J1140" s="10"/>
      <c r="K1140" s="18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ht="14.25" customHeight="1">
      <c r="A1141" s="9"/>
      <c r="B1141" s="8"/>
      <c r="C1141" s="8"/>
      <c r="D1141" s="8"/>
      <c r="E1141" s="8"/>
      <c r="F1141" s="8"/>
      <c r="G1141" s="8"/>
      <c r="H1141" s="8"/>
      <c r="I1141" s="10"/>
      <c r="J1141" s="10"/>
      <c r="K1141" s="18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ht="14.25" customHeight="1">
      <c r="A1142" s="9"/>
      <c r="B1142" s="8"/>
      <c r="C1142" s="8"/>
      <c r="D1142" s="8"/>
      <c r="E1142" s="8"/>
      <c r="F1142" s="8"/>
      <c r="G1142" s="8"/>
      <c r="H1142" s="8"/>
      <c r="I1142" s="10"/>
      <c r="J1142" s="10"/>
      <c r="K1142" s="18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ht="14.25" customHeight="1">
      <c r="A1143" s="9"/>
      <c r="B1143" s="8"/>
      <c r="C1143" s="8"/>
      <c r="D1143" s="8"/>
      <c r="E1143" s="8"/>
      <c r="F1143" s="8"/>
      <c r="G1143" s="8"/>
      <c r="H1143" s="8"/>
      <c r="I1143" s="10"/>
      <c r="J1143" s="10"/>
      <c r="K1143" s="18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ht="14.25" customHeight="1">
      <c r="A1144" s="9"/>
      <c r="B1144" s="8"/>
      <c r="C1144" s="8"/>
      <c r="D1144" s="8"/>
      <c r="E1144" s="8"/>
      <c r="F1144" s="8"/>
      <c r="G1144" s="8"/>
      <c r="H1144" s="8"/>
      <c r="I1144" s="10"/>
      <c r="J1144" s="10"/>
      <c r="K1144" s="18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ht="14.25" customHeight="1">
      <c r="A1145" s="9"/>
      <c r="B1145" s="8"/>
      <c r="C1145" s="8"/>
      <c r="D1145" s="8"/>
      <c r="E1145" s="8"/>
      <c r="F1145" s="8"/>
      <c r="G1145" s="8"/>
      <c r="H1145" s="8"/>
      <c r="I1145" s="10"/>
      <c r="J1145" s="10"/>
      <c r="K1145" s="18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ht="14.25" customHeight="1">
      <c r="A1146" s="9"/>
      <c r="B1146" s="8"/>
      <c r="C1146" s="8"/>
      <c r="D1146" s="8"/>
      <c r="E1146" s="8"/>
      <c r="F1146" s="8"/>
      <c r="G1146" s="8"/>
      <c r="H1146" s="8"/>
      <c r="I1146" s="10"/>
      <c r="J1146" s="10"/>
      <c r="K1146" s="18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ht="14.25" customHeight="1">
      <c r="A1147" s="9"/>
      <c r="B1147" s="8"/>
      <c r="C1147" s="8"/>
      <c r="D1147" s="8"/>
      <c r="E1147" s="8"/>
      <c r="F1147" s="8"/>
      <c r="G1147" s="8"/>
      <c r="H1147" s="8"/>
      <c r="I1147" s="10"/>
      <c r="J1147" s="10"/>
      <c r="K1147" s="18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ht="14.25" customHeight="1">
      <c r="A1148" s="9"/>
      <c r="B1148" s="8"/>
      <c r="C1148" s="8"/>
      <c r="D1148" s="8"/>
      <c r="E1148" s="8"/>
      <c r="F1148" s="8"/>
      <c r="G1148" s="8"/>
      <c r="H1148" s="8"/>
      <c r="I1148" s="10"/>
      <c r="J1148" s="10"/>
      <c r="K1148" s="18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ht="14.25" customHeight="1">
      <c r="A1149" s="9"/>
      <c r="B1149" s="8"/>
      <c r="C1149" s="8"/>
      <c r="D1149" s="8"/>
      <c r="E1149" s="8"/>
      <c r="F1149" s="8"/>
      <c r="G1149" s="8"/>
      <c r="H1149" s="8"/>
      <c r="I1149" s="10"/>
      <c r="J1149" s="10"/>
      <c r="K1149" s="18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ht="14.25" customHeight="1">
      <c r="A1150" s="9"/>
      <c r="B1150" s="8"/>
      <c r="C1150" s="8"/>
      <c r="D1150" s="8"/>
      <c r="E1150" s="8"/>
      <c r="F1150" s="8"/>
      <c r="G1150" s="8"/>
      <c r="H1150" s="8"/>
      <c r="I1150" s="10"/>
      <c r="J1150" s="10"/>
      <c r="K1150" s="18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ht="14.25" customHeight="1">
      <c r="A1151" s="9"/>
      <c r="B1151" s="8"/>
      <c r="C1151" s="8"/>
      <c r="D1151" s="8"/>
      <c r="E1151" s="8"/>
      <c r="F1151" s="8"/>
      <c r="G1151" s="8"/>
      <c r="H1151" s="8"/>
      <c r="I1151" s="10"/>
      <c r="J1151" s="10"/>
      <c r="K1151" s="18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ht="14.25" customHeight="1">
      <c r="A1152" s="9"/>
      <c r="B1152" s="8"/>
      <c r="C1152" s="8"/>
      <c r="D1152" s="8"/>
      <c r="E1152" s="8"/>
      <c r="F1152" s="8"/>
      <c r="G1152" s="8"/>
      <c r="H1152" s="8"/>
      <c r="I1152" s="10"/>
      <c r="J1152" s="10"/>
      <c r="K1152" s="18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ht="14.25" customHeight="1">
      <c r="A1153" s="9"/>
      <c r="B1153" s="8"/>
      <c r="C1153" s="8"/>
      <c r="D1153" s="8"/>
      <c r="E1153" s="8"/>
      <c r="F1153" s="8"/>
      <c r="G1153" s="8"/>
      <c r="H1153" s="8"/>
      <c r="I1153" s="10"/>
      <c r="J1153" s="10"/>
      <c r="K1153" s="18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ht="14.25" customHeight="1">
      <c r="A1154" s="9"/>
      <c r="B1154" s="8"/>
      <c r="C1154" s="8"/>
      <c r="D1154" s="8"/>
      <c r="E1154" s="8"/>
      <c r="F1154" s="8"/>
      <c r="G1154" s="8"/>
      <c r="H1154" s="8"/>
      <c r="I1154" s="10"/>
      <c r="J1154" s="10"/>
      <c r="K1154" s="18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ht="14.25" customHeight="1">
      <c r="A1155" s="9"/>
      <c r="B1155" s="8"/>
      <c r="C1155" s="8"/>
      <c r="D1155" s="8"/>
      <c r="E1155" s="8"/>
      <c r="F1155" s="8"/>
      <c r="G1155" s="8"/>
      <c r="H1155" s="8"/>
      <c r="I1155" s="10"/>
      <c r="J1155" s="10"/>
      <c r="K1155" s="18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ht="14.25" customHeight="1">
      <c r="A1156" s="9"/>
      <c r="B1156" s="8"/>
      <c r="C1156" s="8"/>
      <c r="D1156" s="8"/>
      <c r="E1156" s="8"/>
      <c r="F1156" s="8"/>
      <c r="G1156" s="8"/>
      <c r="H1156" s="8"/>
      <c r="I1156" s="10"/>
      <c r="J1156" s="10"/>
      <c r="K1156" s="18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ht="14.25" customHeight="1">
      <c r="A1157" s="9"/>
      <c r="B1157" s="8"/>
      <c r="C1157" s="8"/>
      <c r="D1157" s="8"/>
      <c r="E1157" s="8"/>
      <c r="F1157" s="8"/>
      <c r="G1157" s="8"/>
      <c r="H1157" s="8"/>
      <c r="I1157" s="10"/>
      <c r="J1157" s="10"/>
      <c r="K1157" s="18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ht="14.25" customHeight="1">
      <c r="A1158" s="9"/>
      <c r="B1158" s="8"/>
      <c r="C1158" s="8"/>
      <c r="D1158" s="8"/>
      <c r="E1158" s="8"/>
      <c r="F1158" s="8"/>
      <c r="G1158" s="8"/>
      <c r="H1158" s="8"/>
      <c r="I1158" s="10"/>
      <c r="J1158" s="10"/>
      <c r="K1158" s="18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ht="14.25" customHeight="1">
      <c r="A1159" s="9"/>
      <c r="B1159" s="8"/>
      <c r="C1159" s="8"/>
      <c r="D1159" s="8"/>
      <c r="E1159" s="8"/>
      <c r="F1159" s="8"/>
      <c r="G1159" s="8"/>
      <c r="H1159" s="8"/>
      <c r="I1159" s="10"/>
      <c r="J1159" s="10"/>
      <c r="K1159" s="18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ht="14.25" customHeight="1">
      <c r="A1160" s="9"/>
      <c r="B1160" s="8"/>
      <c r="C1160" s="8"/>
      <c r="D1160" s="8"/>
      <c r="E1160" s="8"/>
      <c r="F1160" s="8"/>
      <c r="G1160" s="8"/>
      <c r="H1160" s="8"/>
      <c r="I1160" s="10"/>
      <c r="J1160" s="10"/>
      <c r="K1160" s="18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ht="14.25" customHeight="1">
      <c r="A1161" s="9"/>
      <c r="B1161" s="8"/>
      <c r="C1161" s="8"/>
      <c r="D1161" s="8"/>
      <c r="E1161" s="8"/>
      <c r="F1161" s="8"/>
      <c r="G1161" s="8"/>
      <c r="H1161" s="8"/>
      <c r="I1161" s="10"/>
      <c r="J1161" s="10"/>
      <c r="K1161" s="18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ht="14.25" customHeight="1">
      <c r="A1162" s="9"/>
      <c r="B1162" s="8"/>
      <c r="C1162" s="8"/>
      <c r="D1162" s="8"/>
      <c r="E1162" s="8"/>
      <c r="F1162" s="8"/>
      <c r="G1162" s="8"/>
      <c r="H1162" s="8"/>
      <c r="I1162" s="10"/>
      <c r="J1162" s="10"/>
      <c r="K1162" s="18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ht="14.25" customHeight="1">
      <c r="A1163" s="9"/>
      <c r="B1163" s="8"/>
      <c r="C1163" s="8"/>
      <c r="D1163" s="8"/>
      <c r="E1163" s="8"/>
      <c r="F1163" s="8"/>
      <c r="G1163" s="8"/>
      <c r="H1163" s="8"/>
      <c r="I1163" s="10"/>
      <c r="J1163" s="10"/>
      <c r="K1163" s="18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ht="14.25" customHeight="1">
      <c r="A1164" s="9"/>
      <c r="B1164" s="8"/>
      <c r="C1164" s="8"/>
      <c r="D1164" s="8"/>
      <c r="E1164" s="8"/>
      <c r="F1164" s="8"/>
      <c r="G1164" s="8"/>
      <c r="H1164" s="8"/>
      <c r="I1164" s="10"/>
      <c r="J1164" s="10"/>
      <c r="K1164" s="18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ht="14.25" customHeight="1">
      <c r="A1165" s="9"/>
      <c r="B1165" s="8"/>
      <c r="C1165" s="8"/>
      <c r="D1165" s="8"/>
      <c r="E1165" s="8"/>
      <c r="F1165" s="8"/>
      <c r="G1165" s="8"/>
      <c r="H1165" s="8"/>
      <c r="I1165" s="10"/>
      <c r="J1165" s="10"/>
      <c r="K1165" s="18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ht="14.25" customHeight="1">
      <c r="A1166" s="9"/>
      <c r="B1166" s="8"/>
      <c r="C1166" s="8"/>
      <c r="D1166" s="8"/>
      <c r="E1166" s="8"/>
      <c r="F1166" s="8"/>
      <c r="G1166" s="8"/>
      <c r="H1166" s="8"/>
      <c r="I1166" s="10"/>
      <c r="J1166" s="10"/>
      <c r="K1166" s="18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ht="14.25" customHeight="1">
      <c r="A1167" s="9"/>
      <c r="B1167" s="8"/>
      <c r="C1167" s="8"/>
      <c r="D1167" s="8"/>
      <c r="E1167" s="8"/>
      <c r="F1167" s="8"/>
      <c r="G1167" s="8"/>
      <c r="H1167" s="8"/>
      <c r="I1167" s="10"/>
      <c r="J1167" s="10"/>
      <c r="K1167" s="18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ht="14.25" customHeight="1">
      <c r="A1168" s="9"/>
      <c r="B1168" s="8"/>
      <c r="C1168" s="8"/>
      <c r="D1168" s="8"/>
      <c r="E1168" s="8"/>
      <c r="F1168" s="8"/>
      <c r="G1168" s="8"/>
      <c r="H1168" s="8"/>
      <c r="I1168" s="10"/>
      <c r="J1168" s="10"/>
      <c r="K1168" s="18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ht="14.25" customHeight="1">
      <c r="A1169" s="9"/>
      <c r="B1169" s="8"/>
      <c r="C1169" s="8"/>
      <c r="D1169" s="8"/>
      <c r="E1169" s="8"/>
      <c r="F1169" s="8"/>
      <c r="G1169" s="8"/>
      <c r="H1169" s="8"/>
      <c r="I1169" s="10"/>
      <c r="J1169" s="10"/>
      <c r="K1169" s="18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ht="14.25" customHeight="1">
      <c r="A1170" s="9"/>
      <c r="B1170" s="8"/>
      <c r="C1170" s="8"/>
      <c r="D1170" s="8"/>
      <c r="E1170" s="8"/>
      <c r="F1170" s="8"/>
      <c r="G1170" s="8"/>
      <c r="H1170" s="8"/>
      <c r="I1170" s="10"/>
      <c r="J1170" s="10"/>
      <c r="K1170" s="18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ht="14.25" customHeight="1">
      <c r="A1171" s="9"/>
      <c r="B1171" s="8"/>
      <c r="C1171" s="8"/>
      <c r="D1171" s="8"/>
      <c r="E1171" s="8"/>
      <c r="F1171" s="8"/>
      <c r="G1171" s="8"/>
      <c r="H1171" s="8"/>
      <c r="I1171" s="10"/>
      <c r="J1171" s="10"/>
      <c r="K1171" s="18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ht="14.25" customHeight="1">
      <c r="A1172" s="9"/>
      <c r="B1172" s="8"/>
      <c r="C1172" s="8"/>
      <c r="D1172" s="8"/>
      <c r="E1172" s="8"/>
      <c r="F1172" s="8"/>
      <c r="G1172" s="8"/>
      <c r="H1172" s="8"/>
      <c r="I1172" s="10"/>
      <c r="J1172" s="10"/>
      <c r="K1172" s="18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ht="14.25" customHeight="1">
      <c r="A1173" s="9"/>
      <c r="B1173" s="8"/>
      <c r="C1173" s="8"/>
      <c r="D1173" s="8"/>
      <c r="E1173" s="8"/>
      <c r="F1173" s="8"/>
      <c r="G1173" s="8"/>
      <c r="H1173" s="8"/>
      <c r="I1173" s="10"/>
      <c r="J1173" s="10"/>
      <c r="K1173" s="18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ht="14.25" customHeight="1">
      <c r="A1174" s="9"/>
      <c r="B1174" s="8"/>
      <c r="C1174" s="8"/>
      <c r="D1174" s="8"/>
      <c r="E1174" s="8"/>
      <c r="F1174" s="8"/>
      <c r="G1174" s="8"/>
      <c r="H1174" s="8"/>
      <c r="I1174" s="10"/>
      <c r="J1174" s="10"/>
      <c r="K1174" s="18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ht="14.25" customHeight="1">
      <c r="A1175" s="9"/>
      <c r="B1175" s="8"/>
      <c r="C1175" s="8"/>
      <c r="D1175" s="8"/>
      <c r="E1175" s="8"/>
      <c r="F1175" s="8"/>
      <c r="G1175" s="8"/>
      <c r="H1175" s="8"/>
      <c r="I1175" s="10"/>
      <c r="J1175" s="10"/>
      <c r="K1175" s="18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ht="14.25" customHeight="1">
      <c r="A1176" s="9"/>
      <c r="B1176" s="8"/>
      <c r="C1176" s="8"/>
      <c r="D1176" s="8"/>
      <c r="E1176" s="8"/>
      <c r="F1176" s="8"/>
      <c r="G1176" s="8"/>
      <c r="H1176" s="8"/>
      <c r="I1176" s="10"/>
      <c r="J1176" s="10"/>
      <c r="K1176" s="18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ht="14.25" customHeight="1">
      <c r="A1177" s="9"/>
      <c r="B1177" s="8"/>
      <c r="C1177" s="8"/>
      <c r="D1177" s="8"/>
      <c r="E1177" s="8"/>
      <c r="F1177" s="8"/>
      <c r="G1177" s="8"/>
      <c r="H1177" s="8"/>
      <c r="I1177" s="10"/>
      <c r="J1177" s="10"/>
      <c r="K1177" s="18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ht="14.25" customHeight="1">
      <c r="A1178" s="9"/>
      <c r="B1178" s="8"/>
      <c r="C1178" s="8"/>
      <c r="D1178" s="8"/>
      <c r="E1178" s="8"/>
      <c r="F1178" s="8"/>
      <c r="G1178" s="8"/>
      <c r="H1178" s="8"/>
      <c r="I1178" s="10"/>
      <c r="J1178" s="10"/>
      <c r="K1178" s="18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ht="14.25" customHeight="1">
      <c r="A1179" s="9"/>
      <c r="B1179" s="8"/>
      <c r="C1179" s="8"/>
      <c r="D1179" s="8"/>
      <c r="E1179" s="8"/>
      <c r="F1179" s="8"/>
      <c r="G1179" s="8"/>
      <c r="H1179" s="8"/>
      <c r="I1179" s="10"/>
      <c r="J1179" s="10"/>
      <c r="K1179" s="18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ht="14.25" customHeight="1">
      <c r="A1180" s="9"/>
      <c r="B1180" s="8"/>
      <c r="C1180" s="8"/>
      <c r="D1180" s="8"/>
      <c r="E1180" s="8"/>
      <c r="F1180" s="8"/>
      <c r="G1180" s="8"/>
      <c r="H1180" s="8"/>
      <c r="I1180" s="10"/>
      <c r="J1180" s="10"/>
      <c r="K1180" s="18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ht="14.25" customHeight="1">
      <c r="A1181" s="9"/>
      <c r="B1181" s="8"/>
      <c r="C1181" s="8"/>
      <c r="D1181" s="8"/>
      <c r="E1181" s="8"/>
      <c r="F1181" s="8"/>
      <c r="G1181" s="8"/>
      <c r="H1181" s="8"/>
      <c r="I1181" s="10"/>
      <c r="J1181" s="10"/>
      <c r="K1181" s="18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ht="14.25" customHeight="1">
      <c r="A1182" s="9"/>
      <c r="B1182" s="8"/>
      <c r="C1182" s="8"/>
      <c r="D1182" s="8"/>
      <c r="E1182" s="8"/>
      <c r="F1182" s="8"/>
      <c r="G1182" s="8"/>
      <c r="H1182" s="8"/>
      <c r="I1182" s="10"/>
      <c r="J1182" s="10"/>
      <c r="K1182" s="18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ht="14.25" customHeight="1">
      <c r="A1183" s="9"/>
      <c r="B1183" s="8"/>
      <c r="C1183" s="8"/>
      <c r="D1183" s="8"/>
      <c r="E1183" s="8"/>
      <c r="F1183" s="8"/>
      <c r="G1183" s="8"/>
      <c r="H1183" s="8"/>
      <c r="I1183" s="10"/>
      <c r="J1183" s="10"/>
      <c r="K1183" s="18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ht="14.25" customHeight="1">
      <c r="A1184" s="9"/>
      <c r="B1184" s="8"/>
      <c r="C1184" s="8"/>
      <c r="D1184" s="8"/>
      <c r="E1184" s="8"/>
      <c r="F1184" s="8"/>
      <c r="G1184" s="8"/>
      <c r="H1184" s="8"/>
      <c r="I1184" s="10"/>
      <c r="J1184" s="10"/>
      <c r="K1184" s="18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ht="14.25" customHeight="1">
      <c r="A1185" s="9"/>
      <c r="B1185" s="8"/>
      <c r="C1185" s="8"/>
      <c r="D1185" s="8"/>
      <c r="E1185" s="8"/>
      <c r="F1185" s="8"/>
      <c r="G1185" s="8"/>
      <c r="H1185" s="8"/>
      <c r="I1185" s="10"/>
      <c r="J1185" s="10"/>
      <c r="K1185" s="18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ht="14.25" customHeight="1">
      <c r="A1186" s="9"/>
      <c r="B1186" s="8"/>
      <c r="C1186" s="8"/>
      <c r="D1186" s="8"/>
      <c r="E1186" s="8"/>
      <c r="F1186" s="8"/>
      <c r="G1186" s="8"/>
      <c r="H1186" s="8"/>
      <c r="I1186" s="10"/>
      <c r="J1186" s="10"/>
      <c r="K1186" s="18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ht="14.25" customHeight="1">
      <c r="A1187" s="9"/>
      <c r="B1187" s="8"/>
      <c r="C1187" s="8"/>
      <c r="D1187" s="8"/>
      <c r="E1187" s="8"/>
      <c r="F1187" s="8"/>
      <c r="G1187" s="8"/>
      <c r="H1187" s="8"/>
      <c r="I1187" s="10"/>
      <c r="J1187" s="10"/>
      <c r="K1187" s="18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ht="14.25" customHeight="1">
      <c r="A1188" s="9"/>
      <c r="B1188" s="8"/>
      <c r="C1188" s="8"/>
      <c r="D1188" s="8"/>
      <c r="E1188" s="8"/>
      <c r="F1188" s="8"/>
      <c r="G1188" s="8"/>
      <c r="H1188" s="8"/>
      <c r="I1188" s="10"/>
      <c r="J1188" s="10"/>
      <c r="K1188" s="18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ht="14.25" customHeight="1">
      <c r="A1189" s="9"/>
      <c r="B1189" s="8"/>
      <c r="C1189" s="8"/>
      <c r="D1189" s="8"/>
      <c r="E1189" s="8"/>
      <c r="F1189" s="8"/>
      <c r="G1189" s="8"/>
      <c r="H1189" s="8"/>
      <c r="I1189" s="10"/>
      <c r="J1189" s="10"/>
      <c r="K1189" s="18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ht="14.25" customHeight="1">
      <c r="A1190" s="9"/>
      <c r="B1190" s="8"/>
      <c r="C1190" s="8"/>
      <c r="D1190" s="8"/>
      <c r="E1190" s="8"/>
      <c r="F1190" s="8"/>
      <c r="G1190" s="8"/>
      <c r="H1190" s="8"/>
      <c r="I1190" s="10"/>
      <c r="J1190" s="10"/>
      <c r="K1190" s="18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ht="14.25" customHeight="1">
      <c r="A1191" s="9"/>
      <c r="B1191" s="8"/>
      <c r="C1191" s="8"/>
      <c r="D1191" s="8"/>
      <c r="E1191" s="8"/>
      <c r="F1191" s="19"/>
      <c r="G1191" s="8"/>
      <c r="H1191" s="8"/>
      <c r="I1191" s="10"/>
      <c r="J1191" s="10"/>
      <c r="K1191" s="18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ht="14.25" customHeight="1">
      <c r="A1192" s="9"/>
      <c r="B1192" s="8"/>
      <c r="C1192" s="8"/>
      <c r="D1192" s="8"/>
      <c r="E1192" s="8"/>
      <c r="F1192" s="8"/>
      <c r="G1192" s="8"/>
      <c r="H1192" s="8"/>
      <c r="I1192" s="10"/>
      <c r="J1192" s="10"/>
      <c r="K1192" s="18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ht="14.25" customHeight="1">
      <c r="A1193" s="9"/>
      <c r="B1193" s="8"/>
      <c r="C1193" s="8"/>
      <c r="D1193" s="8"/>
      <c r="E1193" s="8"/>
      <c r="F1193" s="8"/>
      <c r="G1193" s="8"/>
      <c r="H1193" s="8"/>
      <c r="I1193" s="10"/>
      <c r="J1193" s="10"/>
      <c r="K1193" s="18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ht="14.25" customHeight="1">
      <c r="A1194" s="9"/>
      <c r="B1194" s="8"/>
      <c r="C1194" s="8"/>
      <c r="D1194" s="8"/>
      <c r="E1194" s="8"/>
      <c r="F1194" s="8"/>
      <c r="G1194" s="8"/>
      <c r="H1194" s="8"/>
      <c r="I1194" s="10"/>
      <c r="J1194" s="10"/>
      <c r="K1194" s="18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ht="14.25" customHeight="1">
      <c r="A1195" s="9"/>
      <c r="B1195" s="8"/>
      <c r="C1195" s="8"/>
      <c r="D1195" s="8"/>
      <c r="E1195" s="8"/>
      <c r="F1195" s="8"/>
      <c r="G1195" s="8"/>
      <c r="H1195" s="8"/>
      <c r="I1195" s="10"/>
      <c r="J1195" s="10"/>
      <c r="K1195" s="18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ht="14.25" customHeight="1">
      <c r="A1196" s="9"/>
      <c r="B1196" s="8"/>
      <c r="C1196" s="8"/>
      <c r="D1196" s="8"/>
      <c r="E1196" s="8"/>
      <c r="F1196" s="8"/>
      <c r="G1196" s="8"/>
      <c r="H1196" s="8"/>
      <c r="I1196" s="10"/>
      <c r="J1196" s="10"/>
      <c r="K1196" s="18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ht="14.25" customHeight="1">
      <c r="A1197" s="9"/>
      <c r="B1197" s="8"/>
      <c r="C1197" s="8"/>
      <c r="D1197" s="8"/>
      <c r="E1197" s="8"/>
      <c r="F1197" s="8"/>
      <c r="G1197" s="8"/>
      <c r="H1197" s="8"/>
      <c r="I1197" s="10"/>
      <c r="J1197" s="10"/>
      <c r="K1197" s="18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ht="14.25" customHeight="1">
      <c r="A1198" s="9"/>
      <c r="B1198" s="8"/>
      <c r="C1198" s="8"/>
      <c r="D1198" s="8"/>
      <c r="E1198" s="8"/>
      <c r="F1198" s="8"/>
      <c r="G1198" s="8"/>
      <c r="H1198" s="8"/>
      <c r="I1198" s="10"/>
      <c r="J1198" s="10"/>
      <c r="K1198" s="18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ht="14.25" customHeight="1">
      <c r="A1199" s="9"/>
      <c r="B1199" s="8"/>
      <c r="C1199" s="8"/>
      <c r="D1199" s="8"/>
      <c r="E1199" s="8"/>
      <c r="F1199" s="8"/>
      <c r="G1199" s="8"/>
      <c r="H1199" s="8"/>
      <c r="I1199" s="10"/>
      <c r="J1199" s="10"/>
      <c r="K1199" s="18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ht="14.25" customHeight="1">
      <c r="A1200" s="9"/>
      <c r="B1200" s="8"/>
      <c r="C1200" s="8"/>
      <c r="D1200" s="8"/>
      <c r="E1200" s="8"/>
      <c r="F1200" s="8"/>
      <c r="G1200" s="8"/>
      <c r="H1200" s="8"/>
      <c r="I1200" s="10"/>
      <c r="J1200" s="10"/>
      <c r="K1200" s="18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ht="14.25" customHeight="1">
      <c r="A1201" s="9"/>
      <c r="B1201" s="8"/>
      <c r="C1201" s="8"/>
      <c r="D1201" s="8"/>
      <c r="E1201" s="8"/>
      <c r="F1201" s="8"/>
      <c r="G1201" s="8"/>
      <c r="H1201" s="8"/>
      <c r="I1201" s="10"/>
      <c r="J1201" s="10"/>
      <c r="K1201" s="18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ht="14.25" customHeight="1">
      <c r="A1202" s="9"/>
      <c r="B1202" s="8"/>
      <c r="C1202" s="8"/>
      <c r="D1202" s="8"/>
      <c r="E1202" s="8"/>
      <c r="F1202" s="8"/>
      <c r="G1202" s="8"/>
      <c r="H1202" s="8"/>
      <c r="I1202" s="10"/>
      <c r="J1202" s="10"/>
      <c r="K1202" s="18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ht="14.25" customHeight="1">
      <c r="A1203" s="9"/>
      <c r="B1203" s="8"/>
      <c r="C1203" s="8"/>
      <c r="D1203" s="8"/>
      <c r="E1203" s="8"/>
      <c r="F1203" s="8"/>
      <c r="G1203" s="8"/>
      <c r="H1203" s="8"/>
      <c r="I1203" s="10"/>
      <c r="J1203" s="10"/>
      <c r="K1203" s="18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ht="14.25" customHeight="1">
      <c r="A1204" s="9"/>
      <c r="B1204" s="8"/>
      <c r="C1204" s="8"/>
      <c r="D1204" s="8"/>
      <c r="E1204" s="8"/>
      <c r="F1204" s="8"/>
      <c r="G1204" s="8"/>
      <c r="H1204" s="8"/>
      <c r="I1204" s="10"/>
      <c r="J1204" s="10"/>
      <c r="K1204" s="18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ht="14.25" customHeight="1">
      <c r="A1205" s="9"/>
      <c r="B1205" s="8"/>
      <c r="C1205" s="8"/>
      <c r="D1205" s="8"/>
      <c r="E1205" s="8"/>
      <c r="F1205" s="8"/>
      <c r="G1205" s="8"/>
      <c r="H1205" s="8"/>
      <c r="I1205" s="10"/>
      <c r="J1205" s="10"/>
      <c r="K1205" s="18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ht="14.25" customHeight="1">
      <c r="A1206" s="9"/>
      <c r="B1206" s="8"/>
      <c r="C1206" s="8"/>
      <c r="D1206" s="8"/>
      <c r="E1206" s="8"/>
      <c r="F1206" s="8"/>
      <c r="G1206" s="8"/>
      <c r="H1206" s="8"/>
      <c r="I1206" s="10"/>
      <c r="J1206" s="10"/>
      <c r="K1206" s="18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ht="14.25" customHeight="1">
      <c r="A1207" s="9"/>
      <c r="B1207" s="8"/>
      <c r="C1207" s="8"/>
      <c r="D1207" s="8"/>
      <c r="E1207" s="8"/>
      <c r="F1207" s="8"/>
      <c r="G1207" s="8"/>
      <c r="H1207" s="8"/>
      <c r="I1207" s="10"/>
      <c r="J1207" s="10"/>
      <c r="K1207" s="18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ht="14.25" customHeight="1">
      <c r="A1208" s="9"/>
      <c r="B1208" s="8"/>
      <c r="C1208" s="8"/>
      <c r="D1208" s="8"/>
      <c r="E1208" s="8"/>
      <c r="F1208" s="8"/>
      <c r="G1208" s="8"/>
      <c r="H1208" s="8"/>
      <c r="I1208" s="10"/>
      <c r="J1208" s="10"/>
      <c r="K1208" s="18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ht="14.25" customHeight="1">
      <c r="A1209" s="9"/>
      <c r="B1209" s="8"/>
      <c r="C1209" s="8"/>
      <c r="D1209" s="8"/>
      <c r="E1209" s="8"/>
      <c r="F1209" s="8"/>
      <c r="G1209" s="8"/>
      <c r="H1209" s="8"/>
      <c r="I1209" s="10"/>
      <c r="J1209" s="10"/>
      <c r="K1209" s="18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ht="14.25" customHeight="1">
      <c r="A1210" s="9"/>
      <c r="B1210" s="8"/>
      <c r="C1210" s="8"/>
      <c r="D1210" s="8"/>
      <c r="E1210" s="8"/>
      <c r="F1210" s="8"/>
      <c r="G1210" s="8"/>
      <c r="H1210" s="8"/>
      <c r="I1210" s="10"/>
      <c r="J1210" s="10"/>
      <c r="K1210" s="18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ht="14.25" customHeight="1">
      <c r="A1211" s="9"/>
      <c r="B1211" s="8"/>
      <c r="C1211" s="8"/>
      <c r="D1211" s="8"/>
      <c r="E1211" s="8"/>
      <c r="F1211" s="8"/>
      <c r="G1211" s="8"/>
      <c r="H1211" s="8"/>
      <c r="I1211" s="10"/>
      <c r="J1211" s="10"/>
      <c r="K1211" s="18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ht="14.25" customHeight="1">
      <c r="A1212" s="9"/>
      <c r="B1212" s="8"/>
      <c r="C1212" s="8"/>
      <c r="D1212" s="8"/>
      <c r="E1212" s="8"/>
      <c r="F1212" s="8"/>
      <c r="G1212" s="8"/>
      <c r="H1212" s="8"/>
      <c r="I1212" s="10"/>
      <c r="J1212" s="10"/>
      <c r="K1212" s="18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ht="14.25" customHeight="1">
      <c r="A1213" s="9"/>
      <c r="B1213" s="8"/>
      <c r="C1213" s="8"/>
      <c r="D1213" s="8"/>
      <c r="E1213" s="8"/>
      <c r="F1213" s="8"/>
      <c r="G1213" s="8"/>
      <c r="H1213" s="8"/>
      <c r="I1213" s="10"/>
      <c r="J1213" s="10"/>
      <c r="K1213" s="18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ht="14.25" customHeight="1">
      <c r="A1214" s="9"/>
      <c r="B1214" s="8"/>
      <c r="C1214" s="8"/>
      <c r="D1214" s="8"/>
      <c r="E1214" s="8"/>
      <c r="F1214" s="8"/>
      <c r="G1214" s="8"/>
      <c r="H1214" s="8"/>
      <c r="I1214" s="10"/>
      <c r="J1214" s="10"/>
      <c r="K1214" s="18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ht="14.25" customHeight="1">
      <c r="A1215" s="9"/>
      <c r="B1215" s="8"/>
      <c r="C1215" s="8"/>
      <c r="D1215" s="8"/>
      <c r="E1215" s="8"/>
      <c r="F1215" s="8"/>
      <c r="G1215" s="8"/>
      <c r="H1215" s="8"/>
      <c r="I1215" s="10"/>
      <c r="J1215" s="10"/>
      <c r="K1215" s="18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ht="14.25" customHeight="1">
      <c r="A1216" s="9"/>
      <c r="B1216" s="8"/>
      <c r="C1216" s="8"/>
      <c r="D1216" s="8"/>
      <c r="E1216" s="8"/>
      <c r="F1216" s="8"/>
      <c r="G1216" s="8"/>
      <c r="H1216" s="8"/>
      <c r="I1216" s="10"/>
      <c r="J1216" s="10"/>
      <c r="K1216" s="18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ht="14.25" customHeight="1">
      <c r="A1217" s="9"/>
      <c r="B1217" s="8"/>
      <c r="C1217" s="8"/>
      <c r="D1217" s="8"/>
      <c r="E1217" s="8"/>
      <c r="F1217" s="8"/>
      <c r="G1217" s="8"/>
      <c r="H1217" s="8"/>
      <c r="I1217" s="10"/>
      <c r="J1217" s="10"/>
      <c r="K1217" s="18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ht="14.25" customHeight="1">
      <c r="A1218" s="9"/>
      <c r="B1218" s="8"/>
      <c r="C1218" s="8"/>
      <c r="D1218" s="8"/>
      <c r="E1218" s="8"/>
      <c r="F1218" s="8"/>
      <c r="G1218" s="8"/>
      <c r="H1218" s="8"/>
      <c r="I1218" s="10"/>
      <c r="J1218" s="10"/>
      <c r="K1218" s="18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ht="14.25" customHeight="1">
      <c r="A1219" s="9"/>
      <c r="B1219" s="8"/>
      <c r="C1219" s="8"/>
      <c r="D1219" s="8"/>
      <c r="E1219" s="8"/>
      <c r="F1219" s="8"/>
      <c r="G1219" s="8"/>
      <c r="H1219" s="8"/>
      <c r="I1219" s="10"/>
      <c r="J1219" s="10"/>
      <c r="K1219" s="18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ht="14.25" customHeight="1">
      <c r="A1220" s="9"/>
      <c r="B1220" s="8"/>
      <c r="C1220" s="8"/>
      <c r="D1220" s="8"/>
      <c r="E1220" s="8"/>
      <c r="F1220" s="8"/>
      <c r="G1220" s="8"/>
      <c r="H1220" s="8"/>
      <c r="I1220" s="10"/>
      <c r="J1220" s="10"/>
      <c r="K1220" s="18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ht="14.25" customHeight="1">
      <c r="A1221" s="9"/>
      <c r="B1221" s="8"/>
      <c r="C1221" s="8"/>
      <c r="D1221" s="8"/>
      <c r="E1221" s="8"/>
      <c r="F1221" s="8"/>
      <c r="G1221" s="8"/>
      <c r="H1221" s="8"/>
      <c r="I1221" s="10"/>
      <c r="J1221" s="10"/>
      <c r="K1221" s="18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ht="14.25" customHeight="1">
      <c r="A1222" s="9"/>
      <c r="B1222" s="8"/>
      <c r="C1222" s="8"/>
      <c r="D1222" s="8"/>
      <c r="E1222" s="8"/>
      <c r="F1222" s="8"/>
      <c r="G1222" s="8"/>
      <c r="H1222" s="8"/>
      <c r="I1222" s="10"/>
      <c r="J1222" s="10"/>
      <c r="K1222" s="18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ht="14.25" customHeight="1">
      <c r="A1223" s="9"/>
      <c r="B1223" s="8"/>
      <c r="C1223" s="8"/>
      <c r="D1223" s="8"/>
      <c r="E1223" s="8"/>
      <c r="F1223" s="8"/>
      <c r="G1223" s="8"/>
      <c r="H1223" s="8"/>
      <c r="I1223" s="10"/>
      <c r="J1223" s="10"/>
      <c r="K1223" s="18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ht="14.25" customHeight="1">
      <c r="A1224" s="9"/>
      <c r="B1224" s="8"/>
      <c r="C1224" s="8"/>
      <c r="D1224" s="8"/>
      <c r="E1224" s="8"/>
      <c r="F1224" s="8"/>
      <c r="G1224" s="8"/>
      <c r="H1224" s="8"/>
      <c r="I1224" s="10"/>
      <c r="J1224" s="10"/>
      <c r="K1224" s="18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ht="14.25" customHeight="1">
      <c r="A1225" s="9"/>
      <c r="B1225" s="8"/>
      <c r="C1225" s="8"/>
      <c r="D1225" s="8"/>
      <c r="E1225" s="8"/>
      <c r="F1225" s="8"/>
      <c r="G1225" s="8"/>
      <c r="H1225" s="8"/>
      <c r="I1225" s="10"/>
      <c r="J1225" s="10"/>
      <c r="K1225" s="18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ht="14.25" customHeight="1">
      <c r="A1226" s="9"/>
      <c r="B1226" s="8"/>
      <c r="C1226" s="8"/>
      <c r="D1226" s="8"/>
      <c r="E1226" s="8"/>
      <c r="F1226" s="8"/>
      <c r="G1226" s="8"/>
      <c r="H1226" s="8"/>
      <c r="I1226" s="10"/>
      <c r="J1226" s="10"/>
      <c r="K1226" s="18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ht="14.25" customHeight="1">
      <c r="A1227" s="9"/>
      <c r="B1227" s="8"/>
      <c r="C1227" s="8"/>
      <c r="D1227" s="8"/>
      <c r="E1227" s="8"/>
      <c r="F1227" s="8"/>
      <c r="G1227" s="8"/>
      <c r="H1227" s="8"/>
      <c r="I1227" s="10"/>
      <c r="J1227" s="10"/>
      <c r="K1227" s="18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ht="14.25" customHeight="1">
      <c r="A1228" s="9"/>
      <c r="B1228" s="8"/>
      <c r="C1228" s="8"/>
      <c r="D1228" s="8"/>
      <c r="E1228" s="8"/>
      <c r="F1228" s="8"/>
      <c r="G1228" s="8"/>
      <c r="H1228" s="8"/>
      <c r="I1228" s="10"/>
      <c r="J1228" s="10"/>
      <c r="K1228" s="18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ht="14.25" customHeight="1">
      <c r="A1229" s="9"/>
      <c r="B1229" s="8"/>
      <c r="C1229" s="8"/>
      <c r="D1229" s="8"/>
      <c r="E1229" s="8"/>
      <c r="F1229" s="8"/>
      <c r="G1229" s="8"/>
      <c r="H1229" s="8"/>
      <c r="I1229" s="10"/>
      <c r="J1229" s="10"/>
      <c r="K1229" s="18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ht="14.25" customHeight="1">
      <c r="A1230" s="9"/>
      <c r="B1230" s="8"/>
      <c r="C1230" s="8"/>
      <c r="D1230" s="8"/>
      <c r="E1230" s="8"/>
      <c r="F1230" s="8"/>
      <c r="G1230" s="8"/>
      <c r="H1230" s="8"/>
      <c r="I1230" s="10"/>
      <c r="J1230" s="10"/>
      <c r="K1230" s="18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ht="14.25" customHeight="1">
      <c r="A1231" s="9"/>
      <c r="B1231" s="8"/>
      <c r="C1231" s="8"/>
      <c r="D1231" s="8"/>
      <c r="E1231" s="8"/>
      <c r="F1231" s="8"/>
      <c r="G1231" s="8"/>
      <c r="H1231" s="8"/>
      <c r="I1231" s="10"/>
      <c r="J1231" s="10"/>
      <c r="K1231" s="18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ht="14.25" customHeight="1">
      <c r="A1232" s="9"/>
      <c r="B1232" s="8"/>
      <c r="C1232" s="8"/>
      <c r="D1232" s="8"/>
      <c r="E1232" s="8"/>
      <c r="F1232" s="8"/>
      <c r="G1232" s="8"/>
      <c r="H1232" s="8"/>
      <c r="I1232" s="10"/>
      <c r="J1232" s="10"/>
      <c r="K1232" s="18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ht="14.25" customHeight="1">
      <c r="A1233" s="9"/>
      <c r="B1233" s="8"/>
      <c r="C1233" s="8"/>
      <c r="D1233" s="8"/>
      <c r="E1233" s="8"/>
      <c r="F1233" s="8"/>
      <c r="G1233" s="8"/>
      <c r="H1233" s="8"/>
      <c r="I1233" s="10"/>
      <c r="J1233" s="10"/>
      <c r="K1233" s="18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ht="14.25" customHeight="1">
      <c r="A1234" s="9"/>
      <c r="B1234" s="8"/>
      <c r="C1234" s="8"/>
      <c r="D1234" s="8"/>
      <c r="E1234" s="8"/>
      <c r="F1234" s="8"/>
      <c r="G1234" s="8"/>
      <c r="H1234" s="8"/>
      <c r="I1234" s="10"/>
      <c r="J1234" s="10"/>
      <c r="K1234" s="18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ht="14.25" customHeight="1">
      <c r="A1235" s="9"/>
      <c r="B1235" s="8"/>
      <c r="C1235" s="8"/>
      <c r="D1235" s="8"/>
      <c r="E1235" s="8"/>
      <c r="F1235" s="8"/>
      <c r="G1235" s="8"/>
      <c r="H1235" s="8"/>
      <c r="I1235" s="10"/>
      <c r="J1235" s="10"/>
      <c r="K1235" s="18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ht="14.25" customHeight="1">
      <c r="A1236" s="9"/>
      <c r="B1236" s="8"/>
      <c r="C1236" s="8"/>
      <c r="D1236" s="8"/>
      <c r="E1236" s="8"/>
      <c r="F1236" s="8"/>
      <c r="G1236" s="8"/>
      <c r="H1236" s="8"/>
      <c r="I1236" s="10"/>
      <c r="J1236" s="10"/>
      <c r="K1236" s="18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ht="14.25" customHeight="1">
      <c r="A1237" s="9"/>
      <c r="B1237" s="8"/>
      <c r="C1237" s="8"/>
      <c r="D1237" s="8"/>
      <c r="E1237" s="8"/>
      <c r="F1237" s="8"/>
      <c r="G1237" s="8"/>
      <c r="H1237" s="8"/>
      <c r="I1237" s="10"/>
      <c r="J1237" s="10"/>
      <c r="K1237" s="18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ht="14.25" customHeight="1">
      <c r="A1238" s="9"/>
      <c r="B1238" s="8"/>
      <c r="C1238" s="8"/>
      <c r="D1238" s="8"/>
      <c r="E1238" s="8"/>
      <c r="F1238" s="8"/>
      <c r="G1238" s="8"/>
      <c r="H1238" s="8"/>
      <c r="I1238" s="10"/>
      <c r="J1238" s="10"/>
      <c r="K1238" s="18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ht="14.25" customHeight="1">
      <c r="A1239" s="9"/>
      <c r="B1239" s="8"/>
      <c r="C1239" s="8"/>
      <c r="D1239" s="8"/>
      <c r="E1239" s="8"/>
      <c r="F1239" s="8"/>
      <c r="G1239" s="8"/>
      <c r="H1239" s="8"/>
      <c r="I1239" s="10"/>
      <c r="J1239" s="10"/>
      <c r="K1239" s="18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ht="14.25" customHeight="1">
      <c r="A1240" s="9"/>
      <c r="B1240" s="8"/>
      <c r="C1240" s="8"/>
      <c r="D1240" s="8"/>
      <c r="E1240" s="8"/>
      <c r="F1240" s="8"/>
      <c r="G1240" s="8"/>
      <c r="H1240" s="8"/>
      <c r="I1240" s="10"/>
      <c r="J1240" s="10"/>
      <c r="K1240" s="18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ht="14.25" customHeight="1">
      <c r="A1241" s="9"/>
      <c r="B1241" s="8"/>
      <c r="C1241" s="8"/>
      <c r="D1241" s="8"/>
      <c r="E1241" s="8"/>
      <c r="F1241" s="8"/>
      <c r="G1241" s="8"/>
      <c r="H1241" s="8"/>
      <c r="I1241" s="10"/>
      <c r="J1241" s="10"/>
      <c r="K1241" s="18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ht="14.25" customHeight="1">
      <c r="A1242" s="9"/>
      <c r="B1242" s="8"/>
      <c r="C1242" s="8"/>
      <c r="D1242" s="8"/>
      <c r="E1242" s="8"/>
      <c r="F1242" s="8"/>
      <c r="G1242" s="8"/>
      <c r="H1242" s="8"/>
      <c r="I1242" s="10"/>
      <c r="J1242" s="10"/>
      <c r="K1242" s="18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ht="14.25" customHeight="1">
      <c r="A1243" s="9"/>
      <c r="B1243" s="8"/>
      <c r="C1243" s="8"/>
      <c r="D1243" s="8"/>
      <c r="E1243" s="8"/>
      <c r="F1243" s="8"/>
      <c r="G1243" s="8"/>
      <c r="H1243" s="8"/>
      <c r="I1243" s="10"/>
      <c r="J1243" s="10"/>
      <c r="K1243" s="18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ht="14.25" customHeight="1">
      <c r="A1244" s="9"/>
      <c r="B1244" s="8"/>
      <c r="C1244" s="8"/>
      <c r="D1244" s="8"/>
      <c r="E1244" s="8"/>
      <c r="F1244" s="8"/>
      <c r="G1244" s="8"/>
      <c r="H1244" s="8"/>
      <c r="I1244" s="10"/>
      <c r="J1244" s="10"/>
      <c r="K1244" s="18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ht="14.25" customHeight="1">
      <c r="A1245" s="9"/>
      <c r="B1245" s="8"/>
      <c r="C1245" s="8"/>
      <c r="D1245" s="8"/>
      <c r="E1245" s="8"/>
      <c r="F1245" s="8"/>
      <c r="G1245" s="8"/>
      <c r="H1245" s="8"/>
      <c r="I1245" s="10"/>
      <c r="J1245" s="10"/>
      <c r="K1245" s="18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ht="14.25" customHeight="1">
      <c r="A1246" s="9"/>
      <c r="B1246" s="8"/>
      <c r="C1246" s="8"/>
      <c r="D1246" s="8"/>
      <c r="E1246" s="8"/>
      <c r="F1246" s="8"/>
      <c r="G1246" s="8"/>
      <c r="H1246" s="8"/>
      <c r="I1246" s="10"/>
      <c r="J1246" s="10"/>
      <c r="K1246" s="18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ht="14.25" customHeight="1">
      <c r="A1247" s="9"/>
      <c r="B1247" s="8"/>
      <c r="C1247" s="8"/>
      <c r="D1247" s="8"/>
      <c r="E1247" s="8"/>
      <c r="F1247" s="8"/>
      <c r="G1247" s="8"/>
      <c r="H1247" s="8"/>
      <c r="I1247" s="10"/>
      <c r="J1247" s="10"/>
      <c r="K1247" s="18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ht="14.25" customHeight="1">
      <c r="A1248" s="9"/>
      <c r="B1248" s="8"/>
      <c r="C1248" s="8"/>
      <c r="D1248" s="8"/>
      <c r="E1248" s="8"/>
      <c r="F1248" s="8"/>
      <c r="G1248" s="8"/>
      <c r="H1248" s="8"/>
      <c r="I1248" s="10"/>
      <c r="J1248" s="10"/>
      <c r="K1248" s="18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ht="14.25" customHeight="1">
      <c r="A1249" s="9"/>
      <c r="B1249" s="8"/>
      <c r="C1249" s="8"/>
      <c r="D1249" s="8"/>
      <c r="E1249" s="8"/>
      <c r="F1249" s="8"/>
      <c r="G1249" s="8"/>
      <c r="H1249" s="8"/>
      <c r="I1249" s="10"/>
      <c r="J1249" s="10"/>
      <c r="K1249" s="18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ht="14.25" customHeight="1">
      <c r="A1250" s="9"/>
      <c r="B1250" s="8"/>
      <c r="C1250" s="8"/>
      <c r="D1250" s="8"/>
      <c r="E1250" s="8"/>
      <c r="F1250" s="8"/>
      <c r="G1250" s="8"/>
      <c r="H1250" s="8"/>
      <c r="I1250" s="10"/>
      <c r="J1250" s="10"/>
      <c r="K1250" s="18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ht="14.25" customHeight="1">
      <c r="A1251" s="9"/>
      <c r="B1251" s="8"/>
      <c r="C1251" s="8"/>
      <c r="D1251" s="8"/>
      <c r="E1251" s="8"/>
      <c r="F1251" s="8"/>
      <c r="G1251" s="8"/>
      <c r="H1251" s="8"/>
      <c r="I1251" s="10"/>
      <c r="J1251" s="10"/>
      <c r="K1251" s="18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ht="14.25" customHeight="1">
      <c r="A1252" s="9"/>
      <c r="B1252" s="8"/>
      <c r="C1252" s="8"/>
      <c r="D1252" s="8"/>
      <c r="E1252" s="8"/>
      <c r="F1252" s="8"/>
      <c r="G1252" s="8"/>
      <c r="H1252" s="8"/>
      <c r="I1252" s="10"/>
      <c r="J1252" s="10"/>
      <c r="K1252" s="18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ht="14.25" customHeight="1">
      <c r="A1253" s="9"/>
      <c r="B1253" s="8"/>
      <c r="C1253" s="8"/>
      <c r="D1253" s="8"/>
      <c r="E1253" s="8"/>
      <c r="F1253" s="8"/>
      <c r="G1253" s="8"/>
      <c r="H1253" s="8"/>
      <c r="I1253" s="10"/>
      <c r="J1253" s="10"/>
      <c r="K1253" s="18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ht="14.25" customHeight="1">
      <c r="A1254" s="9"/>
      <c r="B1254" s="8"/>
      <c r="C1254" s="8"/>
      <c r="D1254" s="8"/>
      <c r="E1254" s="8"/>
      <c r="F1254" s="8"/>
      <c r="G1254" s="8"/>
      <c r="H1254" s="8"/>
      <c r="I1254" s="10"/>
      <c r="J1254" s="10"/>
      <c r="K1254" s="18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ht="14.25" customHeight="1">
      <c r="A1255" s="9"/>
      <c r="B1255" s="8"/>
      <c r="C1255" s="8"/>
      <c r="D1255" s="8"/>
      <c r="E1255" s="8"/>
      <c r="F1255" s="8"/>
      <c r="G1255" s="8"/>
      <c r="H1255" s="8"/>
      <c r="I1255" s="10"/>
      <c r="J1255" s="10"/>
      <c r="K1255" s="18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ht="14.25" customHeight="1">
      <c r="A1256" s="9"/>
      <c r="B1256" s="8"/>
      <c r="C1256" s="8"/>
      <c r="D1256" s="8"/>
      <c r="E1256" s="8"/>
      <c r="F1256" s="8"/>
      <c r="G1256" s="8"/>
      <c r="H1256" s="8"/>
      <c r="I1256" s="10"/>
      <c r="J1256" s="10"/>
      <c r="K1256" s="18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ht="14.25" customHeight="1">
      <c r="A1257" s="9"/>
      <c r="B1257" s="8"/>
      <c r="C1257" s="8"/>
      <c r="D1257" s="8"/>
      <c r="E1257" s="8"/>
      <c r="F1257" s="8"/>
      <c r="G1257" s="8"/>
      <c r="H1257" s="8"/>
      <c r="I1257" s="10"/>
      <c r="J1257" s="10"/>
      <c r="K1257" s="18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ht="14.25" customHeight="1">
      <c r="A1258" s="12"/>
      <c r="B1258" s="12"/>
      <c r="C1258" s="12"/>
      <c r="D1258" s="12"/>
      <c r="E1258" s="12"/>
      <c r="F1258" s="12"/>
      <c r="G1258" s="12"/>
      <c r="H1258" s="12"/>
      <c r="I1258" s="20"/>
      <c r="J1258" s="20"/>
      <c r="K1258" s="21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ht="14.25" customHeight="1">
      <c r="A1259" s="12"/>
      <c r="B1259" s="12"/>
      <c r="C1259" s="12"/>
      <c r="D1259" s="12"/>
      <c r="E1259" s="12"/>
      <c r="F1259" s="12"/>
      <c r="G1259" s="12"/>
      <c r="H1259" s="12"/>
      <c r="I1259" s="20"/>
      <c r="J1259" s="20"/>
      <c r="K1259" s="21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ht="14.25" customHeight="1">
      <c r="A1260" s="12"/>
      <c r="B1260" s="12"/>
      <c r="C1260" s="12"/>
      <c r="D1260" s="12"/>
      <c r="E1260" s="12"/>
      <c r="F1260" s="12"/>
      <c r="G1260" s="12"/>
      <c r="H1260" s="12"/>
      <c r="I1260" s="20"/>
      <c r="J1260" s="20"/>
      <c r="K1260" s="21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ht="14.25" customHeight="1">
      <c r="A1261" s="12"/>
      <c r="B1261" s="12"/>
      <c r="C1261" s="12"/>
      <c r="D1261" s="12"/>
      <c r="E1261" s="12"/>
      <c r="F1261" s="12"/>
      <c r="G1261" s="12"/>
      <c r="H1261" s="12"/>
      <c r="I1261" s="20"/>
      <c r="J1261" s="20"/>
      <c r="K1261" s="21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ht="14.25" customHeight="1">
      <c r="A1262" s="12"/>
      <c r="B1262" s="12"/>
      <c r="C1262" s="12"/>
      <c r="D1262" s="12"/>
      <c r="E1262" s="12"/>
      <c r="F1262" s="12"/>
      <c r="G1262" s="12"/>
      <c r="H1262" s="12"/>
      <c r="I1262" s="20"/>
      <c r="J1262" s="20"/>
      <c r="K1262" s="21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ht="14.25" customHeight="1">
      <c r="A1263" s="12"/>
      <c r="B1263" s="12"/>
      <c r="C1263" s="12"/>
      <c r="D1263" s="12"/>
      <c r="E1263" s="12"/>
      <c r="F1263" s="12"/>
      <c r="G1263" s="12"/>
      <c r="H1263" s="12"/>
      <c r="I1263" s="20"/>
      <c r="J1263" s="20"/>
      <c r="K1263" s="21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ht="14.25" customHeight="1">
      <c r="A1264" s="12"/>
      <c r="B1264" s="12"/>
      <c r="C1264" s="12"/>
      <c r="D1264" s="12"/>
      <c r="E1264" s="12"/>
      <c r="F1264" s="12"/>
      <c r="G1264" s="12"/>
      <c r="H1264" s="12"/>
      <c r="I1264" s="20"/>
      <c r="J1264" s="20"/>
      <c r="K1264" s="21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ht="14.25" customHeight="1">
      <c r="A1265" s="12"/>
      <c r="B1265" s="12"/>
      <c r="C1265" s="12"/>
      <c r="D1265" s="12"/>
      <c r="E1265" s="12"/>
      <c r="F1265" s="12"/>
      <c r="G1265" s="12"/>
      <c r="H1265" s="12"/>
      <c r="I1265" s="20"/>
      <c r="J1265" s="20"/>
      <c r="K1265" s="21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ht="14.25" customHeight="1">
      <c r="A1266" s="22"/>
      <c r="B1266" s="3"/>
      <c r="C1266" s="3"/>
      <c r="D1266" s="3"/>
      <c r="E1266" s="3"/>
      <c r="F1266" s="3"/>
      <c r="G1266" s="3"/>
      <c r="H1266" s="3"/>
      <c r="I1266" s="2"/>
      <c r="J1266" s="2"/>
      <c r="K1266" s="2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ht="14.25" customHeight="1">
      <c r="A1267" s="22"/>
      <c r="B1267" s="3"/>
      <c r="C1267" s="3"/>
      <c r="D1267" s="3"/>
      <c r="E1267" s="3"/>
      <c r="F1267" s="3"/>
      <c r="G1267" s="3"/>
      <c r="H1267" s="3"/>
      <c r="I1267" s="2"/>
      <c r="J1267" s="2"/>
      <c r="K1267" s="2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ht="14.25" customHeight="1">
      <c r="A1268" s="22"/>
      <c r="B1268" s="3"/>
      <c r="C1268" s="3"/>
      <c r="D1268" s="3"/>
      <c r="E1268" s="3"/>
      <c r="F1268" s="3"/>
      <c r="G1268" s="3"/>
      <c r="H1268" s="3"/>
      <c r="I1268" s="2"/>
      <c r="J1268" s="2"/>
      <c r="K1268" s="2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ht="14.25" customHeight="1">
      <c r="A1269" s="22"/>
      <c r="B1269" s="3"/>
      <c r="C1269" s="3"/>
      <c r="D1269" s="3"/>
      <c r="E1269" s="3"/>
      <c r="F1269" s="3"/>
      <c r="G1269" s="3"/>
      <c r="H1269" s="3"/>
      <c r="I1269" s="2"/>
      <c r="J1269" s="2"/>
      <c r="K1269" s="2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ht="14.25" customHeight="1">
      <c r="A1270" s="22"/>
      <c r="B1270" s="3"/>
      <c r="C1270" s="3"/>
      <c r="D1270" s="3"/>
      <c r="E1270" s="3"/>
      <c r="F1270" s="3"/>
      <c r="G1270" s="3"/>
      <c r="H1270" s="3"/>
      <c r="I1270" s="2"/>
      <c r="J1270" s="2"/>
      <c r="K1270" s="2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ht="14.25" customHeight="1">
      <c r="A1271" s="22"/>
      <c r="B1271" s="3"/>
      <c r="C1271" s="3"/>
      <c r="D1271" s="3"/>
      <c r="E1271" s="3"/>
      <c r="F1271" s="3"/>
      <c r="G1271" s="3"/>
      <c r="H1271" s="3"/>
      <c r="I1271" s="2"/>
      <c r="J1271" s="2"/>
      <c r="K1271" s="2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ht="14.25" customHeight="1">
      <c r="A1272" s="22"/>
      <c r="B1272" s="3"/>
      <c r="C1272" s="3"/>
      <c r="D1272" s="3"/>
      <c r="E1272" s="3"/>
      <c r="F1272" s="3"/>
      <c r="G1272" s="3"/>
      <c r="H1272" s="3"/>
      <c r="I1272" s="2"/>
      <c r="J1272" s="2"/>
      <c r="K1272" s="2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ht="14.25" customHeight="1">
      <c r="A1273" s="9"/>
      <c r="B1273" s="8"/>
      <c r="C1273" s="8"/>
      <c r="D1273" s="8"/>
      <c r="E1273" s="8"/>
      <c r="F1273" s="8"/>
      <c r="G1273" s="8"/>
      <c r="H1273" s="8"/>
      <c r="I1273" s="10"/>
      <c r="J1273" s="10"/>
      <c r="K1273" s="18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ht="14.25" customHeight="1">
      <c r="A1274" s="9"/>
      <c r="B1274" s="8"/>
      <c r="C1274" s="8"/>
      <c r="D1274" s="8"/>
      <c r="E1274" s="8"/>
      <c r="F1274" s="8"/>
      <c r="G1274" s="8"/>
      <c r="H1274" s="8"/>
      <c r="I1274" s="10"/>
      <c r="J1274" s="10"/>
      <c r="K1274" s="18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ht="14.25" customHeight="1">
      <c r="A1275" s="9"/>
      <c r="B1275" s="8"/>
      <c r="C1275" s="8"/>
      <c r="D1275" s="8"/>
      <c r="E1275" s="8"/>
      <c r="F1275" s="8"/>
      <c r="G1275" s="8"/>
      <c r="H1275" s="8"/>
      <c r="I1275" s="10"/>
      <c r="J1275" s="10"/>
      <c r="K1275" s="18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ht="14.25" customHeight="1">
      <c r="A1276" s="9"/>
      <c r="B1276" s="8"/>
      <c r="C1276" s="8"/>
      <c r="D1276" s="8"/>
      <c r="E1276" s="8"/>
      <c r="F1276" s="8"/>
      <c r="G1276" s="8"/>
      <c r="H1276" s="8"/>
      <c r="I1276" s="10"/>
      <c r="J1276" s="10"/>
      <c r="K1276" s="18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ht="14.25" customHeight="1">
      <c r="A1277" s="9"/>
      <c r="B1277" s="8"/>
      <c r="C1277" s="8"/>
      <c r="D1277" s="8"/>
      <c r="E1277" s="8"/>
      <c r="F1277" s="8"/>
      <c r="G1277" s="8"/>
      <c r="H1277" s="8"/>
      <c r="I1277" s="10"/>
      <c r="J1277" s="10"/>
      <c r="K1277" s="18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ht="14.25" customHeight="1">
      <c r="A1278" s="9"/>
      <c r="B1278" s="8"/>
      <c r="C1278" s="8"/>
      <c r="D1278" s="8"/>
      <c r="E1278" s="8"/>
      <c r="F1278" s="8"/>
      <c r="G1278" s="8"/>
      <c r="H1278" s="8"/>
      <c r="I1278" s="10"/>
      <c r="J1278" s="10"/>
      <c r="K1278" s="18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ht="14.25" customHeight="1">
      <c r="A1279" s="9"/>
      <c r="B1279" s="8"/>
      <c r="C1279" s="8"/>
      <c r="D1279" s="8"/>
      <c r="E1279" s="8"/>
      <c r="F1279" s="8"/>
      <c r="G1279" s="8"/>
      <c r="H1279" s="8"/>
      <c r="I1279" s="10"/>
      <c r="J1279" s="10"/>
      <c r="K1279" s="18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ht="14.25" customHeight="1">
      <c r="A1280" s="9"/>
      <c r="B1280" s="8"/>
      <c r="C1280" s="8"/>
      <c r="D1280" s="8"/>
      <c r="E1280" s="8"/>
      <c r="F1280" s="8"/>
      <c r="G1280" s="8"/>
      <c r="H1280" s="8"/>
      <c r="I1280" s="10"/>
      <c r="J1280" s="10"/>
      <c r="K1280" s="18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ht="14.25" customHeight="1">
      <c r="A1281" s="9"/>
      <c r="B1281" s="8"/>
      <c r="C1281" s="8"/>
      <c r="D1281" s="8"/>
      <c r="E1281" s="8"/>
      <c r="F1281" s="8"/>
      <c r="G1281" s="8"/>
      <c r="H1281" s="8"/>
      <c r="I1281" s="10"/>
      <c r="J1281" s="10"/>
      <c r="K1281" s="18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ht="14.25" customHeight="1">
      <c r="A1282" s="9"/>
      <c r="B1282" s="8"/>
      <c r="C1282" s="8"/>
      <c r="D1282" s="8"/>
      <c r="E1282" s="8"/>
      <c r="F1282" s="8"/>
      <c r="G1282" s="8"/>
      <c r="H1282" s="8"/>
      <c r="I1282" s="10"/>
      <c r="J1282" s="10"/>
      <c r="K1282" s="18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ht="14.25" customHeight="1">
      <c r="A1283" s="9"/>
      <c r="B1283" s="8"/>
      <c r="C1283" s="8"/>
      <c r="D1283" s="8"/>
      <c r="E1283" s="8"/>
      <c r="F1283" s="8"/>
      <c r="G1283" s="8"/>
      <c r="H1283" s="8"/>
      <c r="I1283" s="10"/>
      <c r="J1283" s="10"/>
      <c r="K1283" s="18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ht="14.25" customHeight="1">
      <c r="A1284" s="9"/>
      <c r="B1284" s="8"/>
      <c r="C1284" s="8"/>
      <c r="D1284" s="8"/>
      <c r="E1284" s="8"/>
      <c r="F1284" s="8"/>
      <c r="G1284" s="8"/>
      <c r="H1284" s="8"/>
      <c r="I1284" s="10"/>
      <c r="J1284" s="10"/>
      <c r="K1284" s="18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ht="14.25" customHeight="1">
      <c r="A1285" s="9"/>
      <c r="B1285" s="8"/>
      <c r="C1285" s="8"/>
      <c r="D1285" s="8"/>
      <c r="E1285" s="8"/>
      <c r="F1285" s="8"/>
      <c r="G1285" s="8"/>
      <c r="H1285" s="8"/>
      <c r="I1285" s="10"/>
      <c r="J1285" s="10"/>
      <c r="K1285" s="18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ht="14.25" customHeight="1">
      <c r="A1286" s="9"/>
      <c r="B1286" s="8"/>
      <c r="C1286" s="8"/>
      <c r="D1286" s="8"/>
      <c r="E1286" s="8"/>
      <c r="F1286" s="8"/>
      <c r="G1286" s="8"/>
      <c r="H1286" s="8"/>
      <c r="I1286" s="10"/>
      <c r="J1286" s="10"/>
      <c r="K1286" s="18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ht="14.25" customHeight="1">
      <c r="A1287" s="9"/>
      <c r="B1287" s="8"/>
      <c r="C1287" s="8"/>
      <c r="D1287" s="8"/>
      <c r="E1287" s="8"/>
      <c r="F1287" s="8"/>
      <c r="G1287" s="8"/>
      <c r="H1287" s="8"/>
      <c r="I1287" s="10"/>
      <c r="J1287" s="10"/>
      <c r="K1287" s="18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ht="14.25" customHeight="1">
      <c r="A1288" s="9"/>
      <c r="B1288" s="8"/>
      <c r="C1288" s="8"/>
      <c r="D1288" s="8"/>
      <c r="E1288" s="8"/>
      <c r="F1288" s="8"/>
      <c r="G1288" s="8"/>
      <c r="H1288" s="8"/>
      <c r="I1288" s="10"/>
      <c r="J1288" s="10"/>
      <c r="K1288" s="18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 ht="14.25" customHeight="1">
      <c r="A1289" s="9"/>
      <c r="B1289" s="8"/>
      <c r="C1289" s="8"/>
      <c r="D1289" s="8"/>
      <c r="E1289" s="8"/>
      <c r="F1289" s="8"/>
      <c r="G1289" s="8"/>
      <c r="H1289" s="8"/>
      <c r="I1289" s="10"/>
      <c r="J1289" s="10"/>
      <c r="K1289" s="18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 ht="14.25" customHeight="1">
      <c r="A1290" s="9"/>
      <c r="B1290" s="8"/>
      <c r="C1290" s="8"/>
      <c r="D1290" s="8"/>
      <c r="E1290" s="8"/>
      <c r="F1290" s="8"/>
      <c r="G1290" s="8"/>
      <c r="H1290" s="8"/>
      <c r="I1290" s="10"/>
      <c r="J1290" s="10"/>
      <c r="K1290" s="18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</row>
    <row r="1291" ht="14.25" customHeight="1">
      <c r="A1291" s="9"/>
      <c r="B1291" s="8"/>
      <c r="C1291" s="8"/>
      <c r="D1291" s="8"/>
      <c r="E1291" s="8"/>
      <c r="F1291" s="8"/>
      <c r="G1291" s="8"/>
      <c r="H1291" s="8"/>
      <c r="I1291" s="10"/>
      <c r="J1291" s="10"/>
      <c r="K1291" s="18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 ht="14.25" customHeight="1">
      <c r="A1292" s="9"/>
      <c r="B1292" s="8"/>
      <c r="C1292" s="8"/>
      <c r="D1292" s="8"/>
      <c r="E1292" s="8"/>
      <c r="F1292" s="8"/>
      <c r="G1292" s="8"/>
      <c r="H1292" s="8"/>
      <c r="I1292" s="10"/>
      <c r="J1292" s="10"/>
      <c r="K1292" s="18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</row>
    <row r="1293" ht="14.25" customHeight="1">
      <c r="A1293" s="9"/>
      <c r="B1293" s="8"/>
      <c r="C1293" s="8"/>
      <c r="D1293" s="8"/>
      <c r="E1293" s="8"/>
      <c r="F1293" s="8"/>
      <c r="G1293" s="8"/>
      <c r="H1293" s="8"/>
      <c r="I1293" s="10"/>
      <c r="J1293" s="10"/>
      <c r="K1293" s="18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ht="14.25" customHeight="1">
      <c r="A1294" s="9"/>
      <c r="B1294" s="8"/>
      <c r="C1294" s="8"/>
      <c r="D1294" s="8"/>
      <c r="E1294" s="8"/>
      <c r="F1294" s="8"/>
      <c r="G1294" s="8"/>
      <c r="H1294" s="8"/>
      <c r="I1294" s="10"/>
      <c r="J1294" s="10"/>
      <c r="K1294" s="18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 ht="14.25" customHeight="1">
      <c r="A1295" s="9"/>
      <c r="B1295" s="8"/>
      <c r="C1295" s="8"/>
      <c r="D1295" s="8"/>
      <c r="E1295" s="8"/>
      <c r="F1295" s="8"/>
      <c r="G1295" s="8"/>
      <c r="H1295" s="8"/>
      <c r="I1295" s="10"/>
      <c r="J1295" s="10"/>
      <c r="K1295" s="18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 ht="14.25" customHeight="1">
      <c r="A1296" s="9"/>
      <c r="B1296" s="8"/>
      <c r="C1296" s="8"/>
      <c r="D1296" s="8"/>
      <c r="E1296" s="8"/>
      <c r="F1296" s="8"/>
      <c r="G1296" s="8"/>
      <c r="H1296" s="8"/>
      <c r="I1296" s="10"/>
      <c r="J1296" s="10"/>
      <c r="K1296" s="18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 ht="14.25" customHeight="1">
      <c r="A1297" s="9"/>
      <c r="B1297" s="8"/>
      <c r="C1297" s="8"/>
      <c r="D1297" s="8"/>
      <c r="E1297" s="8"/>
      <c r="F1297" s="8"/>
      <c r="G1297" s="8"/>
      <c r="H1297" s="8"/>
      <c r="I1297" s="10"/>
      <c r="J1297" s="10"/>
      <c r="K1297" s="18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</row>
    <row r="1298" ht="14.25" customHeight="1">
      <c r="A1298" s="9"/>
      <c r="B1298" s="8"/>
      <c r="C1298" s="8"/>
      <c r="D1298" s="8"/>
      <c r="E1298" s="8"/>
      <c r="F1298" s="8"/>
      <c r="G1298" s="8"/>
      <c r="H1298" s="8"/>
      <c r="I1298" s="10"/>
      <c r="J1298" s="10"/>
      <c r="K1298" s="18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ht="14.25" customHeight="1">
      <c r="A1299" s="9"/>
      <c r="B1299" s="8"/>
      <c r="C1299" s="8"/>
      <c r="D1299" s="8"/>
      <c r="E1299" s="8"/>
      <c r="F1299" s="8"/>
      <c r="G1299" s="8"/>
      <c r="H1299" s="8"/>
      <c r="I1299" s="10"/>
      <c r="J1299" s="10"/>
      <c r="K1299" s="18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</row>
    <row r="1300" ht="14.25" customHeight="1">
      <c r="A1300" s="9"/>
      <c r="B1300" s="8"/>
      <c r="C1300" s="8"/>
      <c r="D1300" s="8"/>
      <c r="E1300" s="8"/>
      <c r="F1300" s="8"/>
      <c r="G1300" s="8"/>
      <c r="H1300" s="8"/>
      <c r="I1300" s="10"/>
      <c r="J1300" s="10"/>
      <c r="K1300" s="18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 ht="14.25" customHeight="1">
      <c r="A1301" s="9"/>
      <c r="B1301" s="8"/>
      <c r="C1301" s="8"/>
      <c r="D1301" s="8"/>
      <c r="E1301" s="8"/>
      <c r="F1301" s="8"/>
      <c r="G1301" s="8"/>
      <c r="H1301" s="8"/>
      <c r="I1301" s="10"/>
      <c r="J1301" s="10"/>
      <c r="K1301" s="18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 ht="14.25" customHeight="1">
      <c r="A1302" s="9"/>
      <c r="B1302" s="8"/>
      <c r="C1302" s="8"/>
      <c r="D1302" s="8"/>
      <c r="E1302" s="8"/>
      <c r="F1302" s="8"/>
      <c r="G1302" s="8"/>
      <c r="H1302" s="8"/>
      <c r="I1302" s="10"/>
      <c r="J1302" s="10"/>
      <c r="K1302" s="18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</row>
    <row r="1303" ht="14.25" customHeight="1">
      <c r="A1303" s="9"/>
      <c r="B1303" s="8"/>
      <c r="C1303" s="8"/>
      <c r="D1303" s="8"/>
      <c r="E1303" s="8"/>
      <c r="F1303" s="8"/>
      <c r="G1303" s="8"/>
      <c r="H1303" s="8"/>
      <c r="I1303" s="10"/>
      <c r="J1303" s="10"/>
      <c r="K1303" s="18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</row>
    <row r="1304" ht="14.25" customHeight="1">
      <c r="A1304" s="9"/>
      <c r="B1304" s="8"/>
      <c r="C1304" s="8"/>
      <c r="D1304" s="8"/>
      <c r="E1304" s="8"/>
      <c r="F1304" s="8"/>
      <c r="G1304" s="8"/>
      <c r="H1304" s="8"/>
      <c r="I1304" s="10"/>
      <c r="J1304" s="10"/>
      <c r="K1304" s="18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</row>
    <row r="1305" ht="14.25" customHeight="1">
      <c r="A1305" s="9"/>
      <c r="B1305" s="8"/>
      <c r="C1305" s="8"/>
      <c r="D1305" s="8"/>
      <c r="E1305" s="8"/>
      <c r="F1305" s="8"/>
      <c r="G1305" s="8"/>
      <c r="H1305" s="8"/>
      <c r="I1305" s="10"/>
      <c r="J1305" s="10"/>
      <c r="K1305" s="18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 ht="14.25" customHeight="1">
      <c r="A1306" s="9"/>
      <c r="B1306" s="8"/>
      <c r="C1306" s="8"/>
      <c r="D1306" s="8"/>
      <c r="E1306" s="8"/>
      <c r="F1306" s="8"/>
      <c r="G1306" s="8"/>
      <c r="H1306" s="8"/>
      <c r="I1306" s="10"/>
      <c r="J1306" s="10"/>
      <c r="K1306" s="18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 ht="14.25" customHeight="1">
      <c r="A1307" s="9"/>
      <c r="B1307" s="8"/>
      <c r="C1307" s="8"/>
      <c r="D1307" s="8"/>
      <c r="E1307" s="8"/>
      <c r="F1307" s="8"/>
      <c r="G1307" s="8"/>
      <c r="H1307" s="8"/>
      <c r="I1307" s="10"/>
      <c r="J1307" s="10"/>
      <c r="K1307" s="18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 ht="14.25" customHeight="1">
      <c r="A1308" s="9"/>
      <c r="B1308" s="8"/>
      <c r="C1308" s="8"/>
      <c r="D1308" s="8"/>
      <c r="E1308" s="8"/>
      <c r="F1308" s="8"/>
      <c r="G1308" s="8"/>
      <c r="H1308" s="8"/>
      <c r="I1308" s="10"/>
      <c r="J1308" s="10"/>
      <c r="K1308" s="18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</row>
    <row r="1309" ht="14.25" customHeight="1">
      <c r="A1309" s="9"/>
      <c r="B1309" s="8"/>
      <c r="C1309" s="8"/>
      <c r="D1309" s="8"/>
      <c r="E1309" s="8"/>
      <c r="F1309" s="8"/>
      <c r="G1309" s="8"/>
      <c r="H1309" s="8"/>
      <c r="I1309" s="10"/>
      <c r="J1309" s="10"/>
      <c r="K1309" s="18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</row>
    <row r="1310" ht="14.25" customHeight="1">
      <c r="A1310" s="9"/>
      <c r="B1310" s="8"/>
      <c r="C1310" s="8"/>
      <c r="D1310" s="8"/>
      <c r="E1310" s="8"/>
      <c r="F1310" s="8"/>
      <c r="G1310" s="8"/>
      <c r="H1310" s="8"/>
      <c r="I1310" s="10"/>
      <c r="J1310" s="10"/>
      <c r="K1310" s="18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 ht="14.25" customHeight="1">
      <c r="A1311" s="9"/>
      <c r="B1311" s="8"/>
      <c r="C1311" s="8"/>
      <c r="D1311" s="8"/>
      <c r="E1311" s="8"/>
      <c r="F1311" s="8"/>
      <c r="G1311" s="8"/>
      <c r="H1311" s="8"/>
      <c r="I1311" s="10"/>
      <c r="J1311" s="10"/>
      <c r="K1311" s="18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</row>
    <row r="1312" ht="14.25" customHeight="1">
      <c r="A1312" s="9"/>
      <c r="B1312" s="8"/>
      <c r="C1312" s="8"/>
      <c r="D1312" s="8"/>
      <c r="E1312" s="8"/>
      <c r="F1312" s="8"/>
      <c r="G1312" s="8"/>
      <c r="H1312" s="8"/>
      <c r="I1312" s="10"/>
      <c r="J1312" s="10"/>
      <c r="K1312" s="18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</row>
    <row r="1313" ht="14.25" customHeight="1">
      <c r="A1313" s="9"/>
      <c r="B1313" s="8"/>
      <c r="C1313" s="8"/>
      <c r="D1313" s="8"/>
      <c r="E1313" s="8"/>
      <c r="F1313" s="8"/>
      <c r="G1313" s="8"/>
      <c r="H1313" s="8"/>
      <c r="I1313" s="10"/>
      <c r="J1313" s="10"/>
      <c r="K1313" s="18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 ht="14.25" customHeight="1">
      <c r="A1314" s="9"/>
      <c r="B1314" s="8"/>
      <c r="C1314" s="8"/>
      <c r="D1314" s="8"/>
      <c r="E1314" s="8"/>
      <c r="F1314" s="8"/>
      <c r="G1314" s="8"/>
      <c r="H1314" s="8"/>
      <c r="I1314" s="10"/>
      <c r="J1314" s="10"/>
      <c r="K1314" s="18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</row>
    <row r="1315" ht="14.25" customHeight="1">
      <c r="A1315" s="9"/>
      <c r="B1315" s="8"/>
      <c r="C1315" s="8"/>
      <c r="D1315" s="8"/>
      <c r="E1315" s="8"/>
      <c r="F1315" s="8"/>
      <c r="G1315" s="8"/>
      <c r="H1315" s="8"/>
      <c r="I1315" s="10"/>
      <c r="J1315" s="10"/>
      <c r="K1315" s="18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</row>
    <row r="1316" ht="14.25" customHeight="1">
      <c r="A1316" s="9"/>
      <c r="B1316" s="8"/>
      <c r="C1316" s="8"/>
      <c r="D1316" s="8"/>
      <c r="E1316" s="8"/>
      <c r="F1316" s="8"/>
      <c r="G1316" s="8"/>
      <c r="H1316" s="8"/>
      <c r="I1316" s="10"/>
      <c r="J1316" s="10"/>
      <c r="K1316" s="18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</row>
    <row r="1317" ht="14.25" customHeight="1">
      <c r="A1317" s="9"/>
      <c r="B1317" s="8"/>
      <c r="C1317" s="8"/>
      <c r="D1317" s="8"/>
      <c r="E1317" s="8"/>
      <c r="F1317" s="8"/>
      <c r="G1317" s="8"/>
      <c r="H1317" s="8"/>
      <c r="I1317" s="10"/>
      <c r="J1317" s="10"/>
      <c r="K1317" s="18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</row>
    <row r="1318" ht="14.25" customHeight="1">
      <c r="A1318" s="9"/>
      <c r="B1318" s="8"/>
      <c r="C1318" s="8"/>
      <c r="D1318" s="8"/>
      <c r="E1318" s="8"/>
      <c r="F1318" s="8"/>
      <c r="G1318" s="8"/>
      <c r="H1318" s="8"/>
      <c r="I1318" s="10"/>
      <c r="J1318" s="10"/>
      <c r="K1318" s="18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</row>
    <row r="1319" ht="14.25" customHeight="1">
      <c r="A1319" s="9"/>
      <c r="B1319" s="8"/>
      <c r="C1319" s="8"/>
      <c r="D1319" s="8"/>
      <c r="E1319" s="8"/>
      <c r="F1319" s="8"/>
      <c r="G1319" s="8"/>
      <c r="H1319" s="8"/>
      <c r="I1319" s="10"/>
      <c r="J1319" s="10"/>
      <c r="K1319" s="18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</row>
    <row r="1320" ht="14.25" customHeight="1">
      <c r="A1320" s="9"/>
      <c r="B1320" s="8"/>
      <c r="C1320" s="8"/>
      <c r="D1320" s="8"/>
      <c r="E1320" s="8"/>
      <c r="F1320" s="8"/>
      <c r="G1320" s="8"/>
      <c r="H1320" s="8"/>
      <c r="I1320" s="10"/>
      <c r="J1320" s="10"/>
      <c r="K1320" s="18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</row>
    <row r="1321" ht="14.25" customHeight="1">
      <c r="A1321" s="9"/>
      <c r="B1321" s="8"/>
      <c r="C1321" s="8"/>
      <c r="D1321" s="8"/>
      <c r="E1321" s="8"/>
      <c r="F1321" s="8"/>
      <c r="G1321" s="8"/>
      <c r="H1321" s="8"/>
      <c r="I1321" s="10"/>
      <c r="J1321" s="10"/>
      <c r="K1321" s="18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</row>
    <row r="1322" ht="14.25" customHeight="1">
      <c r="A1322" s="9"/>
      <c r="B1322" s="8"/>
      <c r="C1322" s="8"/>
      <c r="D1322" s="8"/>
      <c r="E1322" s="8"/>
      <c r="F1322" s="8"/>
      <c r="G1322" s="8"/>
      <c r="H1322" s="8"/>
      <c r="I1322" s="10"/>
      <c r="J1322" s="10"/>
      <c r="K1322" s="18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</row>
    <row r="1323" ht="14.25" customHeight="1">
      <c r="A1323" s="9"/>
      <c r="B1323" s="8"/>
      <c r="C1323" s="8"/>
      <c r="D1323" s="8"/>
      <c r="E1323" s="8"/>
      <c r="F1323" s="8"/>
      <c r="G1323" s="8"/>
      <c r="H1323" s="8"/>
      <c r="I1323" s="10"/>
      <c r="J1323" s="10"/>
      <c r="K1323" s="18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</row>
    <row r="1324" ht="14.25" customHeight="1">
      <c r="A1324" s="9"/>
      <c r="B1324" s="8"/>
      <c r="C1324" s="8"/>
      <c r="D1324" s="8"/>
      <c r="E1324" s="8"/>
      <c r="F1324" s="8"/>
      <c r="G1324" s="8"/>
      <c r="H1324" s="8"/>
      <c r="I1324" s="10"/>
      <c r="J1324" s="10"/>
      <c r="K1324" s="18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</row>
    <row r="1325" ht="14.25" customHeight="1">
      <c r="A1325" s="9"/>
      <c r="B1325" s="8"/>
      <c r="C1325" s="8"/>
      <c r="D1325" s="8"/>
      <c r="E1325" s="8"/>
      <c r="F1325" s="8"/>
      <c r="G1325" s="8"/>
      <c r="H1325" s="8"/>
      <c r="I1325" s="10"/>
      <c r="J1325" s="10"/>
      <c r="K1325" s="18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</row>
    <row r="1326" ht="14.25" customHeight="1">
      <c r="A1326" s="9"/>
      <c r="B1326" s="8"/>
      <c r="C1326" s="8"/>
      <c r="D1326" s="8"/>
      <c r="E1326" s="8"/>
      <c r="F1326" s="8"/>
      <c r="G1326" s="8"/>
      <c r="H1326" s="8"/>
      <c r="I1326" s="10"/>
      <c r="J1326" s="10"/>
      <c r="K1326" s="18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</row>
    <row r="1327" ht="14.25" customHeight="1">
      <c r="A1327" s="9"/>
      <c r="B1327" s="8"/>
      <c r="C1327" s="8"/>
      <c r="D1327" s="8"/>
      <c r="E1327" s="8"/>
      <c r="F1327" s="8"/>
      <c r="G1327" s="8"/>
      <c r="H1327" s="8"/>
      <c r="I1327" s="10"/>
      <c r="J1327" s="10"/>
      <c r="K1327" s="18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</row>
    <row r="1328" ht="14.25" customHeight="1">
      <c r="A1328" s="9"/>
      <c r="B1328" s="8"/>
      <c r="C1328" s="8"/>
      <c r="D1328" s="8"/>
      <c r="E1328" s="8"/>
      <c r="F1328" s="8"/>
      <c r="G1328" s="8"/>
      <c r="H1328" s="8"/>
      <c r="I1328" s="10"/>
      <c r="J1328" s="10"/>
      <c r="K1328" s="18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</row>
    <row r="1329" ht="14.25" customHeight="1">
      <c r="A1329" s="9"/>
      <c r="B1329" s="8"/>
      <c r="C1329" s="8"/>
      <c r="D1329" s="8"/>
      <c r="E1329" s="8"/>
      <c r="F1329" s="8"/>
      <c r="G1329" s="8"/>
      <c r="H1329" s="8"/>
      <c r="I1329" s="10"/>
      <c r="J1329" s="10"/>
      <c r="K1329" s="18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</row>
    <row r="1330" ht="14.25" customHeight="1">
      <c r="A1330" s="9"/>
      <c r="B1330" s="8"/>
      <c r="C1330" s="8"/>
      <c r="D1330" s="8"/>
      <c r="E1330" s="8"/>
      <c r="F1330" s="8"/>
      <c r="G1330" s="8"/>
      <c r="H1330" s="8"/>
      <c r="I1330" s="10"/>
      <c r="J1330" s="10"/>
      <c r="K1330" s="18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</row>
    <row r="1331" ht="14.25" customHeight="1">
      <c r="A1331" s="9"/>
      <c r="B1331" s="8"/>
      <c r="C1331" s="8"/>
      <c r="D1331" s="8"/>
      <c r="E1331" s="8"/>
      <c r="F1331" s="8"/>
      <c r="G1331" s="8"/>
      <c r="H1331" s="8"/>
      <c r="I1331" s="10"/>
      <c r="J1331" s="10"/>
      <c r="K1331" s="18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</row>
    <row r="1332" ht="14.25" customHeight="1">
      <c r="A1332" s="9"/>
      <c r="B1332" s="8"/>
      <c r="C1332" s="8"/>
      <c r="D1332" s="8"/>
      <c r="E1332" s="8"/>
      <c r="F1332" s="8"/>
      <c r="G1332" s="8"/>
      <c r="H1332" s="8"/>
      <c r="I1332" s="10"/>
      <c r="J1332" s="10"/>
      <c r="K1332" s="18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</row>
    <row r="1333" ht="14.25" customHeight="1">
      <c r="A1333" s="9"/>
      <c r="B1333" s="8"/>
      <c r="C1333" s="8"/>
      <c r="D1333" s="8"/>
      <c r="E1333" s="8"/>
      <c r="F1333" s="8"/>
      <c r="G1333" s="8"/>
      <c r="H1333" s="8"/>
      <c r="I1333" s="10"/>
      <c r="J1333" s="10"/>
      <c r="K1333" s="18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</row>
    <row r="1334" ht="14.25" customHeight="1">
      <c r="A1334" s="9"/>
      <c r="B1334" s="8"/>
      <c r="C1334" s="8"/>
      <c r="D1334" s="8"/>
      <c r="E1334" s="8"/>
      <c r="F1334" s="8"/>
      <c r="G1334" s="8"/>
      <c r="H1334" s="8"/>
      <c r="I1334" s="10"/>
      <c r="J1334" s="10"/>
      <c r="K1334" s="18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</row>
    <row r="1335" ht="14.25" customHeight="1">
      <c r="A1335" s="9"/>
      <c r="B1335" s="8"/>
      <c r="C1335" s="8"/>
      <c r="D1335" s="8"/>
      <c r="E1335" s="8"/>
      <c r="F1335" s="8"/>
      <c r="G1335" s="8"/>
      <c r="H1335" s="8"/>
      <c r="I1335" s="10"/>
      <c r="J1335" s="10"/>
      <c r="K1335" s="18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</row>
    <row r="1336" ht="14.25" customHeight="1">
      <c r="A1336" s="9"/>
      <c r="B1336" s="8"/>
      <c r="C1336" s="8"/>
      <c r="D1336" s="8"/>
      <c r="E1336" s="8"/>
      <c r="F1336" s="8"/>
      <c r="G1336" s="8"/>
      <c r="H1336" s="8"/>
      <c r="I1336" s="10"/>
      <c r="J1336" s="10"/>
      <c r="K1336" s="18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</row>
    <row r="1337" ht="14.25" customHeight="1">
      <c r="A1337" s="9"/>
      <c r="B1337" s="8"/>
      <c r="C1337" s="8"/>
      <c r="D1337" s="8"/>
      <c r="E1337" s="8"/>
      <c r="F1337" s="8"/>
      <c r="G1337" s="8"/>
      <c r="H1337" s="8"/>
      <c r="I1337" s="10"/>
      <c r="J1337" s="10"/>
      <c r="K1337" s="18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</row>
    <row r="1338" ht="14.25" customHeight="1">
      <c r="A1338" s="9"/>
      <c r="B1338" s="8"/>
      <c r="C1338" s="8"/>
      <c r="D1338" s="8"/>
      <c r="E1338" s="8"/>
      <c r="F1338" s="8"/>
      <c r="G1338" s="8"/>
      <c r="H1338" s="8"/>
      <c r="I1338" s="10"/>
      <c r="J1338" s="10"/>
      <c r="K1338" s="18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</row>
    <row r="1339" ht="14.25" customHeight="1">
      <c r="A1339" s="9"/>
      <c r="B1339" s="8"/>
      <c r="C1339" s="8"/>
      <c r="D1339" s="8"/>
      <c r="E1339" s="8"/>
      <c r="F1339" s="8"/>
      <c r="G1339" s="8"/>
      <c r="H1339" s="8"/>
      <c r="I1339" s="10"/>
      <c r="J1339" s="10"/>
      <c r="K1339" s="18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</row>
    <row r="1340" ht="14.25" customHeight="1">
      <c r="A1340" s="9"/>
      <c r="B1340" s="8"/>
      <c r="C1340" s="8"/>
      <c r="D1340" s="8"/>
      <c r="E1340" s="8"/>
      <c r="F1340" s="8"/>
      <c r="G1340" s="8"/>
      <c r="H1340" s="8"/>
      <c r="I1340" s="10"/>
      <c r="J1340" s="10"/>
      <c r="K1340" s="18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</row>
    <row r="1341" ht="14.25" customHeight="1">
      <c r="A1341" s="9"/>
      <c r="B1341" s="8"/>
      <c r="C1341" s="8"/>
      <c r="D1341" s="8"/>
      <c r="E1341" s="8"/>
      <c r="F1341" s="8"/>
      <c r="G1341" s="8"/>
      <c r="H1341" s="8"/>
      <c r="I1341" s="10"/>
      <c r="J1341" s="10"/>
      <c r="K1341" s="18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</row>
    <row r="1342" ht="14.25" customHeight="1">
      <c r="A1342" s="9"/>
      <c r="B1342" s="8"/>
      <c r="C1342" s="8"/>
      <c r="D1342" s="8"/>
      <c r="E1342" s="8"/>
      <c r="F1342" s="8"/>
      <c r="G1342" s="8"/>
      <c r="H1342" s="8"/>
      <c r="I1342" s="10"/>
      <c r="J1342" s="10"/>
      <c r="K1342" s="18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</row>
    <row r="1343" ht="14.25" customHeight="1">
      <c r="A1343" s="9"/>
      <c r="B1343" s="8"/>
      <c r="C1343" s="8"/>
      <c r="D1343" s="8"/>
      <c r="E1343" s="8"/>
      <c r="F1343" s="8"/>
      <c r="G1343" s="8"/>
      <c r="H1343" s="8"/>
      <c r="I1343" s="10"/>
      <c r="J1343" s="10"/>
      <c r="K1343" s="18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</row>
    <row r="1344" ht="14.25" customHeight="1">
      <c r="A1344" s="9"/>
      <c r="B1344" s="8"/>
      <c r="C1344" s="8"/>
      <c r="D1344" s="8"/>
      <c r="E1344" s="8"/>
      <c r="F1344" s="8"/>
      <c r="G1344" s="8"/>
      <c r="H1344" s="8"/>
      <c r="I1344" s="10"/>
      <c r="J1344" s="10"/>
      <c r="K1344" s="18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</row>
    <row r="1345" ht="14.25" customHeight="1">
      <c r="A1345" s="9"/>
      <c r="B1345" s="8"/>
      <c r="C1345" s="8"/>
      <c r="D1345" s="8"/>
      <c r="E1345" s="8"/>
      <c r="F1345" s="8"/>
      <c r="G1345" s="8"/>
      <c r="H1345" s="8"/>
      <c r="I1345" s="10"/>
      <c r="J1345" s="10"/>
      <c r="K1345" s="18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</row>
    <row r="1346" ht="14.25" customHeight="1">
      <c r="A1346" s="9"/>
      <c r="B1346" s="8"/>
      <c r="C1346" s="8"/>
      <c r="D1346" s="8"/>
      <c r="E1346" s="8"/>
      <c r="F1346" s="8"/>
      <c r="G1346" s="8"/>
      <c r="H1346" s="8"/>
      <c r="I1346" s="10"/>
      <c r="J1346" s="10"/>
      <c r="K1346" s="18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</row>
    <row r="1347" ht="14.25" customHeight="1">
      <c r="A1347" s="9"/>
      <c r="B1347" s="8"/>
      <c r="C1347" s="8"/>
      <c r="D1347" s="8"/>
      <c r="E1347" s="8"/>
      <c r="F1347" s="8"/>
      <c r="G1347" s="8"/>
      <c r="H1347" s="8"/>
      <c r="I1347" s="10"/>
      <c r="J1347" s="10"/>
      <c r="K1347" s="18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</row>
    <row r="1348" ht="14.25" customHeight="1">
      <c r="A1348" s="9"/>
      <c r="B1348" s="8"/>
      <c r="C1348" s="8"/>
      <c r="D1348" s="8"/>
      <c r="E1348" s="8"/>
      <c r="F1348" s="8"/>
      <c r="G1348" s="8"/>
      <c r="H1348" s="8"/>
      <c r="I1348" s="10"/>
      <c r="J1348" s="10"/>
      <c r="K1348" s="18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</row>
    <row r="1349" ht="14.25" customHeight="1">
      <c r="A1349" s="9"/>
      <c r="B1349" s="8"/>
      <c r="C1349" s="8"/>
      <c r="D1349" s="8"/>
      <c r="E1349" s="8"/>
      <c r="F1349" s="8"/>
      <c r="G1349" s="8"/>
      <c r="H1349" s="8"/>
      <c r="I1349" s="10"/>
      <c r="J1349" s="10"/>
      <c r="K1349" s="18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</row>
    <row r="1350" ht="14.25" customHeight="1">
      <c r="A1350" s="9"/>
      <c r="B1350" s="8"/>
      <c r="C1350" s="8"/>
      <c r="D1350" s="8"/>
      <c r="E1350" s="8"/>
      <c r="F1350" s="8"/>
      <c r="G1350" s="8"/>
      <c r="H1350" s="8"/>
      <c r="I1350" s="10"/>
      <c r="J1350" s="10"/>
      <c r="K1350" s="18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</row>
    <row r="1351" ht="14.25" customHeight="1">
      <c r="A1351" s="9"/>
      <c r="B1351" s="8"/>
      <c r="C1351" s="8"/>
      <c r="D1351" s="8"/>
      <c r="E1351" s="8"/>
      <c r="F1351" s="8"/>
      <c r="G1351" s="8"/>
      <c r="H1351" s="8"/>
      <c r="I1351" s="10"/>
      <c r="J1351" s="10"/>
      <c r="K1351" s="18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</row>
    <row r="1352" ht="14.25" customHeight="1">
      <c r="A1352" s="9"/>
      <c r="B1352" s="8"/>
      <c r="C1352" s="8"/>
      <c r="D1352" s="8"/>
      <c r="E1352" s="8"/>
      <c r="F1352" s="8"/>
      <c r="G1352" s="8"/>
      <c r="H1352" s="8"/>
      <c r="I1352" s="10"/>
      <c r="J1352" s="10"/>
      <c r="K1352" s="18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</row>
    <row r="1353" ht="14.25" customHeight="1">
      <c r="A1353" s="9"/>
      <c r="B1353" s="8"/>
      <c r="C1353" s="8"/>
      <c r="D1353" s="8"/>
      <c r="E1353" s="8"/>
      <c r="F1353" s="8"/>
      <c r="G1353" s="8"/>
      <c r="H1353" s="8"/>
      <c r="I1353" s="10"/>
      <c r="J1353" s="10"/>
      <c r="K1353" s="18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</row>
    <row r="1354" ht="14.25" customHeight="1">
      <c r="A1354" s="9"/>
      <c r="B1354" s="8"/>
      <c r="C1354" s="8"/>
      <c r="D1354" s="8"/>
      <c r="E1354" s="8"/>
      <c r="F1354" s="8"/>
      <c r="G1354" s="8"/>
      <c r="H1354" s="8"/>
      <c r="I1354" s="10"/>
      <c r="J1354" s="10"/>
      <c r="K1354" s="18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</row>
    <row r="1355" ht="14.25" customHeight="1">
      <c r="A1355" s="9"/>
      <c r="B1355" s="8"/>
      <c r="C1355" s="8"/>
      <c r="D1355" s="8"/>
      <c r="E1355" s="8"/>
      <c r="F1355" s="8"/>
      <c r="G1355" s="8"/>
      <c r="H1355" s="8"/>
      <c r="I1355" s="10"/>
      <c r="J1355" s="10"/>
      <c r="K1355" s="18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</row>
    <row r="1356" ht="14.25" customHeight="1">
      <c r="A1356" s="9"/>
      <c r="B1356" s="8"/>
      <c r="C1356" s="8"/>
      <c r="D1356" s="8"/>
      <c r="E1356" s="8"/>
      <c r="F1356" s="8"/>
      <c r="G1356" s="8"/>
      <c r="H1356" s="8"/>
      <c r="I1356" s="10"/>
      <c r="J1356" s="10"/>
      <c r="K1356" s="18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</row>
    <row r="1357" ht="14.25" customHeight="1">
      <c r="A1357" s="9"/>
      <c r="B1357" s="8"/>
      <c r="C1357" s="8"/>
      <c r="D1357" s="8"/>
      <c r="E1357" s="8"/>
      <c r="F1357" s="8"/>
      <c r="G1357" s="8"/>
      <c r="H1357" s="8"/>
      <c r="I1357" s="10"/>
      <c r="J1357" s="10"/>
      <c r="K1357" s="18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</row>
    <row r="1358" ht="14.25" customHeight="1">
      <c r="A1358" s="9"/>
      <c r="B1358" s="8"/>
      <c r="C1358" s="8"/>
      <c r="D1358" s="8"/>
      <c r="E1358" s="8"/>
      <c r="F1358" s="8"/>
      <c r="G1358" s="8"/>
      <c r="H1358" s="8"/>
      <c r="I1358" s="10"/>
      <c r="J1358" s="10"/>
      <c r="K1358" s="18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</row>
    <row r="1359" ht="14.25" customHeight="1">
      <c r="A1359" s="9"/>
      <c r="B1359" s="8"/>
      <c r="C1359" s="8"/>
      <c r="D1359" s="8"/>
      <c r="E1359" s="8"/>
      <c r="F1359" s="8"/>
      <c r="G1359" s="8"/>
      <c r="H1359" s="8"/>
      <c r="I1359" s="10"/>
      <c r="J1359" s="10"/>
      <c r="K1359" s="18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</row>
    <row r="1360" ht="14.25" customHeight="1">
      <c r="A1360" s="9"/>
      <c r="B1360" s="8"/>
      <c r="C1360" s="8"/>
      <c r="D1360" s="8"/>
      <c r="E1360" s="8"/>
      <c r="F1360" s="8"/>
      <c r="G1360" s="8"/>
      <c r="H1360" s="8"/>
      <c r="I1360" s="10"/>
      <c r="J1360" s="10"/>
      <c r="K1360" s="18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</row>
    <row r="1361" ht="14.25" customHeight="1">
      <c r="A1361" s="9"/>
      <c r="B1361" s="8"/>
      <c r="C1361" s="8"/>
      <c r="D1361" s="8"/>
      <c r="E1361" s="8"/>
      <c r="F1361" s="8"/>
      <c r="G1361" s="8"/>
      <c r="H1361" s="8"/>
      <c r="I1361" s="10"/>
      <c r="J1361" s="10"/>
      <c r="K1361" s="18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</row>
    <row r="1362" ht="14.25" customHeight="1">
      <c r="A1362" s="9"/>
      <c r="B1362" s="8"/>
      <c r="C1362" s="8"/>
      <c r="D1362" s="8"/>
      <c r="E1362" s="8"/>
      <c r="F1362" s="8"/>
      <c r="G1362" s="8"/>
      <c r="H1362" s="8"/>
      <c r="I1362" s="10"/>
      <c r="J1362" s="10"/>
      <c r="K1362" s="18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</row>
    <row r="1363" ht="14.25" customHeight="1">
      <c r="A1363" s="9"/>
      <c r="B1363" s="8"/>
      <c r="C1363" s="8"/>
      <c r="D1363" s="8"/>
      <c r="E1363" s="8"/>
      <c r="F1363" s="8"/>
      <c r="G1363" s="8"/>
      <c r="H1363" s="8"/>
      <c r="I1363" s="10"/>
      <c r="J1363" s="10"/>
      <c r="K1363" s="18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</row>
    <row r="1364" ht="14.25" customHeight="1">
      <c r="A1364" s="9"/>
      <c r="B1364" s="8"/>
      <c r="C1364" s="8"/>
      <c r="D1364" s="8"/>
      <c r="E1364" s="8"/>
      <c r="F1364" s="8"/>
      <c r="G1364" s="8"/>
      <c r="H1364" s="8"/>
      <c r="I1364" s="10"/>
      <c r="J1364" s="10"/>
      <c r="K1364" s="18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</row>
    <row r="1365" ht="14.25" customHeight="1">
      <c r="A1365" s="9"/>
      <c r="B1365" s="8"/>
      <c r="C1365" s="8"/>
      <c r="D1365" s="8"/>
      <c r="E1365" s="8"/>
      <c r="F1365" s="8"/>
      <c r="G1365" s="8"/>
      <c r="H1365" s="8"/>
      <c r="I1365" s="10"/>
      <c r="J1365" s="10"/>
      <c r="K1365" s="18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</row>
    <row r="1366" ht="14.25" customHeight="1">
      <c r="A1366" s="9"/>
      <c r="B1366" s="8"/>
      <c r="C1366" s="8"/>
      <c r="D1366" s="8"/>
      <c r="E1366" s="8"/>
      <c r="F1366" s="8"/>
      <c r="G1366" s="8"/>
      <c r="H1366" s="8"/>
      <c r="I1366" s="10"/>
      <c r="J1366" s="10"/>
      <c r="K1366" s="18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</row>
    <row r="1367" ht="14.25" customHeight="1">
      <c r="A1367" s="9"/>
      <c r="B1367" s="8"/>
      <c r="C1367" s="8"/>
      <c r="D1367" s="8"/>
      <c r="E1367" s="8"/>
      <c r="F1367" s="8"/>
      <c r="G1367" s="8"/>
      <c r="H1367" s="8"/>
      <c r="I1367" s="10"/>
      <c r="J1367" s="10"/>
      <c r="K1367" s="18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</row>
    <row r="1368" ht="14.25" customHeight="1">
      <c r="A1368" s="9"/>
      <c r="B1368" s="8"/>
      <c r="C1368" s="8"/>
      <c r="D1368" s="8"/>
      <c r="E1368" s="8"/>
      <c r="F1368" s="8"/>
      <c r="G1368" s="8"/>
      <c r="H1368" s="8"/>
      <c r="I1368" s="10"/>
      <c r="J1368" s="10"/>
      <c r="K1368" s="18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</row>
    <row r="1369" ht="14.25" customHeight="1">
      <c r="A1369" s="9"/>
      <c r="B1369" s="8"/>
      <c r="C1369" s="8"/>
      <c r="D1369" s="8"/>
      <c r="E1369" s="8"/>
      <c r="F1369" s="8"/>
      <c r="G1369" s="8"/>
      <c r="H1369" s="8"/>
      <c r="I1369" s="10"/>
      <c r="J1369" s="10"/>
      <c r="K1369" s="18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</row>
    <row r="1370" ht="14.25" customHeight="1">
      <c r="A1370" s="9"/>
      <c r="B1370" s="8"/>
      <c r="C1370" s="8"/>
      <c r="D1370" s="8"/>
      <c r="E1370" s="8"/>
      <c r="F1370" s="8"/>
      <c r="G1370" s="8"/>
      <c r="H1370" s="8"/>
      <c r="I1370" s="10"/>
      <c r="J1370" s="10"/>
      <c r="K1370" s="18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</row>
    <row r="1371" ht="14.25" customHeight="1">
      <c r="A1371" s="9"/>
      <c r="B1371" s="8"/>
      <c r="C1371" s="8"/>
      <c r="D1371" s="8"/>
      <c r="E1371" s="8"/>
      <c r="F1371" s="8"/>
      <c r="G1371" s="8"/>
      <c r="H1371" s="8"/>
      <c r="I1371" s="10"/>
      <c r="J1371" s="10"/>
      <c r="K1371" s="18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</row>
    <row r="1372" ht="14.25" customHeight="1">
      <c r="A1372" s="9"/>
      <c r="B1372" s="8"/>
      <c r="C1372" s="8"/>
      <c r="D1372" s="8"/>
      <c r="E1372" s="8"/>
      <c r="F1372" s="8"/>
      <c r="G1372" s="8"/>
      <c r="H1372" s="8"/>
      <c r="I1372" s="10"/>
      <c r="J1372" s="10"/>
      <c r="K1372" s="18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</row>
    <row r="1373" ht="14.25" customHeight="1">
      <c r="A1373" s="9"/>
      <c r="B1373" s="8"/>
      <c r="C1373" s="8"/>
      <c r="D1373" s="8"/>
      <c r="E1373" s="8"/>
      <c r="F1373" s="8"/>
      <c r="G1373" s="8"/>
      <c r="H1373" s="8"/>
      <c r="I1373" s="10"/>
      <c r="J1373" s="10"/>
      <c r="K1373" s="18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</row>
    <row r="1374" ht="14.25" customHeight="1">
      <c r="A1374" s="9"/>
      <c r="B1374" s="8"/>
      <c r="C1374" s="8"/>
      <c r="D1374" s="8"/>
      <c r="E1374" s="8"/>
      <c r="F1374" s="8"/>
      <c r="G1374" s="8"/>
      <c r="H1374" s="8"/>
      <c r="I1374" s="10"/>
      <c r="J1374" s="10"/>
      <c r="K1374" s="18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</row>
    <row r="1375" ht="14.25" customHeight="1">
      <c r="A1375" s="9"/>
      <c r="B1375" s="8"/>
      <c r="C1375" s="8"/>
      <c r="D1375" s="8"/>
      <c r="E1375" s="8"/>
      <c r="F1375" s="8"/>
      <c r="G1375" s="8"/>
      <c r="H1375" s="8"/>
      <c r="I1375" s="10"/>
      <c r="J1375" s="10"/>
      <c r="K1375" s="18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</row>
    <row r="1376" ht="14.25" customHeight="1">
      <c r="A1376" s="9"/>
      <c r="B1376" s="8"/>
      <c r="C1376" s="8"/>
      <c r="D1376" s="8"/>
      <c r="E1376" s="8"/>
      <c r="F1376" s="8"/>
      <c r="G1376" s="8"/>
      <c r="H1376" s="8"/>
      <c r="I1376" s="10"/>
      <c r="J1376" s="10"/>
      <c r="K1376" s="18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</row>
    <row r="1377" ht="14.25" customHeight="1">
      <c r="A1377" s="9"/>
      <c r="B1377" s="8"/>
      <c r="C1377" s="8"/>
      <c r="D1377" s="8"/>
      <c r="E1377" s="8"/>
      <c r="F1377" s="8"/>
      <c r="G1377" s="8"/>
      <c r="H1377" s="8"/>
      <c r="I1377" s="10"/>
      <c r="J1377" s="10"/>
      <c r="K1377" s="18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</row>
    <row r="1378" ht="14.25" customHeight="1">
      <c r="A1378" s="9"/>
      <c r="B1378" s="8"/>
      <c r="C1378" s="8"/>
      <c r="D1378" s="8"/>
      <c r="E1378" s="8"/>
      <c r="F1378" s="8"/>
      <c r="G1378" s="8"/>
      <c r="H1378" s="8"/>
      <c r="I1378" s="10"/>
      <c r="J1378" s="10"/>
      <c r="K1378" s="18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</row>
    <row r="1379" ht="14.25" customHeight="1">
      <c r="A1379" s="9"/>
      <c r="B1379" s="8"/>
      <c r="C1379" s="8"/>
      <c r="D1379" s="8"/>
      <c r="E1379" s="8"/>
      <c r="F1379" s="8"/>
      <c r="G1379" s="8"/>
      <c r="H1379" s="8"/>
      <c r="I1379" s="10"/>
      <c r="J1379" s="10"/>
      <c r="K1379" s="18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</row>
    <row r="1380" ht="14.25" customHeight="1">
      <c r="A1380" s="9"/>
      <c r="B1380" s="8"/>
      <c r="C1380" s="8"/>
      <c r="D1380" s="8"/>
      <c r="E1380" s="8"/>
      <c r="F1380" s="8"/>
      <c r="G1380" s="8"/>
      <c r="H1380" s="8"/>
      <c r="I1380" s="10"/>
      <c r="J1380" s="10"/>
      <c r="K1380" s="18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</row>
    <row r="1381" ht="14.25" customHeight="1">
      <c r="A1381" s="9"/>
      <c r="B1381" s="8"/>
      <c r="C1381" s="8"/>
      <c r="D1381" s="8"/>
      <c r="E1381" s="8"/>
      <c r="F1381" s="8"/>
      <c r="G1381" s="8"/>
      <c r="H1381" s="8"/>
      <c r="I1381" s="10"/>
      <c r="J1381" s="10"/>
      <c r="K1381" s="18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</row>
    <row r="1382" ht="14.25" customHeight="1">
      <c r="A1382" s="9"/>
      <c r="B1382" s="8"/>
      <c r="C1382" s="8"/>
      <c r="D1382" s="8"/>
      <c r="E1382" s="8"/>
      <c r="F1382" s="8"/>
      <c r="G1382" s="8"/>
      <c r="H1382" s="8"/>
      <c r="I1382" s="10"/>
      <c r="J1382" s="10"/>
      <c r="K1382" s="18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</row>
    <row r="1383" ht="14.25" customHeight="1">
      <c r="A1383" s="9"/>
      <c r="B1383" s="8"/>
      <c r="C1383" s="8"/>
      <c r="D1383" s="8"/>
      <c r="E1383" s="8"/>
      <c r="F1383" s="8"/>
      <c r="G1383" s="8"/>
      <c r="H1383" s="8"/>
      <c r="I1383" s="10"/>
      <c r="J1383" s="10"/>
      <c r="K1383" s="18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</row>
    <row r="1384" ht="14.25" customHeight="1">
      <c r="A1384" s="9"/>
      <c r="B1384" s="8"/>
      <c r="C1384" s="8"/>
      <c r="D1384" s="8"/>
      <c r="E1384" s="8"/>
      <c r="F1384" s="8"/>
      <c r="G1384" s="8"/>
      <c r="H1384" s="8"/>
      <c r="I1384" s="10"/>
      <c r="J1384" s="10"/>
      <c r="K1384" s="18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</row>
    <row r="1385" ht="14.25" customHeight="1">
      <c r="A1385" s="9"/>
      <c r="B1385" s="8"/>
      <c r="C1385" s="8"/>
      <c r="D1385" s="8"/>
      <c r="E1385" s="8"/>
      <c r="F1385" s="8"/>
      <c r="G1385" s="8"/>
      <c r="H1385" s="8"/>
      <c r="I1385" s="10"/>
      <c r="J1385" s="10"/>
      <c r="K1385" s="18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</row>
    <row r="1386" ht="14.25" customHeight="1">
      <c r="A1386" s="9"/>
      <c r="B1386" s="8"/>
      <c r="C1386" s="8"/>
      <c r="D1386" s="8"/>
      <c r="E1386" s="8"/>
      <c r="F1386" s="8"/>
      <c r="G1386" s="8"/>
      <c r="H1386" s="8"/>
      <c r="I1386" s="10"/>
      <c r="J1386" s="10"/>
      <c r="K1386" s="18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</row>
    <row r="1387" ht="14.25" customHeight="1">
      <c r="A1387" s="9"/>
      <c r="B1387" s="8"/>
      <c r="C1387" s="8"/>
      <c r="D1387" s="8"/>
      <c r="E1387" s="8"/>
      <c r="F1387" s="8"/>
      <c r="G1387" s="8"/>
      <c r="H1387" s="8"/>
      <c r="I1387" s="10"/>
      <c r="J1387" s="10"/>
      <c r="K1387" s="18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</row>
    <row r="1388" ht="14.25" customHeight="1">
      <c r="A1388" s="9"/>
      <c r="B1388" s="8"/>
      <c r="C1388" s="8"/>
      <c r="D1388" s="8"/>
      <c r="E1388" s="8"/>
      <c r="F1388" s="8"/>
      <c r="G1388" s="8"/>
      <c r="H1388" s="8"/>
      <c r="I1388" s="10"/>
      <c r="J1388" s="10"/>
      <c r="K1388" s="18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</row>
    <row r="1389" ht="14.25" customHeight="1">
      <c r="A1389" s="9"/>
      <c r="B1389" s="8"/>
      <c r="C1389" s="8"/>
      <c r="D1389" s="8"/>
      <c r="E1389" s="8"/>
      <c r="F1389" s="8"/>
      <c r="G1389" s="8"/>
      <c r="H1389" s="8"/>
      <c r="I1389" s="10"/>
      <c r="J1389" s="10"/>
      <c r="K1389" s="18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</row>
    <row r="1390" ht="14.25" customHeight="1">
      <c r="A1390" s="9"/>
      <c r="B1390" s="8"/>
      <c r="C1390" s="8"/>
      <c r="D1390" s="8"/>
      <c r="E1390" s="8"/>
      <c r="F1390" s="8"/>
      <c r="G1390" s="8"/>
      <c r="H1390" s="8"/>
      <c r="I1390" s="10"/>
      <c r="J1390" s="10"/>
      <c r="K1390" s="18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</row>
    <row r="1391" ht="14.25" customHeight="1">
      <c r="A1391" s="9"/>
      <c r="B1391" s="8"/>
      <c r="C1391" s="8"/>
      <c r="D1391" s="8"/>
      <c r="E1391" s="8"/>
      <c r="F1391" s="8"/>
      <c r="G1391" s="8"/>
      <c r="H1391" s="8"/>
      <c r="I1391" s="10"/>
      <c r="J1391" s="10"/>
      <c r="K1391" s="18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</row>
    <row r="1392" ht="14.25" customHeight="1">
      <c r="A1392" s="9"/>
      <c r="B1392" s="8"/>
      <c r="C1392" s="8"/>
      <c r="D1392" s="8"/>
      <c r="E1392" s="8"/>
      <c r="F1392" s="8"/>
      <c r="G1392" s="8"/>
      <c r="H1392" s="8"/>
      <c r="I1392" s="10"/>
      <c r="J1392" s="10"/>
      <c r="K1392" s="18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</row>
    <row r="1393" ht="14.25" customHeight="1">
      <c r="A1393" s="9"/>
      <c r="B1393" s="8"/>
      <c r="C1393" s="8"/>
      <c r="D1393" s="8"/>
      <c r="E1393" s="8"/>
      <c r="F1393" s="8"/>
      <c r="G1393" s="8"/>
      <c r="H1393" s="8"/>
      <c r="I1393" s="10"/>
      <c r="J1393" s="10"/>
      <c r="K1393" s="18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</row>
    <row r="1394" ht="14.25" customHeight="1">
      <c r="A1394" s="9"/>
      <c r="B1394" s="8"/>
      <c r="C1394" s="8"/>
      <c r="D1394" s="8"/>
      <c r="E1394" s="8"/>
      <c r="F1394" s="8"/>
      <c r="G1394" s="8"/>
      <c r="H1394" s="8"/>
      <c r="I1394" s="10"/>
      <c r="J1394" s="10"/>
      <c r="K1394" s="18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</row>
    <row r="1395" ht="14.25" customHeight="1">
      <c r="A1395" s="9"/>
      <c r="B1395" s="8"/>
      <c r="C1395" s="8"/>
      <c r="D1395" s="8"/>
      <c r="E1395" s="8"/>
      <c r="F1395" s="8"/>
      <c r="G1395" s="8"/>
      <c r="H1395" s="8"/>
      <c r="I1395" s="10"/>
      <c r="J1395" s="10"/>
      <c r="K1395" s="18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</row>
    <row r="1396" ht="14.25" customHeight="1">
      <c r="A1396" s="9"/>
      <c r="B1396" s="8"/>
      <c r="C1396" s="8"/>
      <c r="D1396" s="8"/>
      <c r="E1396" s="8"/>
      <c r="F1396" s="8"/>
      <c r="G1396" s="8"/>
      <c r="H1396" s="8"/>
      <c r="I1396" s="10"/>
      <c r="J1396" s="10"/>
      <c r="K1396" s="18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</row>
    <row r="1397" ht="14.25" customHeight="1">
      <c r="A1397" s="9"/>
      <c r="B1397" s="8"/>
      <c r="C1397" s="8"/>
      <c r="D1397" s="8"/>
      <c r="E1397" s="8"/>
      <c r="F1397" s="8"/>
      <c r="G1397" s="8"/>
      <c r="H1397" s="8"/>
      <c r="I1397" s="10"/>
      <c r="J1397" s="10"/>
      <c r="K1397" s="18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</row>
    <row r="1398" ht="14.25" customHeight="1">
      <c r="A1398" s="9"/>
      <c r="B1398" s="8"/>
      <c r="C1398" s="8"/>
      <c r="D1398" s="8"/>
      <c r="E1398" s="8"/>
      <c r="F1398" s="8"/>
      <c r="G1398" s="8"/>
      <c r="H1398" s="8"/>
      <c r="I1398" s="10"/>
      <c r="J1398" s="10"/>
      <c r="K1398" s="18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</row>
    <row r="1399" ht="14.25" customHeight="1">
      <c r="A1399" s="9"/>
      <c r="B1399" s="8"/>
      <c r="C1399" s="8"/>
      <c r="D1399" s="8"/>
      <c r="E1399" s="8"/>
      <c r="F1399" s="8"/>
      <c r="G1399" s="8"/>
      <c r="H1399" s="8"/>
      <c r="I1399" s="10"/>
      <c r="J1399" s="10"/>
      <c r="K1399" s="18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</row>
    <row r="1400" ht="14.25" customHeight="1">
      <c r="A1400" s="9"/>
      <c r="B1400" s="8"/>
      <c r="C1400" s="8"/>
      <c r="D1400" s="8"/>
      <c r="E1400" s="8"/>
      <c r="F1400" s="8"/>
      <c r="G1400" s="8"/>
      <c r="H1400" s="8"/>
      <c r="I1400" s="10"/>
      <c r="J1400" s="10"/>
      <c r="K1400" s="18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</row>
    <row r="1401" ht="14.25" customHeight="1">
      <c r="A1401" s="9"/>
      <c r="B1401" s="8"/>
      <c r="C1401" s="8"/>
      <c r="D1401" s="8"/>
      <c r="E1401" s="8"/>
      <c r="F1401" s="8"/>
      <c r="G1401" s="8"/>
      <c r="H1401" s="8"/>
      <c r="I1401" s="10"/>
      <c r="J1401" s="10"/>
      <c r="K1401" s="18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</row>
    <row r="1402" ht="14.25" customHeight="1">
      <c r="A1402" s="9"/>
      <c r="B1402" s="8"/>
      <c r="C1402" s="8"/>
      <c r="D1402" s="8"/>
      <c r="E1402" s="8"/>
      <c r="F1402" s="8"/>
      <c r="G1402" s="8"/>
      <c r="H1402" s="8"/>
      <c r="I1402" s="10"/>
      <c r="J1402" s="10"/>
      <c r="K1402" s="18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</row>
    <row r="1403" ht="14.25" customHeight="1">
      <c r="A1403" s="9"/>
      <c r="B1403" s="8"/>
      <c r="C1403" s="8"/>
      <c r="D1403" s="8"/>
      <c r="E1403" s="8"/>
      <c r="F1403" s="8"/>
      <c r="G1403" s="8"/>
      <c r="H1403" s="8"/>
      <c r="I1403" s="10"/>
      <c r="J1403" s="10"/>
      <c r="K1403" s="18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</row>
    <row r="1404" ht="14.25" customHeight="1">
      <c r="A1404" s="9"/>
      <c r="B1404" s="8"/>
      <c r="C1404" s="8"/>
      <c r="D1404" s="8"/>
      <c r="E1404" s="8"/>
      <c r="F1404" s="8"/>
      <c r="G1404" s="8"/>
      <c r="H1404" s="8"/>
      <c r="I1404" s="10"/>
      <c r="J1404" s="10"/>
      <c r="K1404" s="18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</row>
    <row r="1405" ht="14.25" customHeight="1">
      <c r="A1405" s="9"/>
      <c r="B1405" s="8"/>
      <c r="C1405" s="8"/>
      <c r="D1405" s="8"/>
      <c r="E1405" s="8"/>
      <c r="F1405" s="8"/>
      <c r="G1405" s="8"/>
      <c r="H1405" s="8"/>
      <c r="I1405" s="10"/>
      <c r="J1405" s="10"/>
      <c r="K1405" s="18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</row>
    <row r="1406" ht="14.25" customHeight="1">
      <c r="A1406" s="9"/>
      <c r="B1406" s="8"/>
      <c r="C1406" s="8"/>
      <c r="D1406" s="8"/>
      <c r="E1406" s="8"/>
      <c r="F1406" s="8"/>
      <c r="G1406" s="8"/>
      <c r="H1406" s="8"/>
      <c r="I1406" s="10"/>
      <c r="J1406" s="10"/>
      <c r="K1406" s="18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</row>
    <row r="1407" ht="14.25" customHeight="1">
      <c r="A1407" s="9"/>
      <c r="B1407" s="8"/>
      <c r="C1407" s="8"/>
      <c r="D1407" s="8"/>
      <c r="E1407" s="8"/>
      <c r="F1407" s="8"/>
      <c r="G1407" s="8"/>
      <c r="H1407" s="8"/>
      <c r="I1407" s="10"/>
      <c r="J1407" s="10"/>
      <c r="K1407" s="18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</row>
    <row r="1408" ht="14.25" customHeight="1">
      <c r="A1408" s="9"/>
      <c r="B1408" s="8"/>
      <c r="C1408" s="8"/>
      <c r="D1408" s="8"/>
      <c r="E1408" s="8"/>
      <c r="F1408" s="8"/>
      <c r="G1408" s="8"/>
      <c r="H1408" s="8"/>
      <c r="I1408" s="10"/>
      <c r="J1408" s="10"/>
      <c r="K1408" s="18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</row>
    <row r="1409" ht="14.25" customHeight="1">
      <c r="A1409" s="9"/>
      <c r="B1409" s="8"/>
      <c r="C1409" s="8"/>
      <c r="D1409" s="8"/>
      <c r="E1409" s="8"/>
      <c r="F1409" s="8"/>
      <c r="G1409" s="8"/>
      <c r="H1409" s="8"/>
      <c r="I1409" s="10"/>
      <c r="J1409" s="10"/>
      <c r="K1409" s="18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</row>
    <row r="1410" ht="14.25" customHeight="1">
      <c r="A1410" s="9"/>
      <c r="B1410" s="8"/>
      <c r="C1410" s="8"/>
      <c r="D1410" s="8"/>
      <c r="E1410" s="8"/>
      <c r="F1410" s="8"/>
      <c r="G1410" s="8"/>
      <c r="H1410" s="8"/>
      <c r="I1410" s="10"/>
      <c r="J1410" s="10"/>
      <c r="K1410" s="18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</row>
    <row r="1411" ht="14.25" customHeight="1">
      <c r="A1411" s="9"/>
      <c r="B1411" s="8"/>
      <c r="C1411" s="8"/>
      <c r="D1411" s="8"/>
      <c r="E1411" s="8"/>
      <c r="F1411" s="8"/>
      <c r="G1411" s="8"/>
      <c r="H1411" s="8"/>
      <c r="I1411" s="10"/>
      <c r="J1411" s="10"/>
      <c r="K1411" s="18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</row>
    <row r="1412" ht="14.25" customHeight="1">
      <c r="A1412" s="9"/>
      <c r="B1412" s="8"/>
      <c r="C1412" s="8"/>
      <c r="D1412" s="8"/>
      <c r="E1412" s="8"/>
      <c r="F1412" s="8"/>
      <c r="G1412" s="8"/>
      <c r="H1412" s="8"/>
      <c r="I1412" s="10"/>
      <c r="J1412" s="10"/>
      <c r="K1412" s="18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</row>
    <row r="1413" ht="14.25" customHeight="1">
      <c r="A1413" s="9"/>
      <c r="B1413" s="8"/>
      <c r="C1413" s="8"/>
      <c r="D1413" s="8"/>
      <c r="E1413" s="8"/>
      <c r="F1413" s="8"/>
      <c r="G1413" s="8"/>
      <c r="H1413" s="8"/>
      <c r="I1413" s="10"/>
      <c r="J1413" s="10"/>
      <c r="K1413" s="18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</row>
    <row r="1414" ht="14.25" customHeight="1">
      <c r="A1414" s="9"/>
      <c r="B1414" s="8"/>
      <c r="C1414" s="8"/>
      <c r="D1414" s="8"/>
      <c r="E1414" s="8"/>
      <c r="F1414" s="8"/>
      <c r="G1414" s="8"/>
      <c r="H1414" s="8"/>
      <c r="I1414" s="10"/>
      <c r="J1414" s="10"/>
      <c r="K1414" s="18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</row>
    <row r="1415" ht="14.25" customHeight="1">
      <c r="A1415" s="9"/>
      <c r="B1415" s="8"/>
      <c r="C1415" s="8"/>
      <c r="D1415" s="8"/>
      <c r="E1415" s="8"/>
      <c r="F1415" s="8"/>
      <c r="G1415" s="8"/>
      <c r="H1415" s="8"/>
      <c r="I1415" s="10"/>
      <c r="J1415" s="10"/>
      <c r="K1415" s="18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</row>
    <row r="1416" ht="14.25" customHeight="1">
      <c r="A1416" s="9"/>
      <c r="B1416" s="8"/>
      <c r="C1416" s="8"/>
      <c r="D1416" s="8"/>
      <c r="E1416" s="8"/>
      <c r="F1416" s="8"/>
      <c r="G1416" s="8"/>
      <c r="H1416" s="8"/>
      <c r="I1416" s="10"/>
      <c r="J1416" s="10"/>
      <c r="K1416" s="18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</row>
    <row r="1417" ht="14.25" customHeight="1">
      <c r="A1417" s="9"/>
      <c r="B1417" s="8"/>
      <c r="C1417" s="8"/>
      <c r="D1417" s="8"/>
      <c r="E1417" s="8"/>
      <c r="F1417" s="8"/>
      <c r="G1417" s="8"/>
      <c r="H1417" s="8"/>
      <c r="I1417" s="10"/>
      <c r="J1417" s="10"/>
      <c r="K1417" s="18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</row>
    <row r="1418" ht="14.25" customHeight="1">
      <c r="A1418" s="9"/>
      <c r="B1418" s="8"/>
      <c r="C1418" s="8"/>
      <c r="D1418" s="8"/>
      <c r="E1418" s="8"/>
      <c r="F1418" s="8"/>
      <c r="G1418" s="8"/>
      <c r="H1418" s="8"/>
      <c r="I1418" s="10"/>
      <c r="J1418" s="10"/>
      <c r="K1418" s="18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</row>
    <row r="1419" ht="14.25" customHeight="1">
      <c r="A1419" s="9"/>
      <c r="B1419" s="8"/>
      <c r="C1419" s="8"/>
      <c r="D1419" s="8"/>
      <c r="E1419" s="8"/>
      <c r="F1419" s="8"/>
      <c r="G1419" s="8"/>
      <c r="H1419" s="8"/>
      <c r="I1419" s="10"/>
      <c r="J1419" s="10"/>
      <c r="K1419" s="18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</row>
    <row r="1420" ht="14.25" customHeight="1">
      <c r="A1420" s="9"/>
      <c r="B1420" s="8"/>
      <c r="C1420" s="8"/>
      <c r="D1420" s="8"/>
      <c r="E1420" s="8"/>
      <c r="F1420" s="8"/>
      <c r="G1420" s="8"/>
      <c r="H1420" s="8"/>
      <c r="I1420" s="10"/>
      <c r="J1420" s="10"/>
      <c r="K1420" s="18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</row>
    <row r="1421" ht="14.25" customHeight="1">
      <c r="A1421" s="9"/>
      <c r="B1421" s="8"/>
      <c r="C1421" s="8"/>
      <c r="D1421" s="8"/>
      <c r="E1421" s="8"/>
      <c r="F1421" s="8"/>
      <c r="G1421" s="8"/>
      <c r="H1421" s="8"/>
      <c r="I1421" s="10"/>
      <c r="J1421" s="10"/>
      <c r="K1421" s="18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</row>
    <row r="1422" ht="14.25" customHeight="1">
      <c r="A1422" s="9"/>
      <c r="B1422" s="8"/>
      <c r="C1422" s="8"/>
      <c r="D1422" s="8"/>
      <c r="E1422" s="8"/>
      <c r="F1422" s="8"/>
      <c r="G1422" s="8"/>
      <c r="H1422" s="8"/>
      <c r="I1422" s="10"/>
      <c r="J1422" s="10"/>
      <c r="K1422" s="18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</row>
    <row r="1423" ht="14.25" customHeight="1">
      <c r="A1423" s="9"/>
      <c r="B1423" s="8"/>
      <c r="C1423" s="8"/>
      <c r="D1423" s="8"/>
      <c r="E1423" s="8"/>
      <c r="F1423" s="8"/>
      <c r="G1423" s="8"/>
      <c r="H1423" s="8"/>
      <c r="I1423" s="10"/>
      <c r="J1423" s="10"/>
      <c r="K1423" s="18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</row>
    <row r="1424" ht="14.25" customHeight="1">
      <c r="A1424" s="9"/>
      <c r="B1424" s="8"/>
      <c r="C1424" s="8"/>
      <c r="D1424" s="8"/>
      <c r="E1424" s="8"/>
      <c r="F1424" s="8"/>
      <c r="G1424" s="8"/>
      <c r="H1424" s="8"/>
      <c r="I1424" s="10"/>
      <c r="J1424" s="10"/>
      <c r="K1424" s="18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</row>
    <row r="1425" ht="14.25" customHeight="1">
      <c r="A1425" s="9"/>
      <c r="B1425" s="8"/>
      <c r="C1425" s="8"/>
      <c r="D1425" s="8"/>
      <c r="E1425" s="8"/>
      <c r="F1425" s="8"/>
      <c r="G1425" s="8"/>
      <c r="H1425" s="8"/>
      <c r="I1425" s="10"/>
      <c r="J1425" s="10"/>
      <c r="K1425" s="18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</row>
    <row r="1426" ht="14.25" customHeight="1">
      <c r="A1426" s="9"/>
      <c r="B1426" s="8"/>
      <c r="C1426" s="8"/>
      <c r="D1426" s="8"/>
      <c r="E1426" s="8"/>
      <c r="F1426" s="8"/>
      <c r="G1426" s="8"/>
      <c r="H1426" s="8"/>
      <c r="I1426" s="10"/>
      <c r="J1426" s="10"/>
      <c r="K1426" s="18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</row>
    <row r="1427" ht="14.25" customHeight="1">
      <c r="A1427" s="9"/>
      <c r="B1427" s="8"/>
      <c r="C1427" s="8"/>
      <c r="D1427" s="8"/>
      <c r="E1427" s="8"/>
      <c r="F1427" s="8"/>
      <c r="G1427" s="8"/>
      <c r="H1427" s="8"/>
      <c r="I1427" s="10"/>
      <c r="J1427" s="10"/>
      <c r="K1427" s="18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</row>
    <row r="1428" ht="14.25" customHeight="1">
      <c r="A1428" s="9"/>
      <c r="B1428" s="8"/>
      <c r="C1428" s="8"/>
      <c r="D1428" s="8"/>
      <c r="E1428" s="8"/>
      <c r="F1428" s="8"/>
      <c r="G1428" s="8"/>
      <c r="H1428" s="8"/>
      <c r="I1428" s="10"/>
      <c r="J1428" s="10"/>
      <c r="K1428" s="18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</row>
    <row r="1429" ht="14.25" customHeight="1">
      <c r="A1429" s="9"/>
      <c r="B1429" s="8"/>
      <c r="C1429" s="8"/>
      <c r="D1429" s="8"/>
      <c r="E1429" s="8"/>
      <c r="F1429" s="8"/>
      <c r="G1429" s="8"/>
      <c r="H1429" s="8"/>
      <c r="I1429" s="10"/>
      <c r="J1429" s="10"/>
      <c r="K1429" s="18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</row>
    <row r="1430" ht="14.25" customHeight="1">
      <c r="A1430" s="9"/>
      <c r="B1430" s="8"/>
      <c r="C1430" s="8"/>
      <c r="D1430" s="8"/>
      <c r="E1430" s="8"/>
      <c r="F1430" s="8"/>
      <c r="G1430" s="8"/>
      <c r="H1430" s="8"/>
      <c r="I1430" s="10"/>
      <c r="J1430" s="10"/>
      <c r="K1430" s="18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</row>
    <row r="1431" ht="14.25" customHeight="1">
      <c r="A1431" s="9"/>
      <c r="B1431" s="8"/>
      <c r="C1431" s="8"/>
      <c r="D1431" s="8"/>
      <c r="E1431" s="8"/>
      <c r="F1431" s="8"/>
      <c r="G1431" s="8"/>
      <c r="H1431" s="8"/>
      <c r="I1431" s="10"/>
      <c r="J1431" s="10"/>
      <c r="K1431" s="18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</row>
    <row r="1432" ht="14.25" customHeight="1">
      <c r="A1432" s="9"/>
      <c r="B1432" s="8"/>
      <c r="C1432" s="8"/>
      <c r="D1432" s="8"/>
      <c r="E1432" s="8"/>
      <c r="F1432" s="8"/>
      <c r="G1432" s="8"/>
      <c r="H1432" s="8"/>
      <c r="I1432" s="10"/>
      <c r="J1432" s="10"/>
      <c r="K1432" s="18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</row>
    <row r="1433" ht="14.25" customHeight="1">
      <c r="A1433" s="9"/>
      <c r="B1433" s="8"/>
      <c r="C1433" s="8"/>
      <c r="D1433" s="8"/>
      <c r="E1433" s="8"/>
      <c r="F1433" s="8"/>
      <c r="G1433" s="8"/>
      <c r="H1433" s="8"/>
      <c r="I1433" s="10"/>
      <c r="J1433" s="10"/>
      <c r="K1433" s="18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</row>
    <row r="1434" ht="14.25" customHeight="1">
      <c r="A1434" s="9"/>
      <c r="B1434" s="8"/>
      <c r="C1434" s="8"/>
      <c r="D1434" s="8"/>
      <c r="E1434" s="8"/>
      <c r="F1434" s="8"/>
      <c r="G1434" s="8"/>
      <c r="H1434" s="8"/>
      <c r="I1434" s="10"/>
      <c r="J1434" s="10"/>
      <c r="K1434" s="18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</row>
    <row r="1435" ht="14.25" customHeight="1">
      <c r="A1435" s="9"/>
      <c r="B1435" s="8"/>
      <c r="C1435" s="8"/>
      <c r="D1435" s="8"/>
      <c r="E1435" s="8"/>
      <c r="F1435" s="8"/>
      <c r="G1435" s="8"/>
      <c r="H1435" s="8"/>
      <c r="I1435" s="10"/>
      <c r="J1435" s="10"/>
      <c r="K1435" s="18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</row>
    <row r="1436" ht="14.25" customHeight="1">
      <c r="A1436" s="9"/>
      <c r="B1436" s="8"/>
      <c r="C1436" s="8"/>
      <c r="D1436" s="8"/>
      <c r="E1436" s="8"/>
      <c r="F1436" s="8"/>
      <c r="G1436" s="8"/>
      <c r="H1436" s="8"/>
      <c r="I1436" s="10"/>
      <c r="J1436" s="10"/>
      <c r="K1436" s="18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</row>
    <row r="1437" ht="14.25" customHeight="1">
      <c r="A1437" s="9"/>
      <c r="B1437" s="8"/>
      <c r="C1437" s="8"/>
      <c r="D1437" s="8"/>
      <c r="E1437" s="8"/>
      <c r="F1437" s="8"/>
      <c r="G1437" s="8"/>
      <c r="H1437" s="8"/>
      <c r="I1437" s="10"/>
      <c r="J1437" s="10"/>
      <c r="K1437" s="18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</row>
    <row r="1438" ht="14.25" customHeight="1">
      <c r="A1438" s="9"/>
      <c r="B1438" s="8"/>
      <c r="C1438" s="8"/>
      <c r="D1438" s="8"/>
      <c r="E1438" s="8"/>
      <c r="F1438" s="8"/>
      <c r="G1438" s="8"/>
      <c r="H1438" s="8"/>
      <c r="I1438" s="10"/>
      <c r="J1438" s="10"/>
      <c r="K1438" s="18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</row>
    <row r="1439" ht="14.25" customHeight="1">
      <c r="A1439" s="9"/>
      <c r="B1439" s="8"/>
      <c r="C1439" s="8"/>
      <c r="D1439" s="8"/>
      <c r="E1439" s="8"/>
      <c r="F1439" s="8"/>
      <c r="G1439" s="8"/>
      <c r="H1439" s="8"/>
      <c r="I1439" s="10"/>
      <c r="J1439" s="10"/>
      <c r="K1439" s="18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</row>
    <row r="1440" ht="14.25" customHeight="1">
      <c r="A1440" s="9"/>
      <c r="B1440" s="8"/>
      <c r="C1440" s="8"/>
      <c r="D1440" s="8"/>
      <c r="E1440" s="8"/>
      <c r="F1440" s="8"/>
      <c r="G1440" s="8"/>
      <c r="H1440" s="8"/>
      <c r="I1440" s="10"/>
      <c r="J1440" s="10"/>
      <c r="K1440" s="18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</row>
    <row r="1441" ht="14.25" customHeight="1">
      <c r="A1441" s="9"/>
      <c r="B1441" s="8"/>
      <c r="C1441" s="8"/>
      <c r="D1441" s="8"/>
      <c r="E1441" s="8"/>
      <c r="F1441" s="8"/>
      <c r="G1441" s="8"/>
      <c r="H1441" s="8"/>
      <c r="I1441" s="10"/>
      <c r="J1441" s="10"/>
      <c r="K1441" s="18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</row>
    <row r="1442" ht="14.25" customHeight="1">
      <c r="A1442" s="9"/>
      <c r="B1442" s="8"/>
      <c r="C1442" s="8"/>
      <c r="D1442" s="8"/>
      <c r="E1442" s="8"/>
      <c r="F1442" s="8"/>
      <c r="G1442" s="8"/>
      <c r="H1442" s="8"/>
      <c r="I1442" s="10"/>
      <c r="J1442" s="10"/>
      <c r="K1442" s="18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</row>
    <row r="1443" ht="14.25" customHeight="1">
      <c r="A1443" s="9"/>
      <c r="B1443" s="8"/>
      <c r="C1443" s="8"/>
      <c r="D1443" s="8"/>
      <c r="E1443" s="8"/>
      <c r="F1443" s="8"/>
      <c r="G1443" s="8"/>
      <c r="H1443" s="8"/>
      <c r="I1443" s="10"/>
      <c r="J1443" s="10"/>
      <c r="K1443" s="18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</row>
    <row r="1444" ht="14.25" customHeight="1">
      <c r="A1444" s="9"/>
      <c r="B1444" s="8"/>
      <c r="C1444" s="8"/>
      <c r="D1444" s="8"/>
      <c r="E1444" s="8"/>
      <c r="F1444" s="8"/>
      <c r="G1444" s="8"/>
      <c r="H1444" s="8"/>
      <c r="I1444" s="10"/>
      <c r="J1444" s="10"/>
      <c r="K1444" s="18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</row>
    <row r="1445" ht="14.25" customHeight="1">
      <c r="A1445" s="9"/>
      <c r="B1445" s="8"/>
      <c r="C1445" s="8"/>
      <c r="D1445" s="8"/>
      <c r="E1445" s="8"/>
      <c r="F1445" s="8"/>
      <c r="G1445" s="8"/>
      <c r="H1445" s="8"/>
      <c r="I1445" s="10"/>
      <c r="J1445" s="10"/>
      <c r="K1445" s="18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</row>
    <row r="1446" ht="14.25" customHeight="1">
      <c r="A1446" s="9"/>
      <c r="B1446" s="8"/>
      <c r="C1446" s="8"/>
      <c r="D1446" s="8"/>
      <c r="E1446" s="8"/>
      <c r="F1446" s="8"/>
      <c r="G1446" s="8"/>
      <c r="H1446" s="8"/>
      <c r="I1446" s="10"/>
      <c r="J1446" s="10"/>
      <c r="K1446" s="18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</row>
    <row r="1447" ht="14.25" customHeight="1">
      <c r="A1447" s="9"/>
      <c r="B1447" s="8"/>
      <c r="C1447" s="8"/>
      <c r="D1447" s="8"/>
      <c r="E1447" s="8"/>
      <c r="F1447" s="8"/>
      <c r="G1447" s="8"/>
      <c r="H1447" s="8"/>
      <c r="I1447" s="10"/>
      <c r="J1447" s="10"/>
      <c r="K1447" s="18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</row>
    <row r="1448" ht="14.25" customHeight="1">
      <c r="A1448" s="9"/>
      <c r="B1448" s="8"/>
      <c r="C1448" s="8"/>
      <c r="D1448" s="8"/>
      <c r="E1448" s="8"/>
      <c r="F1448" s="8"/>
      <c r="G1448" s="8"/>
      <c r="H1448" s="8"/>
      <c r="I1448" s="10"/>
      <c r="J1448" s="10"/>
      <c r="K1448" s="18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</row>
    <row r="1449" ht="14.25" customHeight="1">
      <c r="A1449" s="9"/>
      <c r="B1449" s="8"/>
      <c r="C1449" s="8"/>
      <c r="D1449" s="8"/>
      <c r="E1449" s="8"/>
      <c r="F1449" s="8"/>
      <c r="G1449" s="8"/>
      <c r="H1449" s="8"/>
      <c r="I1449" s="10"/>
      <c r="J1449" s="10"/>
      <c r="K1449" s="18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</row>
    <row r="1450" ht="14.25" customHeight="1">
      <c r="A1450" s="9"/>
      <c r="B1450" s="8"/>
      <c r="C1450" s="8"/>
      <c r="D1450" s="8"/>
      <c r="E1450" s="8"/>
      <c r="F1450" s="8"/>
      <c r="G1450" s="8"/>
      <c r="H1450" s="8"/>
      <c r="I1450" s="10"/>
      <c r="J1450" s="10"/>
      <c r="K1450" s="18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</row>
    <row r="1451" ht="14.25" customHeight="1">
      <c r="A1451" s="9"/>
      <c r="B1451" s="8"/>
      <c r="C1451" s="8"/>
      <c r="D1451" s="8"/>
      <c r="E1451" s="8"/>
      <c r="F1451" s="8"/>
      <c r="G1451" s="8"/>
      <c r="H1451" s="8"/>
      <c r="I1451" s="10"/>
      <c r="J1451" s="10"/>
      <c r="K1451" s="18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</row>
    <row r="1452" ht="14.25" customHeight="1">
      <c r="A1452" s="9"/>
      <c r="B1452" s="8"/>
      <c r="C1452" s="8"/>
      <c r="D1452" s="8"/>
      <c r="E1452" s="8"/>
      <c r="F1452" s="8"/>
      <c r="G1452" s="8"/>
      <c r="H1452" s="8"/>
      <c r="I1452" s="10"/>
      <c r="J1452" s="10"/>
      <c r="K1452" s="18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</row>
    <row r="1453" ht="14.25" customHeight="1">
      <c r="A1453" s="9"/>
      <c r="B1453" s="8"/>
      <c r="C1453" s="8"/>
      <c r="D1453" s="8"/>
      <c r="E1453" s="8"/>
      <c r="F1453" s="8"/>
      <c r="G1453" s="8"/>
      <c r="H1453" s="8"/>
      <c r="I1453" s="10"/>
      <c r="J1453" s="10"/>
      <c r="K1453" s="18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</row>
    <row r="1454" ht="14.25" customHeight="1">
      <c r="A1454" s="9"/>
      <c r="B1454" s="8"/>
      <c r="C1454" s="8"/>
      <c r="D1454" s="8"/>
      <c r="E1454" s="8"/>
      <c r="F1454" s="8"/>
      <c r="G1454" s="8"/>
      <c r="H1454" s="8"/>
      <c r="I1454" s="10"/>
      <c r="J1454" s="10"/>
      <c r="K1454" s="18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</row>
    <row r="1455" ht="14.25" customHeight="1">
      <c r="A1455" s="9"/>
      <c r="B1455" s="8"/>
      <c r="C1455" s="8"/>
      <c r="D1455" s="8"/>
      <c r="E1455" s="8"/>
      <c r="F1455" s="8"/>
      <c r="G1455" s="8"/>
      <c r="H1455" s="8"/>
      <c r="I1455" s="10"/>
      <c r="J1455" s="10"/>
      <c r="K1455" s="18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</row>
    <row r="1456" ht="14.25" customHeight="1">
      <c r="A1456" s="9"/>
      <c r="B1456" s="8"/>
      <c r="C1456" s="8"/>
      <c r="D1456" s="8"/>
      <c r="E1456" s="8"/>
      <c r="F1456" s="8"/>
      <c r="G1456" s="8"/>
      <c r="H1456" s="8"/>
      <c r="I1456" s="10"/>
      <c r="J1456" s="10"/>
      <c r="K1456" s="18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</row>
    <row r="1457" ht="14.25" customHeight="1">
      <c r="A1457" s="9"/>
      <c r="B1457" s="8"/>
      <c r="C1457" s="8"/>
      <c r="D1457" s="8"/>
      <c r="E1457" s="8"/>
      <c r="F1457" s="8"/>
      <c r="G1457" s="8"/>
      <c r="H1457" s="8"/>
      <c r="I1457" s="10"/>
      <c r="J1457" s="10"/>
      <c r="K1457" s="18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</row>
    <row r="1458" ht="14.25" customHeight="1">
      <c r="A1458" s="9"/>
      <c r="B1458" s="8"/>
      <c r="C1458" s="8"/>
      <c r="D1458" s="8"/>
      <c r="E1458" s="8"/>
      <c r="F1458" s="8"/>
      <c r="G1458" s="8"/>
      <c r="H1458" s="8"/>
      <c r="I1458" s="10"/>
      <c r="J1458" s="10"/>
      <c r="K1458" s="18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</row>
    <row r="1459" ht="14.25" customHeight="1">
      <c r="A1459" s="9"/>
      <c r="B1459" s="8"/>
      <c r="C1459" s="8"/>
      <c r="D1459" s="8"/>
      <c r="E1459" s="8"/>
      <c r="F1459" s="8"/>
      <c r="G1459" s="8"/>
      <c r="H1459" s="8"/>
      <c r="I1459" s="10"/>
      <c r="J1459" s="10"/>
      <c r="K1459" s="18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</row>
    <row r="1460" ht="14.25" customHeight="1">
      <c r="A1460" s="9"/>
      <c r="B1460" s="8"/>
      <c r="C1460" s="8"/>
      <c r="D1460" s="8"/>
      <c r="E1460" s="8"/>
      <c r="F1460" s="8"/>
      <c r="G1460" s="8"/>
      <c r="H1460" s="8"/>
      <c r="I1460" s="10"/>
      <c r="J1460" s="10"/>
      <c r="K1460" s="18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</row>
    <row r="1461" ht="14.25" customHeight="1">
      <c r="A1461" s="9"/>
      <c r="B1461" s="8"/>
      <c r="C1461" s="8"/>
      <c r="D1461" s="8"/>
      <c r="E1461" s="8"/>
      <c r="F1461" s="8"/>
      <c r="G1461" s="8"/>
      <c r="H1461" s="8"/>
      <c r="I1461" s="10"/>
      <c r="J1461" s="10"/>
      <c r="K1461" s="18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</row>
    <row r="1462" ht="14.25" customHeight="1">
      <c r="A1462" s="9"/>
      <c r="B1462" s="8"/>
      <c r="C1462" s="8"/>
      <c r="D1462" s="8"/>
      <c r="E1462" s="8"/>
      <c r="F1462" s="8"/>
      <c r="G1462" s="8"/>
      <c r="H1462" s="8"/>
      <c r="I1462" s="10"/>
      <c r="J1462" s="10"/>
      <c r="K1462" s="18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</row>
    <row r="1463" ht="14.25" customHeight="1">
      <c r="A1463" s="9"/>
      <c r="B1463" s="8"/>
      <c r="C1463" s="8"/>
      <c r="D1463" s="8"/>
      <c r="E1463" s="8"/>
      <c r="F1463" s="8"/>
      <c r="G1463" s="8"/>
      <c r="H1463" s="8"/>
      <c r="I1463" s="10"/>
      <c r="J1463" s="10"/>
      <c r="K1463" s="18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</row>
    <row r="1464" ht="14.25" customHeight="1">
      <c r="A1464" s="9"/>
      <c r="B1464" s="8"/>
      <c r="C1464" s="8"/>
      <c r="D1464" s="8"/>
      <c r="E1464" s="8"/>
      <c r="F1464" s="8"/>
      <c r="G1464" s="8"/>
      <c r="H1464" s="8"/>
      <c r="I1464" s="10"/>
      <c r="J1464" s="10"/>
      <c r="K1464" s="18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</row>
    <row r="1465" ht="14.25" customHeight="1">
      <c r="A1465" s="9"/>
      <c r="B1465" s="8"/>
      <c r="C1465" s="8"/>
      <c r="D1465" s="8"/>
      <c r="E1465" s="8"/>
      <c r="F1465" s="8"/>
      <c r="G1465" s="8"/>
      <c r="H1465" s="8"/>
      <c r="I1465" s="10"/>
      <c r="J1465" s="10"/>
      <c r="K1465" s="18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</row>
    <row r="1466" ht="14.25" customHeight="1">
      <c r="A1466" s="9"/>
      <c r="B1466" s="8"/>
      <c r="C1466" s="8"/>
      <c r="D1466" s="8"/>
      <c r="E1466" s="8"/>
      <c r="F1466" s="8"/>
      <c r="G1466" s="8"/>
      <c r="H1466" s="8"/>
      <c r="I1466" s="10"/>
      <c r="J1466" s="10"/>
      <c r="K1466" s="18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</row>
    <row r="1467" ht="14.25" customHeight="1">
      <c r="A1467" s="9"/>
      <c r="B1467" s="8"/>
      <c r="C1467" s="8"/>
      <c r="D1467" s="8"/>
      <c r="E1467" s="8"/>
      <c r="F1467" s="8"/>
      <c r="G1467" s="8"/>
      <c r="H1467" s="8"/>
      <c r="I1467" s="10"/>
      <c r="J1467" s="10"/>
      <c r="K1467" s="18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</row>
    <row r="1468" ht="14.25" customHeight="1">
      <c r="A1468" s="9"/>
      <c r="B1468" s="8"/>
      <c r="C1468" s="8"/>
      <c r="D1468" s="8"/>
      <c r="E1468" s="8"/>
      <c r="F1468" s="8"/>
      <c r="G1468" s="8"/>
      <c r="H1468" s="8"/>
      <c r="I1468" s="10"/>
      <c r="J1468" s="10"/>
      <c r="K1468" s="18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</row>
    <row r="1469" ht="14.25" customHeight="1">
      <c r="A1469" s="9"/>
      <c r="B1469" s="8"/>
      <c r="C1469" s="8"/>
      <c r="D1469" s="8"/>
      <c r="E1469" s="8"/>
      <c r="F1469" s="8"/>
      <c r="G1469" s="8"/>
      <c r="H1469" s="8"/>
      <c r="I1469" s="10"/>
      <c r="J1469" s="10"/>
      <c r="K1469" s="18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</row>
    <row r="1470" ht="14.25" customHeight="1">
      <c r="A1470" s="9"/>
      <c r="B1470" s="8"/>
      <c r="C1470" s="8"/>
      <c r="D1470" s="8"/>
      <c r="E1470" s="8"/>
      <c r="F1470" s="8"/>
      <c r="G1470" s="8"/>
      <c r="H1470" s="8"/>
      <c r="I1470" s="10"/>
      <c r="J1470" s="10"/>
      <c r="K1470" s="18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</row>
    <row r="1471" ht="14.25" customHeight="1">
      <c r="A1471" s="9"/>
      <c r="B1471" s="8"/>
      <c r="C1471" s="8"/>
      <c r="D1471" s="8"/>
      <c r="E1471" s="8"/>
      <c r="F1471" s="8"/>
      <c r="G1471" s="8"/>
      <c r="H1471" s="8"/>
      <c r="I1471" s="10"/>
      <c r="J1471" s="10"/>
      <c r="K1471" s="18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</row>
    <row r="1472" ht="14.25" customHeight="1">
      <c r="A1472" s="9"/>
      <c r="B1472" s="8"/>
      <c r="C1472" s="8"/>
      <c r="D1472" s="8"/>
      <c r="E1472" s="8"/>
      <c r="F1472" s="8"/>
      <c r="G1472" s="8"/>
      <c r="H1472" s="8"/>
      <c r="I1472" s="10"/>
      <c r="J1472" s="10"/>
      <c r="K1472" s="18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</row>
    <row r="1473" ht="14.25" customHeight="1">
      <c r="A1473" s="9"/>
      <c r="B1473" s="8"/>
      <c r="C1473" s="8"/>
      <c r="D1473" s="8"/>
      <c r="E1473" s="8"/>
      <c r="F1473" s="8"/>
      <c r="G1473" s="8"/>
      <c r="H1473" s="8"/>
      <c r="I1473" s="10"/>
      <c r="J1473" s="10"/>
      <c r="K1473" s="18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</row>
    <row r="1474" ht="14.25" customHeight="1">
      <c r="A1474" s="9"/>
      <c r="B1474" s="8"/>
      <c r="C1474" s="8"/>
      <c r="D1474" s="8"/>
      <c r="E1474" s="8"/>
      <c r="F1474" s="8"/>
      <c r="G1474" s="8"/>
      <c r="H1474" s="8"/>
      <c r="I1474" s="10"/>
      <c r="J1474" s="10"/>
      <c r="K1474" s="18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</row>
    <row r="1475" ht="14.25" customHeight="1">
      <c r="A1475" s="9"/>
      <c r="B1475" s="8"/>
      <c r="C1475" s="8"/>
      <c r="D1475" s="8"/>
      <c r="E1475" s="8"/>
      <c r="F1475" s="8"/>
      <c r="G1475" s="8"/>
      <c r="H1475" s="8"/>
      <c r="I1475" s="10"/>
      <c r="J1475" s="10"/>
      <c r="K1475" s="18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</row>
    <row r="1476" ht="14.25" customHeight="1">
      <c r="A1476" s="9"/>
      <c r="B1476" s="8"/>
      <c r="C1476" s="8"/>
      <c r="D1476" s="8"/>
      <c r="E1476" s="8"/>
      <c r="F1476" s="8"/>
      <c r="G1476" s="8"/>
      <c r="H1476" s="8"/>
      <c r="I1476" s="10"/>
      <c r="J1476" s="10"/>
      <c r="K1476" s="18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</row>
    <row r="1477" ht="14.25" customHeight="1">
      <c r="A1477" s="9"/>
      <c r="B1477" s="8"/>
      <c r="C1477" s="8"/>
      <c r="D1477" s="8"/>
      <c r="E1477" s="8"/>
      <c r="F1477" s="8"/>
      <c r="G1477" s="8"/>
      <c r="H1477" s="8"/>
      <c r="I1477" s="10"/>
      <c r="J1477" s="10"/>
      <c r="K1477" s="18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</row>
    <row r="1478" ht="14.25" customHeight="1">
      <c r="A1478" s="9"/>
      <c r="B1478" s="8"/>
      <c r="C1478" s="8"/>
      <c r="D1478" s="8"/>
      <c r="E1478" s="8"/>
      <c r="F1478" s="8"/>
      <c r="G1478" s="8"/>
      <c r="H1478" s="8"/>
      <c r="I1478" s="10"/>
      <c r="J1478" s="10"/>
      <c r="K1478" s="18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</row>
    <row r="1479" ht="14.25" customHeight="1">
      <c r="A1479" s="9"/>
      <c r="B1479" s="8"/>
      <c r="C1479" s="8"/>
      <c r="D1479" s="8"/>
      <c r="E1479" s="8"/>
      <c r="F1479" s="8"/>
      <c r="G1479" s="8"/>
      <c r="H1479" s="8"/>
      <c r="I1479" s="10"/>
      <c r="J1479" s="10"/>
      <c r="K1479" s="18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</row>
    <row r="1480" ht="14.25" customHeight="1">
      <c r="A1480" s="9"/>
      <c r="B1480" s="8"/>
      <c r="C1480" s="8"/>
      <c r="D1480" s="8"/>
      <c r="E1480" s="8"/>
      <c r="F1480" s="8"/>
      <c r="G1480" s="8"/>
      <c r="H1480" s="8"/>
      <c r="I1480" s="10"/>
      <c r="J1480" s="10"/>
      <c r="K1480" s="18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</row>
    <row r="1481" ht="14.25" customHeight="1">
      <c r="A1481" s="9"/>
      <c r="B1481" s="8"/>
      <c r="C1481" s="8"/>
      <c r="D1481" s="8"/>
      <c r="E1481" s="8"/>
      <c r="F1481" s="8"/>
      <c r="G1481" s="8"/>
      <c r="H1481" s="8"/>
      <c r="I1481" s="10"/>
      <c r="J1481" s="10"/>
      <c r="K1481" s="18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</row>
    <row r="1482" ht="14.25" customHeight="1">
      <c r="A1482" s="9"/>
      <c r="B1482" s="8"/>
      <c r="C1482" s="8"/>
      <c r="D1482" s="8"/>
      <c r="E1482" s="8"/>
      <c r="F1482" s="8"/>
      <c r="G1482" s="8"/>
      <c r="H1482" s="8"/>
      <c r="I1482" s="10"/>
      <c r="J1482" s="10"/>
      <c r="K1482" s="18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</row>
    <row r="1483" ht="14.25" customHeight="1">
      <c r="A1483" s="9"/>
      <c r="B1483" s="8"/>
      <c r="C1483" s="8"/>
      <c r="D1483" s="8"/>
      <c r="E1483" s="8"/>
      <c r="F1483" s="8"/>
      <c r="G1483" s="8"/>
      <c r="H1483" s="8"/>
      <c r="I1483" s="10"/>
      <c r="J1483" s="10"/>
      <c r="K1483" s="18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</row>
    <row r="1484" ht="14.25" customHeight="1">
      <c r="A1484" s="9"/>
      <c r="B1484" s="8"/>
      <c r="C1484" s="8"/>
      <c r="D1484" s="8"/>
      <c r="E1484" s="8"/>
      <c r="F1484" s="8"/>
      <c r="G1484" s="8"/>
      <c r="H1484" s="8"/>
      <c r="I1484" s="10"/>
      <c r="J1484" s="10"/>
      <c r="K1484" s="18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</row>
    <row r="1485" ht="14.25" customHeight="1">
      <c r="A1485" s="9"/>
      <c r="B1485" s="8"/>
      <c r="C1485" s="8"/>
      <c r="D1485" s="8"/>
      <c r="E1485" s="8"/>
      <c r="F1485" s="8"/>
      <c r="G1485" s="8"/>
      <c r="H1485" s="8"/>
      <c r="I1485" s="10"/>
      <c r="J1485" s="10"/>
      <c r="K1485" s="18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</row>
    <row r="1486" ht="14.25" customHeight="1">
      <c r="A1486" s="9"/>
      <c r="B1486" s="8"/>
      <c r="C1486" s="8"/>
      <c r="D1486" s="8"/>
      <c r="E1486" s="8"/>
      <c r="F1486" s="8"/>
      <c r="G1486" s="8"/>
      <c r="H1486" s="8"/>
      <c r="I1486" s="10"/>
      <c r="J1486" s="10"/>
      <c r="K1486" s="18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</row>
    <row r="1487" ht="14.25" customHeight="1">
      <c r="A1487" s="9"/>
      <c r="B1487" s="8"/>
      <c r="C1487" s="8"/>
      <c r="D1487" s="8"/>
      <c r="E1487" s="8"/>
      <c r="F1487" s="8"/>
      <c r="G1487" s="8"/>
      <c r="H1487" s="8"/>
      <c r="I1487" s="10"/>
      <c r="J1487" s="10"/>
      <c r="K1487" s="18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</row>
    <row r="1488" ht="14.25" customHeight="1">
      <c r="A1488" s="9"/>
      <c r="B1488" s="8"/>
      <c r="C1488" s="8"/>
      <c r="D1488" s="8"/>
      <c r="E1488" s="8"/>
      <c r="F1488" s="8"/>
      <c r="G1488" s="8"/>
      <c r="H1488" s="8"/>
      <c r="I1488" s="10"/>
      <c r="J1488" s="10"/>
      <c r="K1488" s="18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</row>
    <row r="1489" ht="14.25" customHeight="1">
      <c r="A1489" s="9"/>
      <c r="B1489" s="8"/>
      <c r="C1489" s="8"/>
      <c r="D1489" s="8"/>
      <c r="E1489" s="8"/>
      <c r="F1489" s="8"/>
      <c r="G1489" s="8"/>
      <c r="H1489" s="8"/>
      <c r="I1489" s="10"/>
      <c r="J1489" s="10"/>
      <c r="K1489" s="18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</row>
    <row r="1490" ht="14.25" customHeight="1">
      <c r="A1490" s="9"/>
      <c r="B1490" s="8"/>
      <c r="C1490" s="8"/>
      <c r="D1490" s="8"/>
      <c r="E1490" s="8"/>
      <c r="F1490" s="8"/>
      <c r="G1490" s="8"/>
      <c r="H1490" s="8"/>
      <c r="I1490" s="10"/>
      <c r="J1490" s="10"/>
      <c r="K1490" s="18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</row>
    <row r="1491" ht="14.25" customHeight="1">
      <c r="A1491" s="9"/>
      <c r="B1491" s="8"/>
      <c r="C1491" s="8"/>
      <c r="D1491" s="8"/>
      <c r="E1491" s="8"/>
      <c r="F1491" s="8"/>
      <c r="G1491" s="8"/>
      <c r="H1491" s="8"/>
      <c r="I1491" s="10"/>
      <c r="J1491" s="10"/>
      <c r="K1491" s="18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</row>
    <row r="1492" ht="14.25" customHeight="1">
      <c r="A1492" s="9"/>
      <c r="B1492" s="8"/>
      <c r="C1492" s="8"/>
      <c r="D1492" s="8"/>
      <c r="E1492" s="8"/>
      <c r="F1492" s="8"/>
      <c r="G1492" s="8"/>
      <c r="H1492" s="8"/>
      <c r="I1492" s="10"/>
      <c r="J1492" s="10"/>
      <c r="K1492" s="18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</row>
    <row r="1493" ht="14.25" customHeight="1">
      <c r="A1493" s="9"/>
      <c r="B1493" s="8"/>
      <c r="C1493" s="8"/>
      <c r="D1493" s="8"/>
      <c r="E1493" s="8"/>
      <c r="F1493" s="8"/>
      <c r="G1493" s="8"/>
      <c r="H1493" s="8"/>
      <c r="I1493" s="10"/>
      <c r="J1493" s="10"/>
      <c r="K1493" s="18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</row>
    <row r="1494" ht="14.25" customHeight="1">
      <c r="A1494" s="9"/>
      <c r="B1494" s="8"/>
      <c r="C1494" s="8"/>
      <c r="D1494" s="8"/>
      <c r="E1494" s="8"/>
      <c r="F1494" s="8"/>
      <c r="G1494" s="8"/>
      <c r="H1494" s="8"/>
      <c r="I1494" s="10"/>
      <c r="J1494" s="10"/>
      <c r="K1494" s="18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</row>
    <row r="1495" ht="14.25" customHeight="1">
      <c r="A1495" s="9"/>
      <c r="B1495" s="8"/>
      <c r="C1495" s="8"/>
      <c r="D1495" s="8"/>
      <c r="E1495" s="8"/>
      <c r="F1495" s="8"/>
      <c r="G1495" s="8"/>
      <c r="H1495" s="8"/>
      <c r="I1495" s="10"/>
      <c r="J1495" s="10"/>
      <c r="K1495" s="18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</row>
    <row r="1496" ht="14.25" customHeight="1">
      <c r="A1496" s="9"/>
      <c r="B1496" s="8"/>
      <c r="C1496" s="8"/>
      <c r="D1496" s="8"/>
      <c r="E1496" s="8"/>
      <c r="F1496" s="8"/>
      <c r="G1496" s="8"/>
      <c r="H1496" s="8"/>
      <c r="I1496" s="10"/>
      <c r="J1496" s="10"/>
      <c r="K1496" s="18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</row>
    <row r="1497" ht="14.25" customHeight="1">
      <c r="A1497" s="9"/>
      <c r="B1497" s="8"/>
      <c r="C1497" s="8"/>
      <c r="D1497" s="8"/>
      <c r="E1497" s="8"/>
      <c r="F1497" s="8"/>
      <c r="G1497" s="8"/>
      <c r="H1497" s="8"/>
      <c r="I1497" s="10"/>
      <c r="J1497" s="10"/>
      <c r="K1497" s="18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</row>
    <row r="1498" ht="14.25" customHeight="1">
      <c r="A1498" s="9"/>
      <c r="B1498" s="8"/>
      <c r="C1498" s="8"/>
      <c r="D1498" s="8"/>
      <c r="E1498" s="8"/>
      <c r="F1498" s="8"/>
      <c r="G1498" s="8"/>
      <c r="H1498" s="8"/>
      <c r="I1498" s="10"/>
      <c r="J1498" s="10"/>
      <c r="K1498" s="18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</row>
    <row r="1499" ht="14.25" customHeight="1">
      <c r="A1499" s="9"/>
      <c r="B1499" s="8"/>
      <c r="C1499" s="8"/>
      <c r="D1499" s="8"/>
      <c r="E1499" s="8"/>
      <c r="F1499" s="8"/>
      <c r="G1499" s="8"/>
      <c r="H1499" s="8"/>
      <c r="I1499" s="10"/>
      <c r="J1499" s="10"/>
      <c r="K1499" s="18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</row>
    <row r="1500" ht="14.25" customHeight="1">
      <c r="A1500" s="9"/>
      <c r="B1500" s="8"/>
      <c r="C1500" s="8"/>
      <c r="D1500" s="8"/>
      <c r="E1500" s="8"/>
      <c r="F1500" s="8"/>
      <c r="G1500" s="8"/>
      <c r="H1500" s="8"/>
      <c r="I1500" s="10"/>
      <c r="J1500" s="10"/>
      <c r="K1500" s="18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</row>
    <row r="1501" ht="14.25" customHeight="1">
      <c r="A1501" s="9"/>
      <c r="B1501" s="8"/>
      <c r="C1501" s="8"/>
      <c r="D1501" s="8"/>
      <c r="E1501" s="8"/>
      <c r="F1501" s="8"/>
      <c r="G1501" s="8"/>
      <c r="H1501" s="8"/>
      <c r="I1501" s="10"/>
      <c r="J1501" s="10"/>
      <c r="K1501" s="18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</row>
    <row r="1502" ht="14.25" customHeight="1">
      <c r="A1502" s="9"/>
      <c r="B1502" s="8"/>
      <c r="C1502" s="8"/>
      <c r="D1502" s="8"/>
      <c r="E1502" s="8"/>
      <c r="F1502" s="8"/>
      <c r="G1502" s="8"/>
      <c r="H1502" s="8"/>
      <c r="I1502" s="10"/>
      <c r="J1502" s="10"/>
      <c r="K1502" s="18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</row>
    <row r="1503" ht="14.25" customHeight="1">
      <c r="A1503" s="9"/>
      <c r="B1503" s="8"/>
      <c r="C1503" s="8"/>
      <c r="D1503" s="8"/>
      <c r="E1503" s="8"/>
      <c r="F1503" s="8"/>
      <c r="G1503" s="8"/>
      <c r="H1503" s="8"/>
      <c r="I1503" s="10"/>
      <c r="J1503" s="10"/>
      <c r="K1503" s="18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</row>
    <row r="1504" ht="14.25" customHeight="1">
      <c r="A1504" s="9"/>
      <c r="B1504" s="8"/>
      <c r="C1504" s="8"/>
      <c r="D1504" s="8"/>
      <c r="E1504" s="8"/>
      <c r="F1504" s="8"/>
      <c r="G1504" s="8"/>
      <c r="H1504" s="8"/>
      <c r="I1504" s="10"/>
      <c r="J1504" s="10"/>
      <c r="K1504" s="18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</row>
    <row r="1505" ht="14.25" customHeight="1">
      <c r="A1505" s="9"/>
      <c r="B1505" s="8"/>
      <c r="C1505" s="8"/>
      <c r="D1505" s="8"/>
      <c r="E1505" s="8"/>
      <c r="F1505" s="8"/>
      <c r="G1505" s="8"/>
      <c r="H1505" s="8"/>
      <c r="I1505" s="10"/>
      <c r="J1505" s="10"/>
      <c r="K1505" s="18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</row>
    <row r="1506" ht="14.25" customHeight="1">
      <c r="A1506" s="9"/>
      <c r="B1506" s="8"/>
      <c r="C1506" s="8"/>
      <c r="D1506" s="8"/>
      <c r="E1506" s="8"/>
      <c r="F1506" s="8"/>
      <c r="G1506" s="8"/>
      <c r="H1506" s="8"/>
      <c r="I1506" s="10"/>
      <c r="J1506" s="10"/>
      <c r="K1506" s="18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</row>
    <row r="1507" ht="14.25" customHeight="1">
      <c r="A1507" s="9"/>
      <c r="B1507" s="8"/>
      <c r="C1507" s="8"/>
      <c r="D1507" s="8"/>
      <c r="E1507" s="8"/>
      <c r="F1507" s="8"/>
      <c r="G1507" s="8"/>
      <c r="H1507" s="8"/>
      <c r="I1507" s="10"/>
      <c r="J1507" s="10"/>
      <c r="K1507" s="18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</row>
    <row r="1508" ht="14.25" customHeight="1">
      <c r="A1508" s="9"/>
      <c r="B1508" s="8"/>
      <c r="C1508" s="8"/>
      <c r="D1508" s="8"/>
      <c r="E1508" s="8"/>
      <c r="F1508" s="8"/>
      <c r="G1508" s="8"/>
      <c r="H1508" s="8"/>
      <c r="I1508" s="10"/>
      <c r="J1508" s="10"/>
      <c r="K1508" s="18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</row>
    <row r="1509" ht="14.25" customHeight="1">
      <c r="A1509" s="9"/>
      <c r="B1509" s="8"/>
      <c r="C1509" s="8"/>
      <c r="D1509" s="8"/>
      <c r="E1509" s="8"/>
      <c r="F1509" s="8"/>
      <c r="G1509" s="8"/>
      <c r="H1509" s="8"/>
      <c r="I1509" s="10"/>
      <c r="J1509" s="10"/>
      <c r="K1509" s="18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</row>
    <row r="1510" ht="14.25" customHeight="1">
      <c r="A1510" s="9"/>
      <c r="B1510" s="8"/>
      <c r="C1510" s="8"/>
      <c r="D1510" s="8"/>
      <c r="E1510" s="8"/>
      <c r="F1510" s="8"/>
      <c r="G1510" s="8"/>
      <c r="H1510" s="8"/>
      <c r="I1510" s="10"/>
      <c r="J1510" s="10"/>
      <c r="K1510" s="18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</row>
    <row r="1511" ht="14.25" customHeight="1">
      <c r="A1511" s="9"/>
      <c r="B1511" s="8"/>
      <c r="C1511" s="8"/>
      <c r="D1511" s="8"/>
      <c r="E1511" s="8"/>
      <c r="F1511" s="8"/>
      <c r="G1511" s="8"/>
      <c r="H1511" s="8"/>
      <c r="I1511" s="10"/>
      <c r="J1511" s="10"/>
      <c r="K1511" s="18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</row>
    <row r="1512" ht="14.25" customHeight="1">
      <c r="A1512" s="9"/>
      <c r="B1512" s="8"/>
      <c r="C1512" s="8"/>
      <c r="D1512" s="8"/>
      <c r="E1512" s="8"/>
      <c r="F1512" s="8"/>
      <c r="G1512" s="8"/>
      <c r="H1512" s="8"/>
      <c r="I1512" s="10"/>
      <c r="J1512" s="10"/>
      <c r="K1512" s="18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</row>
    <row r="1513" ht="14.25" customHeight="1">
      <c r="A1513" s="9"/>
      <c r="B1513" s="8"/>
      <c r="C1513" s="8"/>
      <c r="D1513" s="8"/>
      <c r="E1513" s="8"/>
      <c r="F1513" s="8"/>
      <c r="G1513" s="8"/>
      <c r="H1513" s="8"/>
      <c r="I1513" s="10"/>
      <c r="J1513" s="10"/>
      <c r="K1513" s="18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</row>
    <row r="1514" ht="14.25" customHeight="1">
      <c r="A1514" s="9"/>
      <c r="B1514" s="8"/>
      <c r="C1514" s="8"/>
      <c r="D1514" s="8"/>
      <c r="E1514" s="8"/>
      <c r="F1514" s="8"/>
      <c r="G1514" s="8"/>
      <c r="H1514" s="8"/>
      <c r="I1514" s="10"/>
      <c r="J1514" s="10"/>
      <c r="K1514" s="18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</row>
    <row r="1515" ht="14.25" customHeight="1">
      <c r="A1515" s="9"/>
      <c r="B1515" s="8"/>
      <c r="C1515" s="8"/>
      <c r="D1515" s="8"/>
      <c r="E1515" s="8"/>
      <c r="F1515" s="8"/>
      <c r="G1515" s="8"/>
      <c r="H1515" s="8"/>
      <c r="I1515" s="10"/>
      <c r="J1515" s="10"/>
      <c r="K1515" s="18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</row>
    <row r="1516" ht="14.25" customHeight="1">
      <c r="A1516" s="9"/>
      <c r="B1516" s="8"/>
      <c r="C1516" s="8"/>
      <c r="D1516" s="8"/>
      <c r="E1516" s="8"/>
      <c r="F1516" s="8"/>
      <c r="G1516" s="8"/>
      <c r="H1516" s="8"/>
      <c r="I1516" s="10"/>
      <c r="J1516" s="10"/>
      <c r="K1516" s="18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</row>
    <row r="1517" ht="14.25" customHeight="1">
      <c r="A1517" s="9"/>
      <c r="B1517" s="8"/>
      <c r="C1517" s="8"/>
      <c r="D1517" s="8"/>
      <c r="E1517" s="8"/>
      <c r="F1517" s="8"/>
      <c r="G1517" s="8"/>
      <c r="H1517" s="8"/>
      <c r="I1517" s="10"/>
      <c r="J1517" s="10"/>
      <c r="K1517" s="18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</row>
    <row r="1518" ht="14.25" customHeight="1">
      <c r="A1518" s="9"/>
      <c r="B1518" s="8"/>
      <c r="C1518" s="8"/>
      <c r="D1518" s="8"/>
      <c r="E1518" s="8"/>
      <c r="F1518" s="8"/>
      <c r="G1518" s="8"/>
      <c r="H1518" s="8"/>
      <c r="I1518" s="10"/>
      <c r="J1518" s="10"/>
      <c r="K1518" s="18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</row>
    <row r="1519" ht="14.25" customHeight="1">
      <c r="A1519" s="9"/>
      <c r="B1519" s="8"/>
      <c r="C1519" s="8"/>
      <c r="D1519" s="8"/>
      <c r="E1519" s="8"/>
      <c r="F1519" s="8"/>
      <c r="G1519" s="8"/>
      <c r="H1519" s="8"/>
      <c r="I1519" s="10"/>
      <c r="J1519" s="10"/>
      <c r="K1519" s="18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</row>
    <row r="1520" ht="14.25" customHeight="1">
      <c r="A1520" s="9"/>
      <c r="B1520" s="8"/>
      <c r="C1520" s="8"/>
      <c r="D1520" s="8"/>
      <c r="E1520" s="8"/>
      <c r="F1520" s="8"/>
      <c r="G1520" s="8"/>
      <c r="H1520" s="8"/>
      <c r="I1520" s="10"/>
      <c r="J1520" s="10"/>
      <c r="K1520" s="18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</row>
    <row r="1521" ht="14.25" customHeight="1">
      <c r="A1521" s="9"/>
      <c r="B1521" s="8"/>
      <c r="C1521" s="8"/>
      <c r="D1521" s="8"/>
      <c r="E1521" s="8"/>
      <c r="F1521" s="8"/>
      <c r="G1521" s="8"/>
      <c r="H1521" s="8"/>
      <c r="I1521" s="10"/>
      <c r="J1521" s="10"/>
      <c r="K1521" s="18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</row>
    <row r="1522" ht="14.25" customHeight="1">
      <c r="A1522" s="9"/>
      <c r="B1522" s="8"/>
      <c r="C1522" s="8"/>
      <c r="D1522" s="8"/>
      <c r="E1522" s="8"/>
      <c r="F1522" s="8"/>
      <c r="G1522" s="8"/>
      <c r="H1522" s="8"/>
      <c r="I1522" s="10"/>
      <c r="J1522" s="10"/>
      <c r="K1522" s="18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</row>
    <row r="1523" ht="14.25" customHeight="1">
      <c r="A1523" s="9"/>
      <c r="B1523" s="8"/>
      <c r="C1523" s="8"/>
      <c r="D1523" s="8"/>
      <c r="E1523" s="8"/>
      <c r="F1523" s="8"/>
      <c r="G1523" s="8"/>
      <c r="H1523" s="8"/>
      <c r="I1523" s="10"/>
      <c r="J1523" s="10"/>
      <c r="K1523" s="18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</row>
    <row r="1524" ht="14.25" customHeight="1">
      <c r="A1524" s="9"/>
      <c r="B1524" s="8"/>
      <c r="C1524" s="8"/>
      <c r="D1524" s="8"/>
      <c r="E1524" s="8"/>
      <c r="F1524" s="8"/>
      <c r="G1524" s="8"/>
      <c r="H1524" s="8"/>
      <c r="I1524" s="10"/>
      <c r="J1524" s="10"/>
      <c r="K1524" s="18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</row>
    <row r="1525" ht="14.25" customHeight="1">
      <c r="A1525" s="9"/>
      <c r="B1525" s="8"/>
      <c r="C1525" s="8"/>
      <c r="D1525" s="8"/>
      <c r="E1525" s="8"/>
      <c r="F1525" s="8"/>
      <c r="G1525" s="8"/>
      <c r="H1525" s="8"/>
      <c r="I1525" s="10"/>
      <c r="J1525" s="10"/>
      <c r="K1525" s="18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</row>
    <row r="1526" ht="14.25" customHeight="1">
      <c r="A1526" s="9"/>
      <c r="B1526" s="8"/>
      <c r="C1526" s="8"/>
      <c r="D1526" s="8"/>
      <c r="E1526" s="8"/>
      <c r="F1526" s="8"/>
      <c r="G1526" s="8"/>
      <c r="H1526" s="8"/>
      <c r="I1526" s="10"/>
      <c r="J1526" s="10"/>
      <c r="K1526" s="18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</row>
    <row r="1527" ht="14.25" customHeight="1">
      <c r="A1527" s="9"/>
      <c r="B1527" s="8"/>
      <c r="C1527" s="8"/>
      <c r="D1527" s="8"/>
      <c r="E1527" s="8"/>
      <c r="F1527" s="8"/>
      <c r="G1527" s="8"/>
      <c r="H1527" s="8"/>
      <c r="I1527" s="10"/>
      <c r="J1527" s="10"/>
      <c r="K1527" s="18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</row>
    <row r="1528" ht="14.25" customHeight="1">
      <c r="A1528" s="9"/>
      <c r="B1528" s="8"/>
      <c r="C1528" s="8"/>
      <c r="D1528" s="8"/>
      <c r="E1528" s="8"/>
      <c r="F1528" s="8"/>
      <c r="G1528" s="8"/>
      <c r="H1528" s="8"/>
      <c r="I1528" s="10"/>
      <c r="J1528" s="10"/>
      <c r="K1528" s="18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</row>
    <row r="1529" ht="14.25" customHeight="1">
      <c r="A1529" s="9"/>
      <c r="B1529" s="8"/>
      <c r="C1529" s="8"/>
      <c r="D1529" s="8"/>
      <c r="E1529" s="8"/>
      <c r="F1529" s="8"/>
      <c r="G1529" s="8"/>
      <c r="H1529" s="8"/>
      <c r="I1529" s="10"/>
      <c r="J1529" s="10"/>
      <c r="K1529" s="18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</row>
    <row r="1530" ht="14.25" customHeight="1">
      <c r="A1530" s="9"/>
      <c r="B1530" s="8"/>
      <c r="C1530" s="8"/>
      <c r="D1530" s="8"/>
      <c r="E1530" s="8"/>
      <c r="F1530" s="8"/>
      <c r="G1530" s="8"/>
      <c r="H1530" s="8"/>
      <c r="I1530" s="10"/>
      <c r="J1530" s="10"/>
      <c r="K1530" s="18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</row>
    <row r="1531" ht="14.25" customHeight="1">
      <c r="A1531" s="9"/>
      <c r="B1531" s="8"/>
      <c r="C1531" s="8"/>
      <c r="D1531" s="8"/>
      <c r="E1531" s="8"/>
      <c r="F1531" s="8"/>
      <c r="G1531" s="8"/>
      <c r="H1531" s="8"/>
      <c r="I1531" s="10"/>
      <c r="J1531" s="10"/>
      <c r="K1531" s="18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</row>
    <row r="1532" ht="14.25" customHeight="1">
      <c r="A1532" s="9"/>
      <c r="B1532" s="8"/>
      <c r="C1532" s="8"/>
      <c r="D1532" s="8"/>
      <c r="E1532" s="8"/>
      <c r="F1532" s="8"/>
      <c r="G1532" s="8"/>
      <c r="H1532" s="8"/>
      <c r="I1532" s="10"/>
      <c r="J1532" s="10"/>
      <c r="K1532" s="18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</row>
    <row r="1533" ht="14.25" customHeight="1">
      <c r="A1533" s="9"/>
      <c r="B1533" s="8"/>
      <c r="C1533" s="8"/>
      <c r="D1533" s="8"/>
      <c r="E1533" s="8"/>
      <c r="F1533" s="8"/>
      <c r="G1533" s="8"/>
      <c r="H1533" s="8"/>
      <c r="I1533" s="10"/>
      <c r="J1533" s="10"/>
      <c r="K1533" s="18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</row>
    <row r="1534" ht="14.25" customHeight="1">
      <c r="A1534" s="9"/>
      <c r="B1534" s="8"/>
      <c r="C1534" s="8"/>
      <c r="D1534" s="8"/>
      <c r="E1534" s="8"/>
      <c r="F1534" s="8"/>
      <c r="G1534" s="8"/>
      <c r="H1534" s="8"/>
      <c r="I1534" s="10"/>
      <c r="J1534" s="10"/>
      <c r="K1534" s="18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</row>
    <row r="1535" ht="14.25" customHeight="1">
      <c r="A1535" s="9"/>
      <c r="B1535" s="8"/>
      <c r="C1535" s="8"/>
      <c r="D1535" s="8"/>
      <c r="E1535" s="8"/>
      <c r="F1535" s="8"/>
      <c r="G1535" s="8"/>
      <c r="H1535" s="8"/>
      <c r="I1535" s="10"/>
      <c r="J1535" s="10"/>
      <c r="K1535" s="18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</row>
    <row r="1536" ht="14.25" customHeight="1">
      <c r="A1536" s="9"/>
      <c r="B1536" s="8"/>
      <c r="C1536" s="8"/>
      <c r="D1536" s="8"/>
      <c r="E1536" s="8"/>
      <c r="F1536" s="8"/>
      <c r="G1536" s="8"/>
      <c r="H1536" s="8"/>
      <c r="I1536" s="10"/>
      <c r="J1536" s="10"/>
      <c r="K1536" s="18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</row>
    <row r="1537" ht="14.25" customHeight="1">
      <c r="A1537" s="9"/>
      <c r="B1537" s="8"/>
      <c r="C1537" s="8"/>
      <c r="D1537" s="8"/>
      <c r="E1537" s="8"/>
      <c r="F1537" s="8"/>
      <c r="G1537" s="8"/>
      <c r="H1537" s="8"/>
      <c r="I1537" s="10"/>
      <c r="J1537" s="10"/>
      <c r="K1537" s="18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</row>
    <row r="1538" ht="14.25" customHeight="1">
      <c r="A1538" s="9"/>
      <c r="B1538" s="8"/>
      <c r="C1538" s="8"/>
      <c r="D1538" s="8"/>
      <c r="E1538" s="8"/>
      <c r="F1538" s="8"/>
      <c r="G1538" s="8"/>
      <c r="H1538" s="8"/>
      <c r="I1538" s="10"/>
      <c r="J1538" s="10"/>
      <c r="K1538" s="18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</row>
    <row r="1539" ht="14.25" customHeight="1">
      <c r="A1539" s="9"/>
      <c r="B1539" s="8"/>
      <c r="C1539" s="8"/>
      <c r="D1539" s="8"/>
      <c r="E1539" s="8"/>
      <c r="F1539" s="8"/>
      <c r="G1539" s="8"/>
      <c r="H1539" s="8"/>
      <c r="I1539" s="10"/>
      <c r="J1539" s="10"/>
      <c r="K1539" s="18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</row>
    <row r="1540" ht="14.25" customHeight="1">
      <c r="A1540" s="9"/>
      <c r="B1540" s="8"/>
      <c r="C1540" s="8"/>
      <c r="D1540" s="8"/>
      <c r="E1540" s="8"/>
      <c r="F1540" s="8"/>
      <c r="G1540" s="8"/>
      <c r="H1540" s="8"/>
      <c r="I1540" s="10"/>
      <c r="J1540" s="10"/>
      <c r="K1540" s="18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</row>
    <row r="1541" ht="14.25" customHeight="1">
      <c r="A1541" s="9"/>
      <c r="B1541" s="8"/>
      <c r="C1541" s="8"/>
      <c r="D1541" s="8"/>
      <c r="E1541" s="8"/>
      <c r="F1541" s="8"/>
      <c r="G1541" s="8"/>
      <c r="H1541" s="8"/>
      <c r="I1541" s="10"/>
      <c r="J1541" s="10"/>
      <c r="K1541" s="18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</row>
    <row r="1542" ht="14.25" customHeight="1">
      <c r="A1542" s="9"/>
      <c r="B1542" s="8"/>
      <c r="C1542" s="8"/>
      <c r="D1542" s="8"/>
      <c r="E1542" s="8"/>
      <c r="F1542" s="8"/>
      <c r="G1542" s="8"/>
      <c r="H1542" s="8"/>
      <c r="I1542" s="10"/>
      <c r="J1542" s="10"/>
      <c r="K1542" s="18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</row>
    <row r="1543" ht="14.25" customHeight="1">
      <c r="A1543" s="9"/>
      <c r="B1543" s="8"/>
      <c r="C1543" s="8"/>
      <c r="D1543" s="8"/>
      <c r="E1543" s="8"/>
      <c r="F1543" s="8"/>
      <c r="G1543" s="8"/>
      <c r="H1543" s="8"/>
      <c r="I1543" s="10"/>
      <c r="J1543" s="10"/>
      <c r="K1543" s="18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</row>
    <row r="1544" ht="14.25" customHeight="1">
      <c r="A1544" s="9"/>
      <c r="B1544" s="8"/>
      <c r="C1544" s="8"/>
      <c r="D1544" s="8"/>
      <c r="E1544" s="8"/>
      <c r="F1544" s="8"/>
      <c r="G1544" s="8"/>
      <c r="H1544" s="8"/>
      <c r="I1544" s="10"/>
      <c r="J1544" s="10"/>
      <c r="K1544" s="18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</row>
    <row r="1545" ht="14.25" customHeight="1">
      <c r="A1545" s="9"/>
      <c r="B1545" s="8"/>
      <c r="C1545" s="8"/>
      <c r="D1545" s="8"/>
      <c r="E1545" s="8"/>
      <c r="F1545" s="8"/>
      <c r="G1545" s="8"/>
      <c r="H1545" s="8"/>
      <c r="I1545" s="10"/>
      <c r="J1545" s="10"/>
      <c r="K1545" s="18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</row>
    <row r="1546" ht="14.25" customHeight="1">
      <c r="A1546" s="9"/>
      <c r="B1546" s="8"/>
      <c r="C1546" s="8"/>
      <c r="D1546" s="8"/>
      <c r="E1546" s="8"/>
      <c r="F1546" s="8"/>
      <c r="G1546" s="8"/>
      <c r="H1546" s="8"/>
      <c r="I1546" s="10"/>
      <c r="J1546" s="10"/>
      <c r="K1546" s="18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</row>
    <row r="1547" ht="14.25" customHeight="1">
      <c r="A1547" s="9"/>
      <c r="B1547" s="8"/>
      <c r="C1547" s="8"/>
      <c r="D1547" s="8"/>
      <c r="E1547" s="8"/>
      <c r="F1547" s="8"/>
      <c r="G1547" s="8"/>
      <c r="H1547" s="8"/>
      <c r="I1547" s="10"/>
      <c r="J1547" s="10"/>
      <c r="K1547" s="18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</row>
    <row r="1548" ht="14.25" customHeight="1">
      <c r="A1548" s="9"/>
      <c r="B1548" s="8"/>
      <c r="C1548" s="8"/>
      <c r="D1548" s="8"/>
      <c r="E1548" s="8"/>
      <c r="F1548" s="8"/>
      <c r="G1548" s="8"/>
      <c r="H1548" s="8"/>
      <c r="I1548" s="10"/>
      <c r="J1548" s="10"/>
      <c r="K1548" s="18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</row>
    <row r="1549" ht="14.25" customHeight="1">
      <c r="A1549" s="9"/>
      <c r="B1549" s="8"/>
      <c r="C1549" s="8"/>
      <c r="D1549" s="8"/>
      <c r="E1549" s="8"/>
      <c r="F1549" s="8"/>
      <c r="G1549" s="8"/>
      <c r="H1549" s="8"/>
      <c r="I1549" s="10"/>
      <c r="J1549" s="10"/>
      <c r="K1549" s="18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</row>
    <row r="1550" ht="14.25" customHeight="1">
      <c r="A1550" s="9"/>
      <c r="B1550" s="8"/>
      <c r="C1550" s="8"/>
      <c r="D1550" s="8"/>
      <c r="E1550" s="8"/>
      <c r="F1550" s="8"/>
      <c r="G1550" s="8"/>
      <c r="H1550" s="8"/>
      <c r="I1550" s="10"/>
      <c r="J1550" s="10"/>
      <c r="K1550" s="18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</row>
    <row r="1551" ht="14.25" customHeight="1">
      <c r="A1551" s="9"/>
      <c r="B1551" s="8"/>
      <c r="C1551" s="8"/>
      <c r="D1551" s="8"/>
      <c r="E1551" s="8"/>
      <c r="F1551" s="8"/>
      <c r="G1551" s="8"/>
      <c r="H1551" s="8"/>
      <c r="I1551" s="10"/>
      <c r="J1551" s="10"/>
      <c r="K1551" s="18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</row>
    <row r="1552" ht="14.25" customHeight="1">
      <c r="A1552" s="9"/>
      <c r="B1552" s="8"/>
      <c r="C1552" s="8"/>
      <c r="D1552" s="8"/>
      <c r="E1552" s="8"/>
      <c r="F1552" s="8"/>
      <c r="G1552" s="8"/>
      <c r="H1552" s="8"/>
      <c r="I1552" s="10"/>
      <c r="J1552" s="10"/>
      <c r="K1552" s="18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</row>
    <row r="1553" ht="14.25" customHeight="1">
      <c r="A1553" s="9"/>
      <c r="B1553" s="8"/>
      <c r="C1553" s="8"/>
      <c r="D1553" s="8"/>
      <c r="E1553" s="8"/>
      <c r="F1553" s="8"/>
      <c r="G1553" s="8"/>
      <c r="H1553" s="8"/>
      <c r="I1553" s="10"/>
      <c r="J1553" s="10"/>
      <c r="K1553" s="18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</row>
    <row r="1554" ht="14.25" customHeight="1">
      <c r="A1554" s="9"/>
      <c r="B1554" s="8"/>
      <c r="C1554" s="8"/>
      <c r="D1554" s="8"/>
      <c r="E1554" s="8"/>
      <c r="F1554" s="8"/>
      <c r="G1554" s="8"/>
      <c r="H1554" s="8"/>
      <c r="I1554" s="10"/>
      <c r="J1554" s="10"/>
      <c r="K1554" s="18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</row>
    <row r="1555" ht="14.25" customHeight="1">
      <c r="A1555" s="9"/>
      <c r="B1555" s="8"/>
      <c r="C1555" s="8"/>
      <c r="D1555" s="8"/>
      <c r="E1555" s="8"/>
      <c r="F1555" s="8"/>
      <c r="G1555" s="8"/>
      <c r="H1555" s="8"/>
      <c r="I1555" s="10"/>
      <c r="J1555" s="10"/>
      <c r="K1555" s="18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</row>
    <row r="1556" ht="14.25" customHeight="1">
      <c r="A1556" s="9"/>
      <c r="B1556" s="8"/>
      <c r="C1556" s="8"/>
      <c r="D1556" s="8"/>
      <c r="E1556" s="8"/>
      <c r="F1556" s="8"/>
      <c r="G1556" s="8"/>
      <c r="H1556" s="8"/>
      <c r="I1556" s="10"/>
      <c r="J1556" s="10"/>
      <c r="K1556" s="18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</row>
    <row r="1557" ht="14.25" customHeight="1">
      <c r="A1557" s="9"/>
      <c r="B1557" s="8"/>
      <c r="C1557" s="8"/>
      <c r="D1557" s="8"/>
      <c r="E1557" s="8"/>
      <c r="F1557" s="8"/>
      <c r="G1557" s="8"/>
      <c r="H1557" s="8"/>
      <c r="I1557" s="10"/>
      <c r="J1557" s="10"/>
      <c r="K1557" s="18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</row>
    <row r="1558" ht="14.25" customHeight="1">
      <c r="A1558" s="9"/>
      <c r="B1558" s="8"/>
      <c r="C1558" s="8"/>
      <c r="D1558" s="8"/>
      <c r="E1558" s="8"/>
      <c r="F1558" s="8"/>
      <c r="G1558" s="8"/>
      <c r="H1558" s="8"/>
      <c r="I1558" s="10"/>
      <c r="J1558" s="10"/>
      <c r="K1558" s="18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</row>
    <row r="1559" ht="14.25" customHeight="1">
      <c r="A1559" s="9"/>
      <c r="B1559" s="8"/>
      <c r="C1559" s="8"/>
      <c r="D1559" s="8"/>
      <c r="E1559" s="8"/>
      <c r="F1559" s="8"/>
      <c r="G1559" s="8"/>
      <c r="H1559" s="8"/>
      <c r="I1559" s="10"/>
      <c r="J1559" s="10"/>
      <c r="K1559" s="18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</row>
    <row r="1560" ht="14.25" customHeight="1">
      <c r="A1560" s="9"/>
      <c r="B1560" s="8"/>
      <c r="C1560" s="8"/>
      <c r="D1560" s="8"/>
      <c r="E1560" s="8"/>
      <c r="F1560" s="8"/>
      <c r="G1560" s="8"/>
      <c r="H1560" s="8"/>
      <c r="I1560" s="10"/>
      <c r="J1560" s="10"/>
      <c r="K1560" s="18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</row>
    <row r="1561" ht="14.25" customHeight="1">
      <c r="A1561" s="9"/>
      <c r="B1561" s="8"/>
      <c r="C1561" s="8"/>
      <c r="D1561" s="8"/>
      <c r="E1561" s="8"/>
      <c r="F1561" s="8"/>
      <c r="G1561" s="8"/>
      <c r="H1561" s="8"/>
      <c r="I1561" s="10"/>
      <c r="J1561" s="10"/>
      <c r="K1561" s="18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</row>
    <row r="1562" ht="14.25" customHeight="1">
      <c r="A1562" s="9"/>
      <c r="B1562" s="8"/>
      <c r="C1562" s="8"/>
      <c r="D1562" s="8"/>
      <c r="E1562" s="8"/>
      <c r="F1562" s="8"/>
      <c r="G1562" s="8"/>
      <c r="H1562" s="8"/>
      <c r="I1562" s="10"/>
      <c r="J1562" s="10"/>
      <c r="K1562" s="18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</row>
    <row r="1563" ht="14.25" customHeight="1">
      <c r="A1563" s="9"/>
      <c r="B1563" s="8"/>
      <c r="C1563" s="8"/>
      <c r="D1563" s="8"/>
      <c r="E1563" s="8"/>
      <c r="F1563" s="8"/>
      <c r="G1563" s="8"/>
      <c r="H1563" s="8"/>
      <c r="I1563" s="10"/>
      <c r="J1563" s="10"/>
      <c r="K1563" s="18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</row>
    <row r="1564" ht="14.25" customHeight="1">
      <c r="A1564" s="9"/>
      <c r="B1564" s="8"/>
      <c r="C1564" s="8"/>
      <c r="D1564" s="8"/>
      <c r="E1564" s="8"/>
      <c r="F1564" s="8"/>
      <c r="G1564" s="8"/>
      <c r="H1564" s="8"/>
      <c r="I1564" s="10"/>
      <c r="J1564" s="10"/>
      <c r="K1564" s="18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</row>
    <row r="1565" ht="14.25" customHeight="1">
      <c r="A1565" s="9"/>
      <c r="B1565" s="8"/>
      <c r="C1565" s="8"/>
      <c r="D1565" s="8"/>
      <c r="E1565" s="8"/>
      <c r="F1565" s="8"/>
      <c r="G1565" s="8"/>
      <c r="H1565" s="8"/>
      <c r="I1565" s="10"/>
      <c r="J1565" s="10"/>
      <c r="K1565" s="18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</row>
    <row r="1566" ht="14.25" customHeight="1">
      <c r="A1566" s="9"/>
      <c r="B1566" s="8"/>
      <c r="C1566" s="8"/>
      <c r="D1566" s="8"/>
      <c r="E1566" s="8"/>
      <c r="F1566" s="8"/>
      <c r="G1566" s="8"/>
      <c r="H1566" s="8"/>
      <c r="I1566" s="10"/>
      <c r="J1566" s="10"/>
      <c r="K1566" s="18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</row>
    <row r="1567" ht="14.25" customHeight="1">
      <c r="A1567" s="9"/>
      <c r="B1567" s="8"/>
      <c r="C1567" s="8"/>
      <c r="D1567" s="8"/>
      <c r="E1567" s="8"/>
      <c r="F1567" s="8"/>
      <c r="G1567" s="8"/>
      <c r="H1567" s="8"/>
      <c r="I1567" s="10"/>
      <c r="J1567" s="10"/>
      <c r="K1567" s="18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</row>
    <row r="1568" ht="14.25" customHeight="1">
      <c r="A1568" s="9"/>
      <c r="B1568" s="8"/>
      <c r="C1568" s="8"/>
      <c r="D1568" s="8"/>
      <c r="E1568" s="8"/>
      <c r="F1568" s="8"/>
      <c r="G1568" s="8"/>
      <c r="H1568" s="8"/>
      <c r="I1568" s="10"/>
      <c r="J1568" s="10"/>
      <c r="K1568" s="18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</row>
    <row r="1569" ht="14.25" customHeight="1">
      <c r="A1569" s="9"/>
      <c r="B1569" s="8"/>
      <c r="C1569" s="8"/>
      <c r="D1569" s="8"/>
      <c r="E1569" s="8"/>
      <c r="F1569" s="8"/>
      <c r="G1569" s="8"/>
      <c r="H1569" s="8"/>
      <c r="I1569" s="10"/>
      <c r="J1569" s="10"/>
      <c r="K1569" s="18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</row>
    <row r="1570" ht="14.25" customHeight="1">
      <c r="A1570" s="9"/>
      <c r="B1570" s="8"/>
      <c r="C1570" s="8"/>
      <c r="D1570" s="8"/>
      <c r="E1570" s="8"/>
      <c r="F1570" s="8"/>
      <c r="G1570" s="8"/>
      <c r="H1570" s="8"/>
      <c r="I1570" s="10"/>
      <c r="J1570" s="10"/>
      <c r="K1570" s="18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</row>
    <row r="1571" ht="14.25" customHeight="1">
      <c r="A1571" s="9"/>
      <c r="B1571" s="8"/>
      <c r="C1571" s="8"/>
      <c r="D1571" s="8"/>
      <c r="E1571" s="8"/>
      <c r="F1571" s="8"/>
      <c r="G1571" s="8"/>
      <c r="H1571" s="8"/>
      <c r="I1571" s="10"/>
      <c r="J1571" s="10"/>
      <c r="K1571" s="18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</row>
    <row r="1572" ht="14.25" customHeight="1">
      <c r="A1572" s="9"/>
      <c r="B1572" s="8"/>
      <c r="C1572" s="8"/>
      <c r="D1572" s="8"/>
      <c r="E1572" s="8"/>
      <c r="F1572" s="8"/>
      <c r="G1572" s="8"/>
      <c r="H1572" s="8"/>
      <c r="I1572" s="10"/>
      <c r="J1572" s="10"/>
      <c r="K1572" s="18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</row>
    <row r="1573" ht="14.25" customHeight="1">
      <c r="A1573" s="9"/>
      <c r="B1573" s="8"/>
      <c r="C1573" s="8"/>
      <c r="D1573" s="8"/>
      <c r="E1573" s="8"/>
      <c r="F1573" s="8"/>
      <c r="G1573" s="8"/>
      <c r="H1573" s="8"/>
      <c r="I1573" s="10"/>
      <c r="J1573" s="10"/>
      <c r="K1573" s="18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</row>
    <row r="1574" ht="14.25" customHeight="1">
      <c r="A1574" s="9"/>
      <c r="B1574" s="8"/>
      <c r="C1574" s="8"/>
      <c r="D1574" s="8"/>
      <c r="E1574" s="8"/>
      <c r="F1574" s="8"/>
      <c r="G1574" s="8"/>
      <c r="H1574" s="8"/>
      <c r="I1574" s="10"/>
      <c r="J1574" s="10"/>
      <c r="K1574" s="18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</row>
    <row r="1575" ht="14.25" customHeight="1">
      <c r="A1575" s="9"/>
      <c r="B1575" s="8"/>
      <c r="C1575" s="8"/>
      <c r="D1575" s="8"/>
      <c r="E1575" s="8"/>
      <c r="F1575" s="8"/>
      <c r="G1575" s="8"/>
      <c r="H1575" s="8"/>
      <c r="I1575" s="10"/>
      <c r="J1575" s="10"/>
      <c r="K1575" s="18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</row>
    <row r="1576" ht="14.25" customHeight="1">
      <c r="A1576" s="9"/>
      <c r="B1576" s="8"/>
      <c r="C1576" s="8"/>
      <c r="D1576" s="8"/>
      <c r="E1576" s="8"/>
      <c r="F1576" s="8"/>
      <c r="G1576" s="8"/>
      <c r="H1576" s="8"/>
      <c r="I1576" s="10"/>
      <c r="J1576" s="10"/>
      <c r="K1576" s="18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</row>
    <row r="1577" ht="14.25" customHeight="1">
      <c r="A1577" s="9"/>
      <c r="B1577" s="8"/>
      <c r="C1577" s="8"/>
      <c r="D1577" s="8"/>
      <c r="E1577" s="8"/>
      <c r="F1577" s="8"/>
      <c r="G1577" s="8"/>
      <c r="H1577" s="8"/>
      <c r="I1577" s="10"/>
      <c r="J1577" s="10"/>
      <c r="K1577" s="18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</row>
    <row r="1578" ht="14.25" customHeight="1">
      <c r="A1578" s="9"/>
      <c r="B1578" s="8"/>
      <c r="C1578" s="8"/>
      <c r="D1578" s="8"/>
      <c r="E1578" s="8"/>
      <c r="F1578" s="8"/>
      <c r="G1578" s="8"/>
      <c r="H1578" s="8"/>
      <c r="I1578" s="10"/>
      <c r="J1578" s="10"/>
      <c r="K1578" s="18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</row>
    <row r="1579" ht="14.25" customHeight="1">
      <c r="A1579" s="9"/>
      <c r="B1579" s="8"/>
      <c r="C1579" s="8"/>
      <c r="D1579" s="8"/>
      <c r="E1579" s="8"/>
      <c r="F1579" s="8"/>
      <c r="G1579" s="8"/>
      <c r="H1579" s="8"/>
      <c r="I1579" s="10"/>
      <c r="J1579" s="10"/>
      <c r="K1579" s="18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</row>
    <row r="1580" ht="14.25" customHeight="1">
      <c r="A1580" s="9"/>
      <c r="B1580" s="8"/>
      <c r="C1580" s="8"/>
      <c r="D1580" s="8"/>
      <c r="E1580" s="8"/>
      <c r="F1580" s="8"/>
      <c r="G1580" s="8"/>
      <c r="H1580" s="8"/>
      <c r="I1580" s="10"/>
      <c r="J1580" s="10"/>
      <c r="K1580" s="18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</row>
    <row r="1581" ht="14.25" customHeight="1">
      <c r="A1581" s="9"/>
      <c r="B1581" s="8"/>
      <c r="C1581" s="8"/>
      <c r="D1581" s="8"/>
      <c r="E1581" s="8"/>
      <c r="F1581" s="8"/>
      <c r="G1581" s="8"/>
      <c r="H1581" s="8"/>
      <c r="I1581" s="10"/>
      <c r="J1581" s="10"/>
      <c r="K1581" s="18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</row>
    <row r="1582" ht="14.25" customHeight="1">
      <c r="A1582" s="9"/>
      <c r="B1582" s="8"/>
      <c r="C1582" s="8"/>
      <c r="D1582" s="8"/>
      <c r="E1582" s="8"/>
      <c r="F1582" s="8"/>
      <c r="G1582" s="8"/>
      <c r="H1582" s="8"/>
      <c r="I1582" s="10"/>
      <c r="J1582" s="10"/>
      <c r="K1582" s="18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</row>
    <row r="1583" ht="14.25" customHeight="1">
      <c r="A1583" s="9"/>
      <c r="B1583" s="8"/>
      <c r="C1583" s="8"/>
      <c r="D1583" s="8"/>
      <c r="E1583" s="8"/>
      <c r="F1583" s="8"/>
      <c r="G1583" s="8"/>
      <c r="H1583" s="8"/>
      <c r="I1583" s="10"/>
      <c r="J1583" s="10"/>
      <c r="K1583" s="18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</row>
    <row r="1584" ht="14.25" customHeight="1">
      <c r="A1584" s="9"/>
      <c r="B1584" s="8"/>
      <c r="C1584" s="8"/>
      <c r="D1584" s="8"/>
      <c r="E1584" s="8"/>
      <c r="F1584" s="8"/>
      <c r="G1584" s="8"/>
      <c r="H1584" s="8"/>
      <c r="I1584" s="10"/>
      <c r="J1584" s="10"/>
      <c r="K1584" s="18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</row>
    <row r="1585" ht="14.25" customHeight="1">
      <c r="A1585" s="9"/>
      <c r="B1585" s="8"/>
      <c r="C1585" s="8"/>
      <c r="D1585" s="8"/>
      <c r="E1585" s="8"/>
      <c r="F1585" s="8"/>
      <c r="G1585" s="8"/>
      <c r="H1585" s="8"/>
      <c r="I1585" s="10"/>
      <c r="J1585" s="10"/>
      <c r="K1585" s="18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</row>
    <row r="1586" ht="14.25" customHeight="1">
      <c r="A1586" s="9"/>
      <c r="B1586" s="8"/>
      <c r="C1586" s="8"/>
      <c r="D1586" s="8"/>
      <c r="E1586" s="8"/>
      <c r="F1586" s="8"/>
      <c r="G1586" s="8"/>
      <c r="H1586" s="8"/>
      <c r="I1586" s="10"/>
      <c r="J1586" s="10"/>
      <c r="K1586" s="18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</row>
    <row r="1587" ht="14.25" customHeight="1">
      <c r="A1587" s="9"/>
      <c r="B1587" s="8"/>
      <c r="C1587" s="8"/>
      <c r="D1587" s="8"/>
      <c r="E1587" s="8"/>
      <c r="F1587" s="8"/>
      <c r="G1587" s="8"/>
      <c r="H1587" s="8"/>
      <c r="I1587" s="10"/>
      <c r="J1587" s="10"/>
      <c r="K1587" s="18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</row>
    <row r="1588" ht="14.25" customHeight="1">
      <c r="A1588" s="9"/>
      <c r="B1588" s="8"/>
      <c r="C1588" s="8"/>
      <c r="D1588" s="8"/>
      <c r="E1588" s="8"/>
      <c r="F1588" s="8"/>
      <c r="G1588" s="8"/>
      <c r="H1588" s="8"/>
      <c r="I1588" s="10"/>
      <c r="J1588" s="10"/>
      <c r="K1588" s="18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</row>
    <row r="1589" ht="14.25" customHeight="1">
      <c r="A1589" s="9"/>
      <c r="B1589" s="8"/>
      <c r="C1589" s="8"/>
      <c r="D1589" s="8"/>
      <c r="E1589" s="8"/>
      <c r="F1589" s="8"/>
      <c r="G1589" s="8"/>
      <c r="H1589" s="8"/>
      <c r="I1589" s="10"/>
      <c r="J1589" s="10"/>
      <c r="K1589" s="18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</row>
    <row r="1590" ht="14.25" customHeight="1">
      <c r="A1590" s="9"/>
      <c r="B1590" s="8"/>
      <c r="C1590" s="8"/>
      <c r="D1590" s="8"/>
      <c r="E1590" s="8"/>
      <c r="F1590" s="8"/>
      <c r="G1590" s="8"/>
      <c r="H1590" s="8"/>
      <c r="I1590" s="10"/>
      <c r="J1590" s="10"/>
      <c r="K1590" s="18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</row>
    <row r="1591" ht="14.25" customHeight="1">
      <c r="A1591" s="9"/>
      <c r="B1591" s="8"/>
      <c r="C1591" s="8"/>
      <c r="D1591" s="8"/>
      <c r="E1591" s="8"/>
      <c r="F1591" s="8"/>
      <c r="G1591" s="8"/>
      <c r="H1591" s="8"/>
      <c r="I1591" s="10"/>
      <c r="J1591" s="10"/>
      <c r="K1591" s="18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</row>
    <row r="1592" ht="14.25" customHeight="1">
      <c r="A1592" s="9"/>
      <c r="B1592" s="8"/>
      <c r="C1592" s="8"/>
      <c r="D1592" s="8"/>
      <c r="E1592" s="8"/>
      <c r="F1592" s="8"/>
      <c r="G1592" s="8"/>
      <c r="H1592" s="8"/>
      <c r="I1592" s="10"/>
      <c r="J1592" s="10"/>
      <c r="K1592" s="18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</row>
    <row r="1593" ht="14.25" customHeight="1">
      <c r="A1593" s="9"/>
      <c r="B1593" s="8"/>
      <c r="C1593" s="8"/>
      <c r="D1593" s="8"/>
      <c r="E1593" s="8"/>
      <c r="F1593" s="8"/>
      <c r="G1593" s="8"/>
      <c r="H1593" s="8"/>
      <c r="I1593" s="10"/>
      <c r="J1593" s="10"/>
      <c r="K1593" s="18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</row>
    <row r="1594" ht="14.25" customHeight="1">
      <c r="A1594" s="9"/>
      <c r="B1594" s="8"/>
      <c r="C1594" s="8"/>
      <c r="D1594" s="8"/>
      <c r="E1594" s="8"/>
      <c r="F1594" s="8"/>
      <c r="G1594" s="8"/>
      <c r="H1594" s="8"/>
      <c r="I1594" s="10"/>
      <c r="J1594" s="10"/>
      <c r="K1594" s="18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</row>
    <row r="1595" ht="14.25" customHeight="1">
      <c r="A1595" s="9"/>
      <c r="B1595" s="8"/>
      <c r="C1595" s="8"/>
      <c r="D1595" s="8"/>
      <c r="E1595" s="8"/>
      <c r="F1595" s="8"/>
      <c r="G1595" s="8"/>
      <c r="H1595" s="8"/>
      <c r="I1595" s="10"/>
      <c r="J1595" s="10"/>
      <c r="K1595" s="18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</row>
    <row r="1596" ht="14.25" customHeight="1">
      <c r="A1596" s="9"/>
      <c r="B1596" s="8"/>
      <c r="C1596" s="8"/>
      <c r="D1596" s="8"/>
      <c r="E1596" s="8"/>
      <c r="F1596" s="8"/>
      <c r="G1596" s="8"/>
      <c r="H1596" s="8"/>
      <c r="I1596" s="10"/>
      <c r="J1596" s="10"/>
      <c r="K1596" s="18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</row>
    <row r="1597" ht="14.25" customHeight="1">
      <c r="A1597" s="9"/>
      <c r="B1597" s="8"/>
      <c r="C1597" s="8"/>
      <c r="D1597" s="8"/>
      <c r="E1597" s="8"/>
      <c r="F1597" s="8"/>
      <c r="G1597" s="8"/>
      <c r="H1597" s="8"/>
      <c r="I1597" s="10"/>
      <c r="J1597" s="10"/>
      <c r="K1597" s="18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</row>
    <row r="1598" ht="14.25" customHeight="1">
      <c r="A1598" s="9"/>
      <c r="B1598" s="8"/>
      <c r="C1598" s="8"/>
      <c r="D1598" s="8"/>
      <c r="E1598" s="8"/>
      <c r="F1598" s="8"/>
      <c r="G1598" s="8"/>
      <c r="H1598" s="8"/>
      <c r="I1598" s="10"/>
      <c r="J1598" s="10"/>
      <c r="K1598" s="18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</row>
    <row r="1599" ht="14.25" customHeight="1">
      <c r="A1599" s="9"/>
      <c r="B1599" s="8"/>
      <c r="C1599" s="8"/>
      <c r="D1599" s="8"/>
      <c r="E1599" s="8"/>
      <c r="F1599" s="8"/>
      <c r="G1599" s="8"/>
      <c r="H1599" s="8"/>
      <c r="I1599" s="10"/>
      <c r="J1599" s="10"/>
      <c r="K1599" s="18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</row>
    <row r="1600" ht="14.25" customHeight="1">
      <c r="A1600" s="9"/>
      <c r="B1600" s="8"/>
      <c r="C1600" s="8"/>
      <c r="D1600" s="8"/>
      <c r="E1600" s="8"/>
      <c r="F1600" s="8"/>
      <c r="G1600" s="8"/>
      <c r="H1600" s="8"/>
      <c r="I1600" s="10"/>
      <c r="J1600" s="10"/>
      <c r="K1600" s="18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</row>
    <row r="1601" ht="14.25" customHeight="1">
      <c r="A1601" s="9"/>
      <c r="B1601" s="8"/>
      <c r="C1601" s="8"/>
      <c r="D1601" s="8"/>
      <c r="E1601" s="8"/>
      <c r="F1601" s="8"/>
      <c r="G1601" s="8"/>
      <c r="H1601" s="8"/>
      <c r="I1601" s="10"/>
      <c r="J1601" s="10"/>
      <c r="K1601" s="18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</row>
    <row r="1602" ht="14.25" customHeight="1">
      <c r="A1602" s="9"/>
      <c r="B1602" s="8"/>
      <c r="C1602" s="8"/>
      <c r="D1602" s="8"/>
      <c r="E1602" s="8"/>
      <c r="F1602" s="8"/>
      <c r="G1602" s="8"/>
      <c r="H1602" s="8"/>
      <c r="I1602" s="10"/>
      <c r="J1602" s="10"/>
      <c r="K1602" s="18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</row>
    <row r="1603" ht="14.25" customHeight="1">
      <c r="A1603" s="9"/>
      <c r="B1603" s="8"/>
      <c r="C1603" s="8"/>
      <c r="D1603" s="8"/>
      <c r="E1603" s="8"/>
      <c r="F1603" s="8"/>
      <c r="G1603" s="8"/>
      <c r="H1603" s="8"/>
      <c r="I1603" s="10"/>
      <c r="J1603" s="10"/>
      <c r="K1603" s="18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</row>
    <row r="1604" ht="14.25" customHeight="1">
      <c r="A1604" s="9"/>
      <c r="B1604" s="8"/>
      <c r="C1604" s="8"/>
      <c r="D1604" s="8"/>
      <c r="E1604" s="8"/>
      <c r="F1604" s="8"/>
      <c r="G1604" s="8"/>
      <c r="H1604" s="8"/>
      <c r="I1604" s="10"/>
      <c r="J1604" s="10"/>
      <c r="K1604" s="18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</row>
    <row r="1605" ht="14.25" customHeight="1">
      <c r="A1605" s="9"/>
      <c r="B1605" s="8"/>
      <c r="C1605" s="8"/>
      <c r="D1605" s="8"/>
      <c r="E1605" s="8"/>
      <c r="F1605" s="8"/>
      <c r="G1605" s="8"/>
      <c r="H1605" s="8"/>
      <c r="I1605" s="10"/>
      <c r="J1605" s="10"/>
      <c r="K1605" s="18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</row>
    <row r="1606" ht="14.25" customHeight="1">
      <c r="A1606" s="9"/>
      <c r="B1606" s="8"/>
      <c r="C1606" s="8"/>
      <c r="D1606" s="8"/>
      <c r="E1606" s="8"/>
      <c r="F1606" s="8"/>
      <c r="G1606" s="8"/>
      <c r="H1606" s="8"/>
      <c r="I1606" s="10"/>
      <c r="J1606" s="10"/>
      <c r="K1606" s="18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</row>
    <row r="1607" ht="14.25" customHeight="1">
      <c r="A1607" s="9"/>
      <c r="B1607" s="8"/>
      <c r="C1607" s="8"/>
      <c r="D1607" s="8"/>
      <c r="E1607" s="8"/>
      <c r="F1607" s="8"/>
      <c r="G1607" s="8"/>
      <c r="H1607" s="8"/>
      <c r="I1607" s="10"/>
      <c r="J1607" s="10"/>
      <c r="K1607" s="18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</row>
    <row r="1608" ht="14.25" customHeight="1">
      <c r="A1608" s="9"/>
      <c r="B1608" s="8"/>
      <c r="C1608" s="8"/>
      <c r="D1608" s="8"/>
      <c r="E1608" s="8"/>
      <c r="F1608" s="8"/>
      <c r="G1608" s="8"/>
      <c r="H1608" s="8"/>
      <c r="I1608" s="10"/>
      <c r="J1608" s="10"/>
      <c r="K1608" s="18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</row>
    <row r="1609" ht="14.25" customHeight="1">
      <c r="A1609" s="9"/>
      <c r="B1609" s="8"/>
      <c r="C1609" s="8"/>
      <c r="D1609" s="8"/>
      <c r="E1609" s="8"/>
      <c r="F1609" s="8"/>
      <c r="G1609" s="8"/>
      <c r="H1609" s="8"/>
      <c r="I1609" s="10"/>
      <c r="J1609" s="10"/>
      <c r="K1609" s="18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</row>
    <row r="1610" ht="14.25" customHeight="1">
      <c r="A1610" s="9"/>
      <c r="B1610" s="8"/>
      <c r="C1610" s="8"/>
      <c r="D1610" s="8"/>
      <c r="E1610" s="8"/>
      <c r="F1610" s="8"/>
      <c r="G1610" s="8"/>
      <c r="H1610" s="8"/>
      <c r="I1610" s="10"/>
      <c r="J1610" s="10"/>
      <c r="K1610" s="18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</row>
    <row r="1611" ht="14.25" customHeight="1">
      <c r="A1611" s="9"/>
      <c r="B1611" s="8"/>
      <c r="C1611" s="8"/>
      <c r="D1611" s="8"/>
      <c r="E1611" s="8"/>
      <c r="F1611" s="8"/>
      <c r="G1611" s="8"/>
      <c r="H1611" s="8"/>
      <c r="I1611" s="10"/>
      <c r="J1611" s="10"/>
      <c r="K1611" s="18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</row>
    <row r="1612" ht="14.25" customHeight="1">
      <c r="A1612" s="9"/>
      <c r="B1612" s="8"/>
      <c r="C1612" s="8"/>
      <c r="D1612" s="8"/>
      <c r="E1612" s="8"/>
      <c r="F1612" s="8"/>
      <c r="G1612" s="8"/>
      <c r="H1612" s="8"/>
      <c r="I1612" s="10"/>
      <c r="J1612" s="10"/>
      <c r="K1612" s="18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</row>
    <row r="1613" ht="14.25" customHeight="1">
      <c r="A1613" s="9"/>
      <c r="B1613" s="8"/>
      <c r="C1613" s="8"/>
      <c r="D1613" s="8"/>
      <c r="E1613" s="8"/>
      <c r="F1613" s="8"/>
      <c r="G1613" s="8"/>
      <c r="H1613" s="8"/>
      <c r="I1613" s="10"/>
      <c r="J1613" s="10"/>
      <c r="K1613" s="18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</row>
    <row r="1614" ht="14.25" customHeight="1">
      <c r="A1614" s="9"/>
      <c r="B1614" s="8"/>
      <c r="C1614" s="8"/>
      <c r="D1614" s="8"/>
      <c r="E1614" s="8"/>
      <c r="F1614" s="8"/>
      <c r="G1614" s="8"/>
      <c r="H1614" s="8"/>
      <c r="I1614" s="10"/>
      <c r="J1614" s="10"/>
      <c r="K1614" s="18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</row>
    <row r="1615" ht="14.25" customHeight="1">
      <c r="A1615" s="9"/>
      <c r="B1615" s="8"/>
      <c r="C1615" s="8"/>
      <c r="D1615" s="8"/>
      <c r="E1615" s="8"/>
      <c r="F1615" s="8"/>
      <c r="G1615" s="8"/>
      <c r="H1615" s="8"/>
      <c r="I1615" s="10"/>
      <c r="J1615" s="10"/>
      <c r="K1615" s="18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</row>
    <row r="1616" ht="14.25" customHeight="1">
      <c r="A1616" s="9"/>
      <c r="B1616" s="8"/>
      <c r="C1616" s="8"/>
      <c r="D1616" s="8"/>
      <c r="E1616" s="8"/>
      <c r="F1616" s="8"/>
      <c r="G1616" s="8"/>
      <c r="H1616" s="8"/>
      <c r="I1616" s="10"/>
      <c r="J1616" s="10"/>
      <c r="K1616" s="18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</row>
    <row r="1617" ht="14.25" customHeight="1">
      <c r="A1617" s="9"/>
      <c r="B1617" s="8"/>
      <c r="C1617" s="8"/>
      <c r="D1617" s="8"/>
      <c r="E1617" s="8"/>
      <c r="F1617" s="8"/>
      <c r="G1617" s="8"/>
      <c r="H1617" s="8"/>
      <c r="I1617" s="10"/>
      <c r="J1617" s="10"/>
      <c r="K1617" s="18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</row>
    <row r="1618" ht="14.25" customHeight="1">
      <c r="A1618" s="9"/>
      <c r="B1618" s="8"/>
      <c r="C1618" s="8"/>
      <c r="D1618" s="8"/>
      <c r="E1618" s="8"/>
      <c r="F1618" s="8"/>
      <c r="G1618" s="8"/>
      <c r="H1618" s="8"/>
      <c r="I1618" s="10"/>
      <c r="J1618" s="10"/>
      <c r="K1618" s="18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</row>
    <row r="1619" ht="14.25" customHeight="1">
      <c r="A1619" s="9"/>
      <c r="B1619" s="8"/>
      <c r="C1619" s="8"/>
      <c r="D1619" s="8"/>
      <c r="E1619" s="8"/>
      <c r="F1619" s="8"/>
      <c r="G1619" s="8"/>
      <c r="H1619" s="8"/>
      <c r="I1619" s="10"/>
      <c r="J1619" s="10"/>
      <c r="K1619" s="18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</row>
    <row r="1620" ht="14.25" customHeight="1">
      <c r="A1620" s="9"/>
      <c r="B1620" s="8"/>
      <c r="C1620" s="8"/>
      <c r="D1620" s="8"/>
      <c r="E1620" s="8"/>
      <c r="F1620" s="8"/>
      <c r="G1620" s="8"/>
      <c r="H1620" s="8"/>
      <c r="I1620" s="10"/>
      <c r="J1620" s="10"/>
      <c r="K1620" s="18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</row>
    <row r="1621" ht="14.25" customHeight="1">
      <c r="A1621" s="9"/>
      <c r="B1621" s="8"/>
      <c r="C1621" s="8"/>
      <c r="D1621" s="8"/>
      <c r="E1621" s="8"/>
      <c r="F1621" s="8"/>
      <c r="G1621" s="8"/>
      <c r="H1621" s="8"/>
      <c r="I1621" s="10"/>
      <c r="J1621" s="10"/>
      <c r="K1621" s="18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</row>
    <row r="1622" ht="14.25" customHeight="1">
      <c r="A1622" s="9"/>
      <c r="B1622" s="8"/>
      <c r="C1622" s="8"/>
      <c r="D1622" s="8"/>
      <c r="E1622" s="8"/>
      <c r="F1622" s="8"/>
      <c r="G1622" s="8"/>
      <c r="H1622" s="8"/>
      <c r="I1622" s="10"/>
      <c r="J1622" s="10"/>
      <c r="K1622" s="18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</row>
    <row r="1623" ht="14.25" customHeight="1">
      <c r="A1623" s="9"/>
      <c r="B1623" s="8"/>
      <c r="C1623" s="8"/>
      <c r="D1623" s="8"/>
      <c r="E1623" s="8"/>
      <c r="F1623" s="8"/>
      <c r="G1623" s="8"/>
      <c r="H1623" s="8"/>
      <c r="I1623" s="10"/>
      <c r="J1623" s="10"/>
      <c r="K1623" s="18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</row>
    <row r="1624" ht="14.25" customHeight="1">
      <c r="A1624" s="9"/>
      <c r="B1624" s="8"/>
      <c r="C1624" s="8"/>
      <c r="D1624" s="8"/>
      <c r="E1624" s="8"/>
      <c r="F1624" s="8"/>
      <c r="G1624" s="8"/>
      <c r="H1624" s="8"/>
      <c r="I1624" s="10"/>
      <c r="J1624" s="10"/>
      <c r="K1624" s="18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</row>
    <row r="1625" ht="14.25" customHeight="1">
      <c r="A1625" s="9"/>
      <c r="B1625" s="8"/>
      <c r="C1625" s="8"/>
      <c r="D1625" s="8"/>
      <c r="E1625" s="8"/>
      <c r="F1625" s="8"/>
      <c r="G1625" s="8"/>
      <c r="H1625" s="8"/>
      <c r="I1625" s="10"/>
      <c r="J1625" s="10"/>
      <c r="K1625" s="18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</row>
    <row r="1626" ht="14.25" customHeight="1">
      <c r="A1626" s="9"/>
      <c r="B1626" s="8"/>
      <c r="C1626" s="8"/>
      <c r="D1626" s="8"/>
      <c r="E1626" s="8"/>
      <c r="F1626" s="8"/>
      <c r="G1626" s="8"/>
      <c r="H1626" s="8"/>
      <c r="I1626" s="10"/>
      <c r="J1626" s="10"/>
      <c r="K1626" s="18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</row>
    <row r="1627" ht="14.25" customHeight="1">
      <c r="A1627" s="9"/>
      <c r="B1627" s="8"/>
      <c r="C1627" s="8"/>
      <c r="D1627" s="8"/>
      <c r="E1627" s="8"/>
      <c r="F1627" s="8"/>
      <c r="G1627" s="8"/>
      <c r="H1627" s="8"/>
      <c r="I1627" s="10"/>
      <c r="J1627" s="10"/>
      <c r="K1627" s="18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</row>
    <row r="1628" ht="14.25" customHeight="1">
      <c r="A1628" s="9"/>
      <c r="B1628" s="8"/>
      <c r="C1628" s="8"/>
      <c r="D1628" s="8"/>
      <c r="E1628" s="8"/>
      <c r="F1628" s="8"/>
      <c r="G1628" s="8"/>
      <c r="H1628" s="8"/>
      <c r="I1628" s="10"/>
      <c r="J1628" s="10"/>
      <c r="K1628" s="18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</row>
    <row r="1629" ht="14.25" customHeight="1">
      <c r="A1629" s="9"/>
      <c r="B1629" s="8"/>
      <c r="C1629" s="8"/>
      <c r="D1629" s="8"/>
      <c r="E1629" s="8"/>
      <c r="F1629" s="8"/>
      <c r="G1629" s="8"/>
      <c r="H1629" s="8"/>
      <c r="I1629" s="10"/>
      <c r="J1629" s="10"/>
      <c r="K1629" s="18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</row>
    <row r="1630" ht="14.25" customHeight="1">
      <c r="A1630" s="9"/>
      <c r="B1630" s="8"/>
      <c r="C1630" s="8"/>
      <c r="D1630" s="8"/>
      <c r="E1630" s="8"/>
      <c r="F1630" s="8"/>
      <c r="G1630" s="8"/>
      <c r="H1630" s="8"/>
      <c r="I1630" s="10"/>
      <c r="J1630" s="10"/>
      <c r="K1630" s="18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</row>
    <row r="1631" ht="14.25" customHeight="1">
      <c r="A1631" s="9"/>
      <c r="B1631" s="8"/>
      <c r="C1631" s="8"/>
      <c r="D1631" s="8"/>
      <c r="E1631" s="8"/>
      <c r="F1631" s="8"/>
      <c r="G1631" s="8"/>
      <c r="H1631" s="8"/>
      <c r="I1631" s="10"/>
      <c r="J1631" s="10"/>
      <c r="K1631" s="18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</row>
    <row r="1632" ht="14.25" customHeight="1">
      <c r="A1632" s="9"/>
      <c r="B1632" s="8"/>
      <c r="C1632" s="8"/>
      <c r="D1632" s="8"/>
      <c r="E1632" s="8"/>
      <c r="F1632" s="8"/>
      <c r="G1632" s="8"/>
      <c r="H1632" s="8"/>
      <c r="I1632" s="10"/>
      <c r="J1632" s="10"/>
      <c r="K1632" s="18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</row>
    <row r="1633" ht="14.25" customHeight="1">
      <c r="A1633" s="9"/>
      <c r="B1633" s="8"/>
      <c r="C1633" s="8"/>
      <c r="D1633" s="8"/>
      <c r="E1633" s="8"/>
      <c r="F1633" s="8"/>
      <c r="G1633" s="8"/>
      <c r="H1633" s="8"/>
      <c r="I1633" s="10"/>
      <c r="J1633" s="10"/>
      <c r="K1633" s="18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</row>
    <row r="1634" ht="14.25" customHeight="1">
      <c r="A1634" s="9"/>
      <c r="B1634" s="8"/>
      <c r="C1634" s="8"/>
      <c r="D1634" s="8"/>
      <c r="E1634" s="8"/>
      <c r="F1634" s="8"/>
      <c r="G1634" s="8"/>
      <c r="H1634" s="8"/>
      <c r="I1634" s="10"/>
      <c r="J1634" s="10"/>
      <c r="K1634" s="18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</row>
    <row r="1635" ht="14.25" customHeight="1">
      <c r="A1635" s="9"/>
      <c r="B1635" s="8"/>
      <c r="C1635" s="8"/>
      <c r="D1635" s="8"/>
      <c r="E1635" s="8"/>
      <c r="F1635" s="8"/>
      <c r="G1635" s="8"/>
      <c r="H1635" s="8"/>
      <c r="I1635" s="10"/>
      <c r="J1635" s="10"/>
      <c r="K1635" s="18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</row>
    <row r="1636" ht="14.25" customHeight="1">
      <c r="A1636" s="9"/>
      <c r="B1636" s="8"/>
      <c r="C1636" s="8"/>
      <c r="D1636" s="8"/>
      <c r="E1636" s="8"/>
      <c r="F1636" s="8"/>
      <c r="G1636" s="8"/>
      <c r="H1636" s="8"/>
      <c r="I1636" s="10"/>
      <c r="J1636" s="10"/>
      <c r="K1636" s="18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</row>
    <row r="1637" ht="14.25" customHeight="1">
      <c r="A1637" s="9"/>
      <c r="B1637" s="8"/>
      <c r="C1637" s="8"/>
      <c r="D1637" s="8"/>
      <c r="E1637" s="8"/>
      <c r="F1637" s="8"/>
      <c r="G1637" s="8"/>
      <c r="H1637" s="8"/>
      <c r="I1637" s="10"/>
      <c r="J1637" s="10"/>
      <c r="K1637" s="18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</row>
    <row r="1638" ht="14.25" customHeight="1">
      <c r="A1638" s="9"/>
      <c r="B1638" s="8"/>
      <c r="C1638" s="8"/>
      <c r="D1638" s="8"/>
      <c r="E1638" s="8"/>
      <c r="F1638" s="8"/>
      <c r="G1638" s="8"/>
      <c r="H1638" s="8"/>
      <c r="I1638" s="10"/>
      <c r="J1638" s="10"/>
      <c r="K1638" s="18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</row>
    <row r="1639" ht="14.25" customHeight="1">
      <c r="A1639" s="9"/>
      <c r="B1639" s="8"/>
      <c r="C1639" s="8"/>
      <c r="D1639" s="8"/>
      <c r="E1639" s="8"/>
      <c r="F1639" s="8"/>
      <c r="G1639" s="8"/>
      <c r="H1639" s="8"/>
      <c r="I1639" s="10"/>
      <c r="J1639" s="10"/>
      <c r="K1639" s="18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</row>
    <row r="1640" ht="14.25" customHeight="1">
      <c r="A1640" s="9"/>
      <c r="B1640" s="8"/>
      <c r="C1640" s="8"/>
      <c r="D1640" s="8"/>
      <c r="E1640" s="8"/>
      <c r="F1640" s="8"/>
      <c r="G1640" s="8"/>
      <c r="H1640" s="8"/>
      <c r="I1640" s="10"/>
      <c r="J1640" s="10"/>
      <c r="K1640" s="18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</row>
    <row r="1641" ht="14.25" customHeight="1">
      <c r="A1641" s="9"/>
      <c r="B1641" s="8"/>
      <c r="C1641" s="8"/>
      <c r="D1641" s="8"/>
      <c r="E1641" s="8"/>
      <c r="F1641" s="8"/>
      <c r="G1641" s="8"/>
      <c r="H1641" s="8"/>
      <c r="I1641" s="10"/>
      <c r="J1641" s="10"/>
      <c r="K1641" s="18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</row>
    <row r="1642" ht="14.25" customHeight="1">
      <c r="A1642" s="9"/>
      <c r="B1642" s="8"/>
      <c r="C1642" s="8"/>
      <c r="D1642" s="8"/>
      <c r="E1642" s="8"/>
      <c r="F1642" s="8"/>
      <c r="G1642" s="8"/>
      <c r="H1642" s="8"/>
      <c r="I1642" s="10"/>
      <c r="J1642" s="10"/>
      <c r="K1642" s="18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</row>
    <row r="1643" ht="14.25" customHeight="1">
      <c r="A1643" s="9"/>
      <c r="B1643" s="8"/>
      <c r="C1643" s="8"/>
      <c r="D1643" s="8"/>
      <c r="E1643" s="8"/>
      <c r="F1643" s="8"/>
      <c r="G1643" s="8"/>
      <c r="H1643" s="8"/>
      <c r="I1643" s="10"/>
      <c r="J1643" s="10"/>
      <c r="K1643" s="18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</row>
    <row r="1644" ht="14.25" customHeight="1">
      <c r="A1644" s="9"/>
      <c r="B1644" s="8"/>
      <c r="C1644" s="8"/>
      <c r="D1644" s="8"/>
      <c r="E1644" s="8"/>
      <c r="F1644" s="8"/>
      <c r="G1644" s="8"/>
      <c r="H1644" s="8"/>
      <c r="I1644" s="10"/>
      <c r="J1644" s="10"/>
      <c r="K1644" s="18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</row>
    <row r="1645" ht="14.25" customHeight="1">
      <c r="A1645" s="9"/>
      <c r="B1645" s="8"/>
      <c r="C1645" s="8"/>
      <c r="D1645" s="8"/>
      <c r="E1645" s="8"/>
      <c r="F1645" s="8"/>
      <c r="G1645" s="8"/>
      <c r="H1645" s="8"/>
      <c r="I1645" s="10"/>
      <c r="J1645" s="10"/>
      <c r="K1645" s="18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</row>
    <row r="1646" ht="14.25" customHeight="1">
      <c r="A1646" s="9"/>
      <c r="B1646" s="8"/>
      <c r="C1646" s="8"/>
      <c r="D1646" s="8"/>
      <c r="E1646" s="8"/>
      <c r="F1646" s="8"/>
      <c r="G1646" s="8"/>
      <c r="H1646" s="8"/>
      <c r="I1646" s="10"/>
      <c r="J1646" s="10"/>
      <c r="K1646" s="18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</row>
    <row r="1647" ht="14.25" customHeight="1">
      <c r="A1647" s="9"/>
      <c r="B1647" s="8"/>
      <c r="C1647" s="8"/>
      <c r="D1647" s="8"/>
      <c r="E1647" s="8"/>
      <c r="F1647" s="8"/>
      <c r="G1647" s="8"/>
      <c r="H1647" s="8"/>
      <c r="I1647" s="10"/>
      <c r="J1647" s="10"/>
      <c r="K1647" s="18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</row>
    <row r="1648" ht="14.25" customHeight="1">
      <c r="A1648" s="9"/>
      <c r="B1648" s="8"/>
      <c r="C1648" s="8"/>
      <c r="D1648" s="8"/>
      <c r="E1648" s="8"/>
      <c r="F1648" s="8"/>
      <c r="G1648" s="8"/>
      <c r="H1648" s="8"/>
      <c r="I1648" s="10"/>
      <c r="J1648" s="10"/>
      <c r="K1648" s="18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</row>
    <row r="1649" ht="14.25" customHeight="1">
      <c r="A1649" s="9"/>
      <c r="B1649" s="8"/>
      <c r="C1649" s="8"/>
      <c r="D1649" s="8"/>
      <c r="E1649" s="8"/>
      <c r="F1649" s="8"/>
      <c r="G1649" s="8"/>
      <c r="H1649" s="8"/>
      <c r="I1649" s="10"/>
      <c r="J1649" s="10"/>
      <c r="K1649" s="18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</row>
    <row r="1650" ht="14.25" customHeight="1">
      <c r="A1650" s="9"/>
      <c r="B1650" s="8"/>
      <c r="C1650" s="8"/>
      <c r="D1650" s="8"/>
      <c r="E1650" s="8"/>
      <c r="F1650" s="8"/>
      <c r="G1650" s="8"/>
      <c r="H1650" s="8"/>
      <c r="I1650" s="10"/>
      <c r="J1650" s="10"/>
      <c r="K1650" s="18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</row>
    <row r="1651" ht="14.25" customHeight="1">
      <c r="A1651" s="9"/>
      <c r="B1651" s="8"/>
      <c r="C1651" s="8"/>
      <c r="D1651" s="8"/>
      <c r="E1651" s="8"/>
      <c r="F1651" s="8"/>
      <c r="G1651" s="8"/>
      <c r="H1651" s="8"/>
      <c r="I1651" s="10"/>
      <c r="J1651" s="10"/>
      <c r="K1651" s="18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</row>
    <row r="1652" ht="14.25" customHeight="1">
      <c r="A1652" s="9"/>
      <c r="B1652" s="8"/>
      <c r="C1652" s="8"/>
      <c r="D1652" s="8"/>
      <c r="E1652" s="8"/>
      <c r="F1652" s="8"/>
      <c r="G1652" s="8"/>
      <c r="H1652" s="8"/>
      <c r="I1652" s="10"/>
      <c r="J1652" s="10"/>
      <c r="K1652" s="18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</row>
    <row r="1653" ht="14.25" customHeight="1">
      <c r="A1653" s="9"/>
      <c r="B1653" s="8"/>
      <c r="C1653" s="8"/>
      <c r="D1653" s="8"/>
      <c r="E1653" s="8"/>
      <c r="F1653" s="8"/>
      <c r="G1653" s="8"/>
      <c r="H1653" s="8"/>
      <c r="I1653" s="10"/>
      <c r="J1653" s="10"/>
      <c r="K1653" s="18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</row>
    <row r="1654" ht="14.25" customHeight="1">
      <c r="A1654" s="9"/>
      <c r="B1654" s="8"/>
      <c r="C1654" s="8"/>
      <c r="D1654" s="8"/>
      <c r="E1654" s="8"/>
      <c r="F1654" s="8"/>
      <c r="G1654" s="8"/>
      <c r="H1654" s="8"/>
      <c r="I1654" s="10"/>
      <c r="J1654" s="10"/>
      <c r="K1654" s="18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</row>
    <row r="1655" ht="14.25" customHeight="1">
      <c r="A1655" s="9"/>
      <c r="B1655" s="8"/>
      <c r="C1655" s="8"/>
      <c r="D1655" s="8"/>
      <c r="E1655" s="8"/>
      <c r="F1655" s="8"/>
      <c r="G1655" s="8"/>
      <c r="H1655" s="8"/>
      <c r="I1655" s="10"/>
      <c r="J1655" s="10"/>
      <c r="K1655" s="18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</row>
    <row r="1656" ht="14.25" customHeight="1">
      <c r="A1656" s="9"/>
      <c r="B1656" s="8"/>
      <c r="C1656" s="8"/>
      <c r="D1656" s="8"/>
      <c r="E1656" s="8"/>
      <c r="F1656" s="8"/>
      <c r="G1656" s="8"/>
      <c r="H1656" s="8"/>
      <c r="I1656" s="10"/>
      <c r="J1656" s="10"/>
      <c r="K1656" s="18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</row>
    <row r="1657" ht="14.25" customHeight="1">
      <c r="A1657" s="9"/>
      <c r="B1657" s="8"/>
      <c r="C1657" s="8"/>
      <c r="D1657" s="8"/>
      <c r="E1657" s="8"/>
      <c r="F1657" s="8"/>
      <c r="G1657" s="8"/>
      <c r="H1657" s="8"/>
      <c r="I1657" s="10"/>
      <c r="J1657" s="10"/>
      <c r="K1657" s="18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</row>
    <row r="1658" ht="14.25" customHeight="1">
      <c r="A1658" s="9"/>
      <c r="B1658" s="8"/>
      <c r="C1658" s="8"/>
      <c r="D1658" s="8"/>
      <c r="E1658" s="8"/>
      <c r="F1658" s="8"/>
      <c r="G1658" s="8"/>
      <c r="H1658" s="8"/>
      <c r="I1658" s="10"/>
      <c r="J1658" s="10"/>
      <c r="K1658" s="18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</row>
    <row r="1659" ht="14.25" customHeight="1">
      <c r="A1659" s="9"/>
      <c r="B1659" s="8"/>
      <c r="C1659" s="8"/>
      <c r="D1659" s="8"/>
      <c r="E1659" s="8"/>
      <c r="F1659" s="8"/>
      <c r="G1659" s="8"/>
      <c r="H1659" s="8"/>
      <c r="I1659" s="10"/>
      <c r="J1659" s="10"/>
      <c r="K1659" s="18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</row>
    <row r="1660" ht="14.25" customHeight="1">
      <c r="A1660" s="9"/>
      <c r="B1660" s="8"/>
      <c r="C1660" s="8"/>
      <c r="D1660" s="8"/>
      <c r="E1660" s="8"/>
      <c r="F1660" s="8"/>
      <c r="G1660" s="8"/>
      <c r="H1660" s="8"/>
      <c r="I1660" s="10"/>
      <c r="J1660" s="10"/>
      <c r="K1660" s="18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</row>
    <row r="1661" ht="14.25" customHeight="1">
      <c r="A1661" s="9"/>
      <c r="B1661" s="8"/>
      <c r="C1661" s="8"/>
      <c r="D1661" s="8"/>
      <c r="E1661" s="8"/>
      <c r="F1661" s="8"/>
      <c r="G1661" s="8"/>
      <c r="H1661" s="8"/>
      <c r="I1661" s="10"/>
      <c r="J1661" s="10"/>
      <c r="K1661" s="18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</row>
    <row r="1662" ht="14.25" customHeight="1">
      <c r="A1662" s="9"/>
      <c r="B1662" s="8"/>
      <c r="C1662" s="8"/>
      <c r="D1662" s="8"/>
      <c r="E1662" s="8"/>
      <c r="F1662" s="8"/>
      <c r="G1662" s="8"/>
      <c r="H1662" s="8"/>
      <c r="I1662" s="10"/>
      <c r="J1662" s="10"/>
      <c r="K1662" s="18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</row>
    <row r="1663" ht="14.25" customHeight="1">
      <c r="A1663" s="9"/>
      <c r="B1663" s="8"/>
      <c r="C1663" s="8"/>
      <c r="D1663" s="8"/>
      <c r="E1663" s="8"/>
      <c r="F1663" s="8"/>
      <c r="G1663" s="8"/>
      <c r="H1663" s="8"/>
      <c r="I1663" s="10"/>
      <c r="J1663" s="10"/>
      <c r="K1663" s="18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</row>
    <row r="1664" ht="14.25" customHeight="1">
      <c r="A1664" s="9"/>
      <c r="B1664" s="8"/>
      <c r="C1664" s="8"/>
      <c r="D1664" s="8"/>
      <c r="E1664" s="8"/>
      <c r="F1664" s="8"/>
      <c r="G1664" s="8"/>
      <c r="H1664" s="8"/>
      <c r="I1664" s="10"/>
      <c r="J1664" s="10"/>
      <c r="K1664" s="18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</row>
    <row r="1665" ht="14.25" customHeight="1">
      <c r="A1665" s="9"/>
      <c r="B1665" s="8"/>
      <c r="C1665" s="8"/>
      <c r="D1665" s="8"/>
      <c r="E1665" s="8"/>
      <c r="F1665" s="8"/>
      <c r="G1665" s="8"/>
      <c r="H1665" s="8"/>
      <c r="I1665" s="10"/>
      <c r="J1665" s="10"/>
      <c r="K1665" s="18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</row>
    <row r="1666" ht="14.25" customHeight="1">
      <c r="A1666" s="9"/>
      <c r="B1666" s="8"/>
      <c r="C1666" s="8"/>
      <c r="D1666" s="8"/>
      <c r="E1666" s="8"/>
      <c r="F1666" s="8"/>
      <c r="G1666" s="8"/>
      <c r="H1666" s="8"/>
      <c r="I1666" s="10"/>
      <c r="J1666" s="10"/>
      <c r="K1666" s="18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</row>
    <row r="1667" ht="14.25" customHeight="1">
      <c r="A1667" s="9"/>
      <c r="B1667" s="8"/>
      <c r="C1667" s="8"/>
      <c r="D1667" s="8"/>
      <c r="E1667" s="8"/>
      <c r="F1667" s="8"/>
      <c r="G1667" s="8"/>
      <c r="H1667" s="8"/>
      <c r="I1667" s="10"/>
      <c r="J1667" s="10"/>
      <c r="K1667" s="18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</row>
    <row r="1668" ht="14.25" customHeight="1">
      <c r="A1668" s="9"/>
      <c r="B1668" s="8"/>
      <c r="C1668" s="8"/>
      <c r="D1668" s="8"/>
      <c r="E1668" s="8"/>
      <c r="F1668" s="8"/>
      <c r="G1668" s="8"/>
      <c r="H1668" s="8"/>
      <c r="I1668" s="10"/>
      <c r="J1668" s="10"/>
      <c r="K1668" s="18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</row>
    <row r="1669" ht="14.25" customHeight="1">
      <c r="A1669" s="9"/>
      <c r="B1669" s="8"/>
      <c r="C1669" s="8"/>
      <c r="D1669" s="8"/>
      <c r="E1669" s="8"/>
      <c r="F1669" s="8"/>
      <c r="G1669" s="8"/>
      <c r="H1669" s="8"/>
      <c r="I1669" s="10"/>
      <c r="J1669" s="10"/>
      <c r="K1669" s="18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</row>
    <row r="1670" ht="14.25" customHeight="1">
      <c r="A1670" s="9"/>
      <c r="B1670" s="8"/>
      <c r="C1670" s="8"/>
      <c r="D1670" s="8"/>
      <c r="E1670" s="8"/>
      <c r="F1670" s="8"/>
      <c r="G1670" s="8"/>
      <c r="H1670" s="8"/>
      <c r="I1670" s="10"/>
      <c r="J1670" s="10"/>
      <c r="K1670" s="18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</row>
    <row r="1671" ht="14.25" customHeight="1">
      <c r="A1671" s="9"/>
      <c r="B1671" s="8"/>
      <c r="C1671" s="8"/>
      <c r="D1671" s="8"/>
      <c r="E1671" s="8"/>
      <c r="F1671" s="8"/>
      <c r="G1671" s="8"/>
      <c r="H1671" s="8"/>
      <c r="I1671" s="10"/>
      <c r="J1671" s="10"/>
      <c r="K1671" s="18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</row>
    <row r="1672" ht="14.25" customHeight="1">
      <c r="A1672" s="9"/>
      <c r="B1672" s="8"/>
      <c r="C1672" s="8"/>
      <c r="D1672" s="8"/>
      <c r="E1672" s="8"/>
      <c r="F1672" s="8"/>
      <c r="G1672" s="8"/>
      <c r="H1672" s="8"/>
      <c r="I1672" s="10"/>
      <c r="J1672" s="10"/>
      <c r="K1672" s="18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</row>
    <row r="1673" ht="14.25" customHeight="1">
      <c r="A1673" s="9"/>
      <c r="B1673" s="8"/>
      <c r="C1673" s="8"/>
      <c r="D1673" s="8"/>
      <c r="E1673" s="8"/>
      <c r="F1673" s="8"/>
      <c r="G1673" s="8"/>
      <c r="H1673" s="8"/>
      <c r="I1673" s="10"/>
      <c r="J1673" s="10"/>
      <c r="K1673" s="18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</row>
    <row r="1674" ht="14.25" customHeight="1">
      <c r="A1674" s="9"/>
      <c r="B1674" s="8"/>
      <c r="C1674" s="8"/>
      <c r="D1674" s="8"/>
      <c r="E1674" s="8"/>
      <c r="F1674" s="8"/>
      <c r="G1674" s="8"/>
      <c r="H1674" s="8"/>
      <c r="I1674" s="10"/>
      <c r="J1674" s="10"/>
      <c r="K1674" s="18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</row>
    <row r="1675" ht="14.25" customHeight="1">
      <c r="A1675" s="9"/>
      <c r="B1675" s="8"/>
      <c r="C1675" s="8"/>
      <c r="D1675" s="8"/>
      <c r="E1675" s="8"/>
      <c r="F1675" s="8"/>
      <c r="G1675" s="8"/>
      <c r="H1675" s="8"/>
      <c r="I1675" s="10"/>
      <c r="J1675" s="10"/>
      <c r="K1675" s="18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</row>
    <row r="1676" ht="14.25" customHeight="1">
      <c r="A1676" s="9"/>
      <c r="B1676" s="8"/>
      <c r="C1676" s="8"/>
      <c r="D1676" s="8"/>
      <c r="E1676" s="8"/>
      <c r="F1676" s="8"/>
      <c r="G1676" s="8"/>
      <c r="H1676" s="8"/>
      <c r="I1676" s="10"/>
      <c r="J1676" s="10"/>
      <c r="K1676" s="18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</row>
    <row r="1677" ht="14.25" customHeight="1">
      <c r="A1677" s="9"/>
      <c r="B1677" s="8"/>
      <c r="C1677" s="8"/>
      <c r="D1677" s="8"/>
      <c r="E1677" s="8"/>
      <c r="F1677" s="8"/>
      <c r="G1677" s="8"/>
      <c r="H1677" s="8"/>
      <c r="I1677" s="10"/>
      <c r="J1677" s="10"/>
      <c r="K1677" s="18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</row>
    <row r="1678" ht="14.25" customHeight="1">
      <c r="A1678" s="9"/>
      <c r="B1678" s="8"/>
      <c r="C1678" s="8"/>
      <c r="D1678" s="8"/>
      <c r="E1678" s="8"/>
      <c r="F1678" s="8"/>
      <c r="G1678" s="8"/>
      <c r="H1678" s="8"/>
      <c r="I1678" s="10"/>
      <c r="J1678" s="10"/>
      <c r="K1678" s="18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</row>
    <row r="1679" ht="14.25" customHeight="1">
      <c r="A1679" s="9"/>
      <c r="B1679" s="8"/>
      <c r="C1679" s="8"/>
      <c r="D1679" s="8"/>
      <c r="E1679" s="8"/>
      <c r="F1679" s="8"/>
      <c r="G1679" s="8"/>
      <c r="H1679" s="8"/>
      <c r="I1679" s="10"/>
      <c r="J1679" s="10"/>
      <c r="K1679" s="18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</row>
    <row r="1680" ht="14.25" customHeight="1">
      <c r="A1680" s="9"/>
      <c r="B1680" s="8"/>
      <c r="C1680" s="8"/>
      <c r="D1680" s="8"/>
      <c r="E1680" s="8"/>
      <c r="F1680" s="8"/>
      <c r="G1680" s="8"/>
      <c r="H1680" s="8"/>
      <c r="I1680" s="10"/>
      <c r="J1680" s="10"/>
      <c r="K1680" s="18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</row>
    <row r="1681" ht="14.25" customHeight="1">
      <c r="A1681" s="9"/>
      <c r="B1681" s="8"/>
      <c r="C1681" s="8"/>
      <c r="D1681" s="8"/>
      <c r="E1681" s="8"/>
      <c r="F1681" s="8"/>
      <c r="G1681" s="8"/>
      <c r="H1681" s="8"/>
      <c r="I1681" s="10"/>
      <c r="J1681" s="10"/>
      <c r="K1681" s="18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</row>
    <row r="1682" ht="14.25" customHeight="1">
      <c r="A1682" s="9"/>
      <c r="B1682" s="8"/>
      <c r="C1682" s="8"/>
      <c r="D1682" s="8"/>
      <c r="E1682" s="8"/>
      <c r="F1682" s="8"/>
      <c r="G1682" s="8"/>
      <c r="H1682" s="8"/>
      <c r="I1682" s="10"/>
      <c r="J1682" s="10"/>
      <c r="K1682" s="18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</row>
    <row r="1683" ht="14.25" customHeight="1">
      <c r="A1683" s="9"/>
      <c r="B1683" s="8"/>
      <c r="C1683" s="8"/>
      <c r="D1683" s="8"/>
      <c r="E1683" s="8"/>
      <c r="F1683" s="8"/>
      <c r="G1683" s="8"/>
      <c r="H1683" s="8"/>
      <c r="I1683" s="10"/>
      <c r="J1683" s="10"/>
      <c r="K1683" s="18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</row>
    <row r="1684" ht="14.25" customHeight="1">
      <c r="A1684" s="9"/>
      <c r="B1684" s="8"/>
      <c r="C1684" s="8"/>
      <c r="D1684" s="8"/>
      <c r="E1684" s="8"/>
      <c r="F1684" s="8"/>
      <c r="G1684" s="8"/>
      <c r="H1684" s="8"/>
      <c r="I1684" s="10"/>
      <c r="J1684" s="10"/>
      <c r="K1684" s="18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</row>
    <row r="1685" ht="14.25" customHeight="1">
      <c r="A1685" s="9"/>
      <c r="B1685" s="8"/>
      <c r="C1685" s="8"/>
      <c r="D1685" s="8"/>
      <c r="E1685" s="8"/>
      <c r="F1685" s="8"/>
      <c r="G1685" s="8"/>
      <c r="H1685" s="8"/>
      <c r="I1685" s="10"/>
      <c r="J1685" s="10"/>
      <c r="K1685" s="18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</row>
    <row r="1686" ht="14.25" customHeight="1">
      <c r="A1686" s="9"/>
      <c r="B1686" s="8"/>
      <c r="C1686" s="8"/>
      <c r="D1686" s="8"/>
      <c r="E1686" s="8"/>
      <c r="F1686" s="8"/>
      <c r="G1686" s="8"/>
      <c r="H1686" s="8"/>
      <c r="I1686" s="10"/>
      <c r="J1686" s="10"/>
      <c r="K1686" s="18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</row>
    <row r="1687" ht="14.25" customHeight="1">
      <c r="A1687" s="9"/>
      <c r="B1687" s="8"/>
      <c r="C1687" s="8"/>
      <c r="D1687" s="8"/>
      <c r="E1687" s="8"/>
      <c r="F1687" s="8"/>
      <c r="G1687" s="8"/>
      <c r="H1687" s="8"/>
      <c r="I1687" s="10"/>
      <c r="J1687" s="10"/>
      <c r="K1687" s="18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</row>
    <row r="1688" ht="14.25" customHeight="1">
      <c r="A1688" s="9"/>
      <c r="B1688" s="8"/>
      <c r="C1688" s="8"/>
      <c r="D1688" s="8"/>
      <c r="E1688" s="8"/>
      <c r="F1688" s="8"/>
      <c r="G1688" s="8"/>
      <c r="H1688" s="8"/>
      <c r="I1688" s="10"/>
      <c r="J1688" s="10"/>
      <c r="K1688" s="18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</row>
    <row r="1689" ht="14.25" customHeight="1">
      <c r="A1689" s="9"/>
      <c r="B1689" s="8"/>
      <c r="C1689" s="8"/>
      <c r="D1689" s="8"/>
      <c r="E1689" s="8"/>
      <c r="F1689" s="8"/>
      <c r="G1689" s="8"/>
      <c r="H1689" s="8"/>
      <c r="I1689" s="10"/>
      <c r="J1689" s="10"/>
      <c r="K1689" s="18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</row>
    <row r="1690" ht="14.25" customHeight="1">
      <c r="A1690" s="9"/>
      <c r="B1690" s="8"/>
      <c r="C1690" s="8"/>
      <c r="D1690" s="8"/>
      <c r="E1690" s="8"/>
      <c r="F1690" s="8"/>
      <c r="G1690" s="8"/>
      <c r="H1690" s="8"/>
      <c r="I1690" s="10"/>
      <c r="J1690" s="10"/>
      <c r="K1690" s="18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</row>
    <row r="1691" ht="14.25" customHeight="1">
      <c r="A1691" s="9"/>
      <c r="B1691" s="8"/>
      <c r="C1691" s="8"/>
      <c r="D1691" s="8"/>
      <c r="E1691" s="8"/>
      <c r="F1691" s="8"/>
      <c r="G1691" s="8"/>
      <c r="H1691" s="8"/>
      <c r="I1691" s="10"/>
      <c r="J1691" s="10"/>
      <c r="K1691" s="18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</row>
    <row r="1692" ht="14.25" customHeight="1">
      <c r="A1692" s="9"/>
      <c r="B1692" s="8"/>
      <c r="C1692" s="8"/>
      <c r="D1692" s="8"/>
      <c r="E1692" s="8"/>
      <c r="F1692" s="8"/>
      <c r="G1692" s="8"/>
      <c r="H1692" s="8"/>
      <c r="I1692" s="10"/>
      <c r="J1692" s="10"/>
      <c r="K1692" s="18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</row>
    <row r="1693" ht="14.25" customHeight="1">
      <c r="A1693" s="9"/>
      <c r="B1693" s="8"/>
      <c r="C1693" s="8"/>
      <c r="D1693" s="8"/>
      <c r="E1693" s="8"/>
      <c r="F1693" s="8"/>
      <c r="G1693" s="8"/>
      <c r="H1693" s="8"/>
      <c r="I1693" s="10"/>
      <c r="J1693" s="10"/>
      <c r="K1693" s="18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</row>
    <row r="1694" ht="14.25" customHeight="1">
      <c r="A1694" s="9"/>
      <c r="B1694" s="8"/>
      <c r="C1694" s="8"/>
      <c r="D1694" s="8"/>
      <c r="E1694" s="8"/>
      <c r="F1694" s="8"/>
      <c r="G1694" s="8"/>
      <c r="H1694" s="8"/>
      <c r="I1694" s="10"/>
      <c r="J1694" s="10"/>
      <c r="K1694" s="18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</row>
    <row r="1695" ht="14.25" customHeight="1">
      <c r="A1695" s="9"/>
      <c r="B1695" s="8"/>
      <c r="C1695" s="8"/>
      <c r="D1695" s="8"/>
      <c r="E1695" s="8"/>
      <c r="F1695" s="8"/>
      <c r="G1695" s="8"/>
      <c r="H1695" s="8"/>
      <c r="I1695" s="10"/>
      <c r="J1695" s="10"/>
      <c r="K1695" s="18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</row>
    <row r="1696" ht="14.25" customHeight="1">
      <c r="A1696" s="9"/>
      <c r="B1696" s="8"/>
      <c r="C1696" s="8"/>
      <c r="D1696" s="8"/>
      <c r="E1696" s="8"/>
      <c r="F1696" s="8"/>
      <c r="G1696" s="8"/>
      <c r="H1696" s="8"/>
      <c r="I1696" s="10"/>
      <c r="J1696" s="10"/>
      <c r="K1696" s="18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</row>
    <row r="1697" ht="14.25" customHeight="1">
      <c r="A1697" s="9"/>
      <c r="B1697" s="8"/>
      <c r="C1697" s="8"/>
      <c r="D1697" s="8"/>
      <c r="E1697" s="8"/>
      <c r="F1697" s="8"/>
      <c r="G1697" s="8"/>
      <c r="H1697" s="8"/>
      <c r="I1697" s="10"/>
      <c r="J1697" s="10"/>
      <c r="K1697" s="18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</row>
    <row r="1698" ht="14.25" customHeight="1">
      <c r="A1698" s="9"/>
      <c r="B1698" s="8"/>
      <c r="C1698" s="8"/>
      <c r="D1698" s="8"/>
      <c r="E1698" s="8"/>
      <c r="F1698" s="8"/>
      <c r="G1698" s="8"/>
      <c r="H1698" s="8"/>
      <c r="I1698" s="10"/>
      <c r="J1698" s="10"/>
      <c r="K1698" s="18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</row>
    <row r="1699" ht="14.25" customHeight="1">
      <c r="A1699" s="9"/>
      <c r="B1699" s="8"/>
      <c r="C1699" s="8"/>
      <c r="D1699" s="8"/>
      <c r="E1699" s="8"/>
      <c r="F1699" s="8"/>
      <c r="G1699" s="8"/>
      <c r="H1699" s="8"/>
      <c r="I1699" s="10"/>
      <c r="J1699" s="10"/>
      <c r="K1699" s="18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</row>
    <row r="1700" ht="14.25" customHeight="1">
      <c r="A1700" s="9"/>
      <c r="B1700" s="8"/>
      <c r="C1700" s="8"/>
      <c r="D1700" s="8"/>
      <c r="E1700" s="8"/>
      <c r="F1700" s="8"/>
      <c r="G1700" s="8"/>
      <c r="H1700" s="8"/>
      <c r="I1700" s="10"/>
      <c r="J1700" s="10"/>
      <c r="K1700" s="18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</row>
    <row r="1701" ht="14.25" customHeight="1">
      <c r="A1701" s="9"/>
      <c r="B1701" s="8"/>
      <c r="C1701" s="8"/>
      <c r="D1701" s="8"/>
      <c r="E1701" s="8"/>
      <c r="F1701" s="8"/>
      <c r="G1701" s="8"/>
      <c r="H1701" s="8"/>
      <c r="I1701" s="10"/>
      <c r="J1701" s="10"/>
      <c r="K1701" s="18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</row>
    <row r="1702" ht="14.25" customHeight="1">
      <c r="A1702" s="9"/>
      <c r="B1702" s="8"/>
      <c r="C1702" s="8"/>
      <c r="D1702" s="8"/>
      <c r="E1702" s="8"/>
      <c r="F1702" s="8"/>
      <c r="G1702" s="8"/>
      <c r="H1702" s="8"/>
      <c r="I1702" s="10"/>
      <c r="J1702" s="10"/>
      <c r="K1702" s="18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</row>
    <row r="1703" ht="14.25" customHeight="1">
      <c r="A1703" s="9"/>
      <c r="B1703" s="8"/>
      <c r="C1703" s="8"/>
      <c r="D1703" s="8"/>
      <c r="E1703" s="8"/>
      <c r="F1703" s="8"/>
      <c r="G1703" s="8"/>
      <c r="H1703" s="8"/>
      <c r="I1703" s="10"/>
      <c r="J1703" s="10"/>
      <c r="K1703" s="18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</row>
    <row r="1704" ht="14.25" customHeight="1">
      <c r="A1704" s="9"/>
      <c r="B1704" s="8"/>
      <c r="C1704" s="8"/>
      <c r="D1704" s="8"/>
      <c r="E1704" s="8"/>
      <c r="F1704" s="8"/>
      <c r="G1704" s="8"/>
      <c r="H1704" s="8"/>
      <c r="I1704" s="10"/>
      <c r="J1704" s="10"/>
      <c r="K1704" s="18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</row>
    <row r="1705" ht="14.25" customHeight="1">
      <c r="A1705" s="9"/>
      <c r="B1705" s="8"/>
      <c r="C1705" s="8"/>
      <c r="D1705" s="8"/>
      <c r="E1705" s="8"/>
      <c r="F1705" s="8"/>
      <c r="G1705" s="8"/>
      <c r="H1705" s="8"/>
      <c r="I1705" s="10"/>
      <c r="J1705" s="10"/>
      <c r="K1705" s="18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</row>
    <row r="1706" ht="14.25" customHeight="1">
      <c r="A1706" s="9"/>
      <c r="B1706" s="8"/>
      <c r="C1706" s="8"/>
      <c r="D1706" s="8"/>
      <c r="E1706" s="8"/>
      <c r="F1706" s="8"/>
      <c r="G1706" s="8"/>
      <c r="H1706" s="8"/>
      <c r="I1706" s="10"/>
      <c r="J1706" s="10"/>
      <c r="K1706" s="18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</row>
    <row r="1707" ht="14.25" customHeight="1">
      <c r="A1707" s="9"/>
      <c r="B1707" s="8"/>
      <c r="C1707" s="8"/>
      <c r="D1707" s="8"/>
      <c r="E1707" s="8"/>
      <c r="F1707" s="8"/>
      <c r="G1707" s="8"/>
      <c r="H1707" s="8"/>
      <c r="I1707" s="10"/>
      <c r="J1707" s="10"/>
      <c r="K1707" s="18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</row>
    <row r="1708" ht="14.25" customHeight="1">
      <c r="A1708" s="9"/>
      <c r="B1708" s="8"/>
      <c r="C1708" s="8"/>
      <c r="D1708" s="8"/>
      <c r="E1708" s="8"/>
      <c r="F1708" s="8"/>
      <c r="G1708" s="8"/>
      <c r="H1708" s="8"/>
      <c r="I1708" s="10"/>
      <c r="J1708" s="10"/>
      <c r="K1708" s="18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</row>
    <row r="1709" ht="14.25" customHeight="1">
      <c r="A1709" s="9"/>
      <c r="B1709" s="8"/>
      <c r="C1709" s="8"/>
      <c r="D1709" s="8"/>
      <c r="E1709" s="8"/>
      <c r="F1709" s="8"/>
      <c r="G1709" s="8"/>
      <c r="H1709" s="8"/>
      <c r="I1709" s="10"/>
      <c r="J1709" s="10"/>
      <c r="K1709" s="18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</row>
    <row r="1710" ht="14.25" customHeight="1">
      <c r="A1710" s="9"/>
      <c r="B1710" s="8"/>
      <c r="C1710" s="8"/>
      <c r="D1710" s="8"/>
      <c r="E1710" s="8"/>
      <c r="F1710" s="8"/>
      <c r="G1710" s="8"/>
      <c r="H1710" s="8"/>
      <c r="I1710" s="10"/>
      <c r="J1710" s="10"/>
      <c r="K1710" s="18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</row>
    <row r="1711" ht="14.25" customHeight="1">
      <c r="A1711" s="9"/>
      <c r="B1711" s="8"/>
      <c r="C1711" s="8"/>
      <c r="D1711" s="8"/>
      <c r="E1711" s="8"/>
      <c r="F1711" s="8"/>
      <c r="G1711" s="8"/>
      <c r="H1711" s="8"/>
      <c r="I1711" s="10"/>
      <c r="J1711" s="10"/>
      <c r="K1711" s="18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</row>
    <row r="1712" ht="14.25" customHeight="1">
      <c r="A1712" s="9"/>
      <c r="B1712" s="8"/>
      <c r="C1712" s="8"/>
      <c r="D1712" s="8"/>
      <c r="E1712" s="8"/>
      <c r="F1712" s="8"/>
      <c r="G1712" s="8"/>
      <c r="H1712" s="8"/>
      <c r="I1712" s="10"/>
      <c r="J1712" s="10"/>
      <c r="K1712" s="18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</row>
    <row r="1713" ht="14.25" customHeight="1">
      <c r="A1713" s="9"/>
      <c r="B1713" s="8"/>
      <c r="C1713" s="8"/>
      <c r="D1713" s="8"/>
      <c r="E1713" s="8"/>
      <c r="F1713" s="8"/>
      <c r="G1713" s="8"/>
      <c r="H1713" s="8"/>
      <c r="I1713" s="10"/>
      <c r="J1713" s="10"/>
      <c r="K1713" s="18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</row>
    <row r="1714" ht="14.25" customHeight="1">
      <c r="A1714" s="9"/>
      <c r="B1714" s="8"/>
      <c r="C1714" s="8"/>
      <c r="D1714" s="8"/>
      <c r="E1714" s="8"/>
      <c r="F1714" s="8"/>
      <c r="G1714" s="8"/>
      <c r="H1714" s="8"/>
      <c r="I1714" s="10"/>
      <c r="J1714" s="10"/>
      <c r="K1714" s="18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</row>
    <row r="1715" ht="14.25" customHeight="1">
      <c r="A1715" s="9"/>
      <c r="B1715" s="8"/>
      <c r="C1715" s="8"/>
      <c r="D1715" s="8"/>
      <c r="E1715" s="8"/>
      <c r="F1715" s="8"/>
      <c r="G1715" s="8"/>
      <c r="H1715" s="8"/>
      <c r="I1715" s="10"/>
      <c r="J1715" s="10"/>
      <c r="K1715" s="18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</row>
    <row r="1716" ht="14.25" customHeight="1">
      <c r="A1716" s="9"/>
      <c r="B1716" s="8"/>
      <c r="C1716" s="8"/>
      <c r="D1716" s="8"/>
      <c r="E1716" s="8"/>
      <c r="F1716" s="8"/>
      <c r="G1716" s="8"/>
      <c r="H1716" s="8"/>
      <c r="I1716" s="10"/>
      <c r="J1716" s="10"/>
      <c r="K1716" s="18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</row>
    <row r="1717" ht="14.25" customHeight="1">
      <c r="A1717" s="9"/>
      <c r="B1717" s="8"/>
      <c r="C1717" s="8"/>
      <c r="D1717" s="8"/>
      <c r="E1717" s="8"/>
      <c r="F1717" s="8"/>
      <c r="G1717" s="8"/>
      <c r="H1717" s="8"/>
      <c r="I1717" s="10"/>
      <c r="J1717" s="10"/>
      <c r="K1717" s="18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</row>
    <row r="1718" ht="14.25" customHeight="1">
      <c r="A1718" s="9"/>
      <c r="B1718" s="8"/>
      <c r="C1718" s="8"/>
      <c r="D1718" s="8"/>
      <c r="E1718" s="8"/>
      <c r="F1718" s="8"/>
      <c r="G1718" s="8"/>
      <c r="H1718" s="8"/>
      <c r="I1718" s="10"/>
      <c r="J1718" s="10"/>
      <c r="K1718" s="18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</row>
    <row r="1719" ht="14.25" customHeight="1">
      <c r="A1719" s="9"/>
      <c r="B1719" s="8"/>
      <c r="C1719" s="8"/>
      <c r="D1719" s="8"/>
      <c r="E1719" s="8"/>
      <c r="F1719" s="8"/>
      <c r="G1719" s="8"/>
      <c r="H1719" s="8"/>
      <c r="I1719" s="10"/>
      <c r="J1719" s="10"/>
      <c r="K1719" s="18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</row>
    <row r="1720" ht="14.25" customHeight="1">
      <c r="A1720" s="9"/>
      <c r="B1720" s="8"/>
      <c r="C1720" s="8"/>
      <c r="D1720" s="8"/>
      <c r="E1720" s="8"/>
      <c r="F1720" s="8"/>
      <c r="G1720" s="8"/>
      <c r="H1720" s="8"/>
      <c r="I1720" s="10"/>
      <c r="J1720" s="10"/>
      <c r="K1720" s="18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</row>
    <row r="1721" ht="14.25" customHeight="1">
      <c r="A1721" s="9"/>
      <c r="B1721" s="8"/>
      <c r="C1721" s="8"/>
      <c r="D1721" s="8"/>
      <c r="E1721" s="8"/>
      <c r="F1721" s="8"/>
      <c r="G1721" s="8"/>
      <c r="H1721" s="8"/>
      <c r="I1721" s="10"/>
      <c r="J1721" s="10"/>
      <c r="K1721" s="18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</row>
    <row r="1722" ht="14.25" customHeight="1">
      <c r="A1722" s="9"/>
      <c r="B1722" s="8"/>
      <c r="C1722" s="8"/>
      <c r="D1722" s="8"/>
      <c r="E1722" s="8"/>
      <c r="F1722" s="8"/>
      <c r="G1722" s="8"/>
      <c r="H1722" s="8"/>
      <c r="I1722" s="10"/>
      <c r="J1722" s="10"/>
      <c r="K1722" s="18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</row>
    <row r="1723" ht="14.25" customHeight="1">
      <c r="A1723" s="9"/>
      <c r="B1723" s="8"/>
      <c r="C1723" s="8"/>
      <c r="D1723" s="8"/>
      <c r="E1723" s="8"/>
      <c r="F1723" s="8"/>
      <c r="G1723" s="8"/>
      <c r="H1723" s="8"/>
      <c r="I1723" s="10"/>
      <c r="J1723" s="10"/>
      <c r="K1723" s="18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</row>
    <row r="1724" ht="14.25" customHeight="1">
      <c r="A1724" s="9"/>
      <c r="B1724" s="8"/>
      <c r="C1724" s="8"/>
      <c r="D1724" s="8"/>
      <c r="E1724" s="8"/>
      <c r="F1724" s="8"/>
      <c r="G1724" s="8"/>
      <c r="H1724" s="8"/>
      <c r="I1724" s="10"/>
      <c r="J1724" s="10"/>
      <c r="K1724" s="18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</row>
    <row r="1725" ht="14.25" customHeight="1">
      <c r="A1725" s="9"/>
      <c r="B1725" s="8"/>
      <c r="C1725" s="8"/>
      <c r="D1725" s="8"/>
      <c r="E1725" s="8"/>
      <c r="F1725" s="8"/>
      <c r="G1725" s="8"/>
      <c r="H1725" s="8"/>
      <c r="I1725" s="10"/>
      <c r="J1725" s="10"/>
      <c r="K1725" s="18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</row>
    <row r="1726" ht="14.25" customHeight="1">
      <c r="A1726" s="9"/>
      <c r="B1726" s="8"/>
      <c r="C1726" s="8"/>
      <c r="D1726" s="8"/>
      <c r="E1726" s="8"/>
      <c r="F1726" s="8"/>
      <c r="G1726" s="8"/>
      <c r="H1726" s="8"/>
      <c r="I1726" s="10"/>
      <c r="J1726" s="10"/>
      <c r="K1726" s="18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</row>
    <row r="1727" ht="14.25" customHeight="1">
      <c r="A1727" s="9"/>
      <c r="B1727" s="8"/>
      <c r="C1727" s="8"/>
      <c r="D1727" s="8"/>
      <c r="E1727" s="8"/>
      <c r="F1727" s="8"/>
      <c r="G1727" s="8"/>
      <c r="H1727" s="8"/>
      <c r="I1727" s="10"/>
      <c r="J1727" s="10"/>
      <c r="K1727" s="18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</row>
    <row r="1728" ht="14.25" customHeight="1">
      <c r="A1728" s="9"/>
      <c r="B1728" s="8"/>
      <c r="C1728" s="8"/>
      <c r="D1728" s="8"/>
      <c r="E1728" s="8"/>
      <c r="F1728" s="8"/>
      <c r="G1728" s="8"/>
      <c r="H1728" s="8"/>
      <c r="I1728" s="10"/>
      <c r="J1728" s="10"/>
      <c r="K1728" s="18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</row>
    <row r="1729" ht="14.25" customHeight="1">
      <c r="A1729" s="9"/>
      <c r="B1729" s="8"/>
      <c r="C1729" s="8"/>
      <c r="D1729" s="8"/>
      <c r="E1729" s="8"/>
      <c r="F1729" s="8"/>
      <c r="G1729" s="8"/>
      <c r="H1729" s="8"/>
      <c r="I1729" s="10"/>
      <c r="J1729" s="10"/>
      <c r="K1729" s="18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</row>
    <row r="1730" ht="14.25" customHeight="1">
      <c r="A1730" s="9"/>
      <c r="B1730" s="8"/>
      <c r="C1730" s="8"/>
      <c r="D1730" s="8"/>
      <c r="E1730" s="8"/>
      <c r="F1730" s="8"/>
      <c r="G1730" s="8"/>
      <c r="H1730" s="8"/>
      <c r="I1730" s="10"/>
      <c r="J1730" s="10"/>
      <c r="K1730" s="18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</row>
    <row r="1731" ht="14.25" customHeight="1">
      <c r="A1731" s="9"/>
      <c r="B1731" s="8"/>
      <c r="C1731" s="8"/>
      <c r="D1731" s="8"/>
      <c r="E1731" s="8"/>
      <c r="F1731" s="8"/>
      <c r="G1731" s="8"/>
      <c r="H1731" s="8"/>
      <c r="I1731" s="10"/>
      <c r="J1731" s="10"/>
      <c r="K1731" s="18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</row>
    <row r="1732" ht="14.25" customHeight="1">
      <c r="A1732" s="9"/>
      <c r="B1732" s="8"/>
      <c r="C1732" s="8"/>
      <c r="D1732" s="8"/>
      <c r="E1732" s="8"/>
      <c r="F1732" s="8"/>
      <c r="G1732" s="8"/>
      <c r="H1732" s="8"/>
      <c r="I1732" s="10"/>
      <c r="J1732" s="10"/>
      <c r="K1732" s="18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</row>
    <row r="1733" ht="14.25" customHeight="1">
      <c r="A1733" s="9"/>
      <c r="B1733" s="8"/>
      <c r="C1733" s="8"/>
      <c r="D1733" s="8"/>
      <c r="E1733" s="8"/>
      <c r="F1733" s="8"/>
      <c r="G1733" s="8"/>
      <c r="H1733" s="8"/>
      <c r="I1733" s="10"/>
      <c r="J1733" s="10"/>
      <c r="K1733" s="18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</row>
    <row r="1734" ht="14.25" customHeight="1">
      <c r="A1734" s="9"/>
      <c r="B1734" s="8"/>
      <c r="C1734" s="8"/>
      <c r="D1734" s="8"/>
      <c r="E1734" s="8"/>
      <c r="F1734" s="8"/>
      <c r="G1734" s="8"/>
      <c r="H1734" s="8"/>
      <c r="I1734" s="10"/>
      <c r="J1734" s="10"/>
      <c r="K1734" s="18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</row>
    <row r="1735" ht="14.25" customHeight="1">
      <c r="A1735" s="9"/>
      <c r="B1735" s="8"/>
      <c r="C1735" s="8"/>
      <c r="D1735" s="8"/>
      <c r="E1735" s="8"/>
      <c r="F1735" s="8"/>
      <c r="G1735" s="8"/>
      <c r="H1735" s="8"/>
      <c r="I1735" s="10"/>
      <c r="J1735" s="10"/>
      <c r="K1735" s="18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</row>
    <row r="1736" ht="14.25" customHeight="1">
      <c r="A1736" s="9"/>
      <c r="B1736" s="8"/>
      <c r="C1736" s="8"/>
      <c r="D1736" s="8"/>
      <c r="E1736" s="8"/>
      <c r="F1736" s="8"/>
      <c r="G1736" s="8"/>
      <c r="H1736" s="8"/>
      <c r="I1736" s="10"/>
      <c r="J1736" s="10"/>
      <c r="K1736" s="18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</row>
    <row r="1737" ht="14.25" customHeight="1">
      <c r="A1737" s="9"/>
      <c r="B1737" s="8"/>
      <c r="C1737" s="8"/>
      <c r="D1737" s="8"/>
      <c r="E1737" s="8"/>
      <c r="F1737" s="8"/>
      <c r="G1737" s="8"/>
      <c r="H1737" s="8"/>
      <c r="I1737" s="10"/>
      <c r="J1737" s="10"/>
      <c r="K1737" s="18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</row>
    <row r="1738" ht="14.25" customHeight="1">
      <c r="A1738" s="9"/>
      <c r="B1738" s="8"/>
      <c r="C1738" s="8"/>
      <c r="D1738" s="8"/>
      <c r="E1738" s="8"/>
      <c r="F1738" s="8"/>
      <c r="G1738" s="8"/>
      <c r="H1738" s="8"/>
      <c r="I1738" s="10"/>
      <c r="J1738" s="10"/>
      <c r="K1738" s="18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</row>
    <row r="1739" ht="14.25" customHeight="1">
      <c r="A1739" s="9"/>
      <c r="B1739" s="8"/>
      <c r="C1739" s="8"/>
      <c r="D1739" s="8"/>
      <c r="E1739" s="8"/>
      <c r="F1739" s="8"/>
      <c r="G1739" s="8"/>
      <c r="H1739" s="8"/>
      <c r="I1739" s="10"/>
      <c r="J1739" s="10"/>
      <c r="K1739" s="18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</row>
    <row r="1740" ht="14.25" customHeight="1">
      <c r="A1740" s="9"/>
      <c r="B1740" s="8"/>
      <c r="C1740" s="8"/>
      <c r="D1740" s="8"/>
      <c r="E1740" s="8"/>
      <c r="F1740" s="8"/>
      <c r="G1740" s="8"/>
      <c r="H1740" s="8"/>
      <c r="I1740" s="10"/>
      <c r="J1740" s="10"/>
      <c r="K1740" s="18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</row>
    <row r="1741" ht="14.25" customHeight="1">
      <c r="A1741" s="9"/>
      <c r="B1741" s="8"/>
      <c r="C1741" s="8"/>
      <c r="D1741" s="8"/>
      <c r="E1741" s="8"/>
      <c r="F1741" s="8"/>
      <c r="G1741" s="8"/>
      <c r="H1741" s="8"/>
      <c r="I1741" s="10"/>
      <c r="J1741" s="10"/>
      <c r="K1741" s="18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</row>
    <row r="1742" ht="14.25" customHeight="1">
      <c r="A1742" s="9"/>
      <c r="B1742" s="8"/>
      <c r="C1742" s="8"/>
      <c r="D1742" s="8"/>
      <c r="E1742" s="8"/>
      <c r="F1742" s="8"/>
      <c r="G1742" s="8"/>
      <c r="H1742" s="8"/>
      <c r="I1742" s="10"/>
      <c r="J1742" s="10"/>
      <c r="K1742" s="18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</row>
    <row r="1743" ht="14.25" customHeight="1">
      <c r="A1743" s="9"/>
      <c r="B1743" s="8"/>
      <c r="C1743" s="8"/>
      <c r="D1743" s="8"/>
      <c r="E1743" s="8"/>
      <c r="F1743" s="8"/>
      <c r="G1743" s="8"/>
      <c r="H1743" s="8"/>
      <c r="I1743" s="10"/>
      <c r="J1743" s="10"/>
      <c r="K1743" s="18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</row>
    <row r="1744" ht="14.25" customHeight="1">
      <c r="A1744" s="9"/>
      <c r="B1744" s="8"/>
      <c r="C1744" s="8"/>
      <c r="D1744" s="8"/>
      <c r="E1744" s="8"/>
      <c r="F1744" s="8"/>
      <c r="G1744" s="8"/>
      <c r="H1744" s="8"/>
      <c r="I1744" s="10"/>
      <c r="J1744" s="10"/>
      <c r="K1744" s="18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</row>
    <row r="1745" ht="14.25" customHeight="1">
      <c r="A1745" s="9"/>
      <c r="B1745" s="8"/>
      <c r="C1745" s="8"/>
      <c r="D1745" s="8"/>
      <c r="E1745" s="8"/>
      <c r="F1745" s="8"/>
      <c r="G1745" s="8"/>
      <c r="H1745" s="8"/>
      <c r="I1745" s="10"/>
      <c r="J1745" s="10"/>
      <c r="K1745" s="18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</row>
    <row r="1746" ht="14.25" customHeight="1">
      <c r="A1746" s="9"/>
      <c r="B1746" s="8"/>
      <c r="C1746" s="8"/>
      <c r="D1746" s="8"/>
      <c r="E1746" s="8"/>
      <c r="F1746" s="8"/>
      <c r="G1746" s="8"/>
      <c r="H1746" s="8"/>
      <c r="I1746" s="10"/>
      <c r="J1746" s="10"/>
      <c r="K1746" s="18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</row>
    <row r="1747" ht="14.25" customHeight="1">
      <c r="A1747" s="9"/>
      <c r="B1747" s="8"/>
      <c r="C1747" s="8"/>
      <c r="D1747" s="8"/>
      <c r="E1747" s="8"/>
      <c r="F1747" s="8"/>
      <c r="G1747" s="8"/>
      <c r="H1747" s="8"/>
      <c r="I1747" s="10"/>
      <c r="J1747" s="10"/>
      <c r="K1747" s="18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</row>
    <row r="1748" ht="14.25" customHeight="1">
      <c r="A1748" s="9"/>
      <c r="B1748" s="8"/>
      <c r="C1748" s="8"/>
      <c r="D1748" s="8"/>
      <c r="E1748" s="8"/>
      <c r="F1748" s="8"/>
      <c r="G1748" s="8"/>
      <c r="H1748" s="8"/>
      <c r="I1748" s="10"/>
      <c r="J1748" s="10"/>
      <c r="K1748" s="18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</row>
    <row r="1749" ht="14.25" customHeight="1">
      <c r="A1749" s="9"/>
      <c r="B1749" s="8"/>
      <c r="C1749" s="8"/>
      <c r="D1749" s="8"/>
      <c r="E1749" s="8"/>
      <c r="F1749" s="8"/>
      <c r="G1749" s="8"/>
      <c r="H1749" s="8"/>
      <c r="I1749" s="10"/>
      <c r="J1749" s="10"/>
      <c r="K1749" s="18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</row>
    <row r="1750" ht="14.25" customHeight="1">
      <c r="A1750" s="9"/>
      <c r="B1750" s="8"/>
      <c r="C1750" s="8"/>
      <c r="D1750" s="8"/>
      <c r="E1750" s="8"/>
      <c r="F1750" s="8"/>
      <c r="G1750" s="8"/>
      <c r="H1750" s="8"/>
      <c r="I1750" s="10"/>
      <c r="J1750" s="10"/>
      <c r="K1750" s="18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</row>
    <row r="1751" ht="14.25" customHeight="1">
      <c r="A1751" s="9"/>
      <c r="B1751" s="8"/>
      <c r="C1751" s="8"/>
      <c r="D1751" s="8"/>
      <c r="E1751" s="8"/>
      <c r="F1751" s="8"/>
      <c r="G1751" s="8"/>
      <c r="H1751" s="8"/>
      <c r="I1751" s="10"/>
      <c r="J1751" s="10"/>
      <c r="K1751" s="18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</row>
    <row r="1752" ht="14.25" customHeight="1">
      <c r="A1752" s="9"/>
      <c r="B1752" s="8"/>
      <c r="C1752" s="8"/>
      <c r="D1752" s="8"/>
      <c r="E1752" s="8"/>
      <c r="F1752" s="8"/>
      <c r="G1752" s="8"/>
      <c r="H1752" s="8"/>
      <c r="I1752" s="10"/>
      <c r="J1752" s="10"/>
      <c r="K1752" s="18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</row>
    <row r="1753" ht="14.25" customHeight="1">
      <c r="A1753" s="9"/>
      <c r="B1753" s="8"/>
      <c r="C1753" s="8"/>
      <c r="D1753" s="8"/>
      <c r="E1753" s="8"/>
      <c r="F1753" s="8"/>
      <c r="G1753" s="8"/>
      <c r="H1753" s="8"/>
      <c r="I1753" s="10"/>
      <c r="J1753" s="10"/>
      <c r="K1753" s="18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</row>
    <row r="1754" ht="14.25" customHeight="1">
      <c r="A1754" s="9"/>
      <c r="B1754" s="8"/>
      <c r="C1754" s="8"/>
      <c r="D1754" s="8"/>
      <c r="E1754" s="8"/>
      <c r="F1754" s="8"/>
      <c r="G1754" s="8"/>
      <c r="H1754" s="8"/>
      <c r="I1754" s="10"/>
      <c r="J1754" s="10"/>
      <c r="K1754" s="18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</row>
    <row r="1755" ht="14.25" customHeight="1">
      <c r="A1755" s="9"/>
      <c r="B1755" s="8"/>
      <c r="C1755" s="8"/>
      <c r="D1755" s="8"/>
      <c r="E1755" s="8"/>
      <c r="F1755" s="8"/>
      <c r="G1755" s="8"/>
      <c r="H1755" s="8"/>
      <c r="I1755" s="10"/>
      <c r="J1755" s="10"/>
      <c r="K1755" s="18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</row>
    <row r="1756" ht="14.25" customHeight="1">
      <c r="A1756" s="9"/>
      <c r="B1756" s="8"/>
      <c r="C1756" s="8"/>
      <c r="D1756" s="8"/>
      <c r="E1756" s="8"/>
      <c r="F1756" s="8"/>
      <c r="G1756" s="8"/>
      <c r="H1756" s="8"/>
      <c r="I1756" s="10"/>
      <c r="J1756" s="10"/>
      <c r="K1756" s="18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</row>
    <row r="1757" ht="14.25" customHeight="1">
      <c r="A1757" s="9"/>
      <c r="B1757" s="8"/>
      <c r="C1757" s="8"/>
      <c r="D1757" s="8"/>
      <c r="E1757" s="8"/>
      <c r="F1757" s="8"/>
      <c r="G1757" s="8"/>
      <c r="H1757" s="8"/>
      <c r="I1757" s="10"/>
      <c r="J1757" s="10"/>
      <c r="K1757" s="18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</row>
    <row r="1758" ht="14.25" customHeight="1">
      <c r="A1758" s="9"/>
      <c r="B1758" s="8"/>
      <c r="C1758" s="8"/>
      <c r="D1758" s="8"/>
      <c r="E1758" s="8"/>
      <c r="F1758" s="8"/>
      <c r="G1758" s="8"/>
      <c r="H1758" s="8"/>
      <c r="I1758" s="10"/>
      <c r="J1758" s="10"/>
      <c r="K1758" s="18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</row>
    <row r="1759" ht="14.25" customHeight="1">
      <c r="A1759" s="9"/>
      <c r="B1759" s="8"/>
      <c r="C1759" s="8"/>
      <c r="D1759" s="8"/>
      <c r="E1759" s="8"/>
      <c r="F1759" s="8"/>
      <c r="G1759" s="8"/>
      <c r="H1759" s="8"/>
      <c r="I1759" s="10"/>
      <c r="J1759" s="10"/>
      <c r="K1759" s="18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</row>
    <row r="1760" ht="14.25" customHeight="1">
      <c r="A1760" s="9"/>
      <c r="B1760" s="8"/>
      <c r="C1760" s="8"/>
      <c r="D1760" s="8"/>
      <c r="E1760" s="8"/>
      <c r="F1760" s="8"/>
      <c r="G1760" s="8"/>
      <c r="H1760" s="8"/>
      <c r="I1760" s="10"/>
      <c r="J1760" s="10"/>
      <c r="K1760" s="18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</row>
    <row r="1761" ht="14.25" customHeight="1">
      <c r="A1761" s="9"/>
      <c r="B1761" s="8"/>
      <c r="C1761" s="8"/>
      <c r="D1761" s="8"/>
      <c r="E1761" s="8"/>
      <c r="F1761" s="8"/>
      <c r="G1761" s="8"/>
      <c r="H1761" s="8"/>
      <c r="I1761" s="10"/>
      <c r="J1761" s="10"/>
      <c r="K1761" s="18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</row>
    <row r="1762" ht="14.25" customHeight="1">
      <c r="A1762" s="9"/>
      <c r="B1762" s="8"/>
      <c r="C1762" s="8"/>
      <c r="D1762" s="8"/>
      <c r="E1762" s="8"/>
      <c r="F1762" s="8"/>
      <c r="G1762" s="8"/>
      <c r="H1762" s="8"/>
      <c r="I1762" s="10"/>
      <c r="J1762" s="10"/>
      <c r="K1762" s="18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</row>
    <row r="1763" ht="14.25" customHeight="1">
      <c r="A1763" s="9"/>
      <c r="B1763" s="8"/>
      <c r="C1763" s="8"/>
      <c r="D1763" s="8"/>
      <c r="E1763" s="8"/>
      <c r="F1763" s="8"/>
      <c r="G1763" s="8"/>
      <c r="H1763" s="8"/>
      <c r="I1763" s="10"/>
      <c r="J1763" s="10"/>
      <c r="K1763" s="18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</row>
    <row r="1764" ht="14.25" customHeight="1">
      <c r="A1764" s="9"/>
      <c r="B1764" s="8"/>
      <c r="C1764" s="8"/>
      <c r="D1764" s="8"/>
      <c r="E1764" s="8"/>
      <c r="F1764" s="8"/>
      <c r="G1764" s="8"/>
      <c r="H1764" s="8"/>
      <c r="I1764" s="10"/>
      <c r="J1764" s="10"/>
      <c r="K1764" s="18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</row>
    <row r="1765" ht="14.25" customHeight="1">
      <c r="A1765" s="9"/>
      <c r="B1765" s="8"/>
      <c r="C1765" s="8"/>
      <c r="D1765" s="8"/>
      <c r="E1765" s="8"/>
      <c r="F1765" s="8"/>
      <c r="G1765" s="8"/>
      <c r="H1765" s="8"/>
      <c r="I1765" s="10"/>
      <c r="J1765" s="10"/>
      <c r="K1765" s="18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</row>
    <row r="1766" ht="14.25" customHeight="1">
      <c r="A1766" s="9"/>
      <c r="B1766" s="8"/>
      <c r="C1766" s="8"/>
      <c r="D1766" s="8"/>
      <c r="E1766" s="8"/>
      <c r="F1766" s="8"/>
      <c r="G1766" s="8"/>
      <c r="H1766" s="8"/>
      <c r="I1766" s="10"/>
      <c r="J1766" s="10"/>
      <c r="K1766" s="18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</row>
    <row r="1767" ht="14.25" customHeight="1">
      <c r="A1767" s="9"/>
      <c r="B1767" s="8"/>
      <c r="C1767" s="8"/>
      <c r="D1767" s="8"/>
      <c r="E1767" s="8"/>
      <c r="F1767" s="8"/>
      <c r="G1767" s="8"/>
      <c r="H1767" s="8"/>
      <c r="I1767" s="10"/>
      <c r="J1767" s="10"/>
      <c r="K1767" s="18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</row>
    <row r="1768" ht="14.25" customHeight="1">
      <c r="A1768" s="9"/>
      <c r="B1768" s="8"/>
      <c r="C1768" s="8"/>
      <c r="D1768" s="8"/>
      <c r="E1768" s="8"/>
      <c r="F1768" s="8"/>
      <c r="G1768" s="8"/>
      <c r="H1768" s="8"/>
      <c r="I1768" s="10"/>
      <c r="J1768" s="10"/>
      <c r="K1768" s="18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</row>
    <row r="1769" ht="14.25" customHeight="1">
      <c r="A1769" s="9"/>
      <c r="B1769" s="8"/>
      <c r="C1769" s="8"/>
      <c r="D1769" s="8"/>
      <c r="E1769" s="8"/>
      <c r="F1769" s="8"/>
      <c r="G1769" s="8"/>
      <c r="H1769" s="8"/>
      <c r="I1769" s="10"/>
      <c r="J1769" s="10"/>
      <c r="K1769" s="18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</row>
    <row r="1770" ht="14.25" customHeight="1">
      <c r="A1770" s="9"/>
      <c r="B1770" s="8"/>
      <c r="C1770" s="8"/>
      <c r="D1770" s="8"/>
      <c r="E1770" s="8"/>
      <c r="F1770" s="8"/>
      <c r="G1770" s="8"/>
      <c r="H1770" s="8"/>
      <c r="I1770" s="10"/>
      <c r="J1770" s="10"/>
      <c r="K1770" s="18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</row>
    <row r="1771" ht="14.25" customHeight="1">
      <c r="A1771" s="9"/>
      <c r="B1771" s="8"/>
      <c r="C1771" s="8"/>
      <c r="D1771" s="8"/>
      <c r="E1771" s="8"/>
      <c r="F1771" s="8"/>
      <c r="G1771" s="8"/>
      <c r="H1771" s="8"/>
      <c r="I1771" s="10"/>
      <c r="J1771" s="10"/>
      <c r="K1771" s="18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</row>
    <row r="1772" ht="14.25" customHeight="1">
      <c r="A1772" s="9"/>
      <c r="B1772" s="8"/>
      <c r="C1772" s="8"/>
      <c r="D1772" s="8"/>
      <c r="E1772" s="8"/>
      <c r="F1772" s="8"/>
      <c r="G1772" s="8"/>
      <c r="H1772" s="8"/>
      <c r="I1772" s="10"/>
      <c r="J1772" s="10"/>
      <c r="K1772" s="18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</row>
    <row r="1773" ht="14.25" customHeight="1">
      <c r="A1773" s="9"/>
      <c r="B1773" s="8"/>
      <c r="C1773" s="8"/>
      <c r="D1773" s="8"/>
      <c r="E1773" s="8"/>
      <c r="F1773" s="8"/>
      <c r="G1773" s="8"/>
      <c r="H1773" s="8"/>
      <c r="I1773" s="10"/>
      <c r="J1773" s="10"/>
      <c r="K1773" s="18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</row>
    <row r="1774" ht="14.25" customHeight="1">
      <c r="A1774" s="9"/>
      <c r="B1774" s="8"/>
      <c r="C1774" s="8"/>
      <c r="D1774" s="8"/>
      <c r="E1774" s="8"/>
      <c r="F1774" s="8"/>
      <c r="G1774" s="8"/>
      <c r="H1774" s="8"/>
      <c r="I1774" s="10"/>
      <c r="J1774" s="10"/>
      <c r="K1774" s="18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</row>
    <row r="1775" ht="14.25" customHeight="1">
      <c r="A1775" s="9"/>
      <c r="B1775" s="8"/>
      <c r="C1775" s="8"/>
      <c r="D1775" s="8"/>
      <c r="E1775" s="8"/>
      <c r="F1775" s="8"/>
      <c r="G1775" s="8"/>
      <c r="H1775" s="8"/>
      <c r="I1775" s="10"/>
      <c r="J1775" s="10"/>
      <c r="K1775" s="18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</row>
    <row r="1776" ht="14.25" customHeight="1">
      <c r="A1776" s="9"/>
      <c r="B1776" s="8"/>
      <c r="C1776" s="8"/>
      <c r="D1776" s="8"/>
      <c r="E1776" s="8"/>
      <c r="F1776" s="8"/>
      <c r="G1776" s="8"/>
      <c r="H1776" s="8"/>
      <c r="I1776" s="10"/>
      <c r="J1776" s="10"/>
      <c r="K1776" s="18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</row>
    <row r="1777" ht="14.25" customHeight="1">
      <c r="A1777" s="9"/>
      <c r="B1777" s="8"/>
      <c r="C1777" s="8"/>
      <c r="D1777" s="8"/>
      <c r="E1777" s="8"/>
      <c r="F1777" s="8"/>
      <c r="G1777" s="8"/>
      <c r="H1777" s="8"/>
      <c r="I1777" s="10"/>
      <c r="J1777" s="10"/>
      <c r="K1777" s="18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</row>
    <row r="1778" ht="14.25" customHeight="1">
      <c r="A1778" s="9"/>
      <c r="B1778" s="8"/>
      <c r="C1778" s="8"/>
      <c r="D1778" s="8"/>
      <c r="E1778" s="8"/>
      <c r="F1778" s="8"/>
      <c r="G1778" s="8"/>
      <c r="H1778" s="8"/>
      <c r="I1778" s="10"/>
      <c r="J1778" s="10"/>
      <c r="K1778" s="18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</row>
    <row r="1779" ht="14.25" customHeight="1">
      <c r="A1779" s="9"/>
      <c r="B1779" s="8"/>
      <c r="C1779" s="8"/>
      <c r="D1779" s="8"/>
      <c r="E1779" s="8"/>
      <c r="F1779" s="8"/>
      <c r="G1779" s="8"/>
      <c r="H1779" s="8"/>
      <c r="I1779" s="10"/>
      <c r="J1779" s="10"/>
      <c r="K1779" s="18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</row>
    <row r="1780" ht="14.25" customHeight="1">
      <c r="A1780" s="9"/>
      <c r="B1780" s="8"/>
      <c r="C1780" s="8"/>
      <c r="D1780" s="8"/>
      <c r="E1780" s="8"/>
      <c r="F1780" s="8"/>
      <c r="G1780" s="8"/>
      <c r="H1780" s="8"/>
      <c r="I1780" s="10"/>
      <c r="J1780" s="10"/>
      <c r="K1780" s="18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</row>
    <row r="1781" ht="14.25" customHeight="1">
      <c r="A1781" s="9"/>
      <c r="B1781" s="8"/>
      <c r="C1781" s="8"/>
      <c r="D1781" s="8"/>
      <c r="E1781" s="8"/>
      <c r="F1781" s="8"/>
      <c r="G1781" s="8"/>
      <c r="H1781" s="8"/>
      <c r="I1781" s="10"/>
      <c r="J1781" s="10"/>
      <c r="K1781" s="18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</row>
    <row r="1782" ht="14.25" customHeight="1">
      <c r="A1782" s="9"/>
      <c r="B1782" s="8"/>
      <c r="C1782" s="8"/>
      <c r="D1782" s="8"/>
      <c r="E1782" s="8"/>
      <c r="F1782" s="8"/>
      <c r="G1782" s="8"/>
      <c r="H1782" s="8"/>
      <c r="I1782" s="10"/>
      <c r="J1782" s="10"/>
      <c r="K1782" s="18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</row>
    <row r="1783" ht="14.25" customHeight="1">
      <c r="A1783" s="9"/>
      <c r="B1783" s="8"/>
      <c r="C1783" s="8"/>
      <c r="D1783" s="8"/>
      <c r="E1783" s="8"/>
      <c r="F1783" s="8"/>
      <c r="G1783" s="8"/>
      <c r="H1783" s="8"/>
      <c r="I1783" s="10"/>
      <c r="J1783" s="10"/>
      <c r="K1783" s="18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</row>
    <row r="1784" ht="14.25" customHeight="1">
      <c r="A1784" s="9"/>
      <c r="B1784" s="8"/>
      <c r="C1784" s="8"/>
      <c r="D1784" s="8"/>
      <c r="E1784" s="8"/>
      <c r="F1784" s="8"/>
      <c r="G1784" s="8"/>
      <c r="H1784" s="8"/>
      <c r="I1784" s="10"/>
      <c r="J1784" s="10"/>
      <c r="K1784" s="18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</row>
    <row r="1785" ht="14.25" customHeight="1">
      <c r="A1785" s="9"/>
      <c r="B1785" s="8"/>
      <c r="C1785" s="8"/>
      <c r="D1785" s="8"/>
      <c r="E1785" s="8"/>
      <c r="F1785" s="8"/>
      <c r="G1785" s="8"/>
      <c r="H1785" s="8"/>
      <c r="I1785" s="10"/>
      <c r="J1785" s="10"/>
      <c r="K1785" s="18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</row>
    <row r="1786" ht="14.25" customHeight="1">
      <c r="A1786" s="9"/>
      <c r="B1786" s="8"/>
      <c r="C1786" s="8"/>
      <c r="D1786" s="8"/>
      <c r="E1786" s="8"/>
      <c r="F1786" s="8"/>
      <c r="G1786" s="8"/>
      <c r="H1786" s="8"/>
      <c r="I1786" s="10"/>
      <c r="J1786" s="10"/>
      <c r="K1786" s="18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</row>
    <row r="1787" ht="14.25" customHeight="1">
      <c r="A1787" s="9"/>
      <c r="B1787" s="8"/>
      <c r="C1787" s="8"/>
      <c r="D1787" s="8"/>
      <c r="E1787" s="8"/>
      <c r="F1787" s="8"/>
      <c r="G1787" s="8"/>
      <c r="H1787" s="8"/>
      <c r="I1787" s="10"/>
      <c r="J1787" s="10"/>
      <c r="K1787" s="18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</row>
    <row r="1788" ht="14.25" customHeight="1">
      <c r="A1788" s="9"/>
      <c r="B1788" s="8"/>
      <c r="C1788" s="8"/>
      <c r="D1788" s="8"/>
      <c r="E1788" s="8"/>
      <c r="F1788" s="8"/>
      <c r="G1788" s="8"/>
      <c r="H1788" s="8"/>
      <c r="I1788" s="10"/>
      <c r="J1788" s="10"/>
      <c r="K1788" s="18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</row>
    <row r="1789" ht="14.25" customHeight="1">
      <c r="A1789" s="9"/>
      <c r="B1789" s="8"/>
      <c r="C1789" s="8"/>
      <c r="D1789" s="8"/>
      <c r="E1789" s="8"/>
      <c r="F1789" s="8"/>
      <c r="G1789" s="8"/>
      <c r="H1789" s="8"/>
      <c r="I1789" s="10"/>
      <c r="J1789" s="10"/>
      <c r="K1789" s="18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</row>
    <row r="1790" ht="14.25" customHeight="1">
      <c r="A1790" s="9"/>
      <c r="B1790" s="8"/>
      <c r="C1790" s="8"/>
      <c r="D1790" s="8"/>
      <c r="E1790" s="8"/>
      <c r="F1790" s="8"/>
      <c r="G1790" s="8"/>
      <c r="H1790" s="8"/>
      <c r="I1790" s="10"/>
      <c r="J1790" s="10"/>
      <c r="K1790" s="18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</row>
    <row r="1791" ht="14.25" customHeight="1">
      <c r="A1791" s="9"/>
      <c r="B1791" s="8"/>
      <c r="C1791" s="8"/>
      <c r="D1791" s="8"/>
      <c r="E1791" s="8"/>
      <c r="F1791" s="8"/>
      <c r="G1791" s="8"/>
      <c r="H1791" s="8"/>
      <c r="I1791" s="10"/>
      <c r="J1791" s="10"/>
      <c r="K1791" s="18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</row>
    <row r="1792" ht="14.25" customHeight="1">
      <c r="A1792" s="9"/>
      <c r="B1792" s="8"/>
      <c r="C1792" s="8"/>
      <c r="D1792" s="8"/>
      <c r="E1792" s="8"/>
      <c r="F1792" s="8"/>
      <c r="G1792" s="8"/>
      <c r="H1792" s="8"/>
      <c r="I1792" s="10"/>
      <c r="J1792" s="10"/>
      <c r="K1792" s="18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</row>
    <row r="1793" ht="14.25" customHeight="1">
      <c r="A1793" s="9"/>
      <c r="B1793" s="8"/>
      <c r="C1793" s="8"/>
      <c r="D1793" s="8"/>
      <c r="E1793" s="8"/>
      <c r="F1793" s="8"/>
      <c r="G1793" s="8"/>
      <c r="H1793" s="8"/>
      <c r="I1793" s="10"/>
      <c r="J1793" s="10"/>
      <c r="K1793" s="18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</row>
    <row r="1794" ht="14.25" customHeight="1">
      <c r="A1794" s="9"/>
      <c r="B1794" s="8"/>
      <c r="C1794" s="8"/>
      <c r="D1794" s="8"/>
      <c r="E1794" s="8"/>
      <c r="F1794" s="8"/>
      <c r="G1794" s="8"/>
      <c r="H1794" s="8"/>
      <c r="I1794" s="10"/>
      <c r="J1794" s="10"/>
      <c r="K1794" s="18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</row>
    <row r="1795" ht="14.25" customHeight="1">
      <c r="A1795" s="9"/>
      <c r="B1795" s="8"/>
      <c r="C1795" s="8"/>
      <c r="D1795" s="8"/>
      <c r="E1795" s="8"/>
      <c r="F1795" s="8"/>
      <c r="G1795" s="8"/>
      <c r="H1795" s="8"/>
      <c r="I1795" s="10"/>
      <c r="J1795" s="10"/>
      <c r="K1795" s="18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</row>
    <row r="1796" ht="14.25" customHeight="1">
      <c r="A1796" s="9"/>
      <c r="B1796" s="8"/>
      <c r="C1796" s="8"/>
      <c r="D1796" s="8"/>
      <c r="E1796" s="8"/>
      <c r="F1796" s="8"/>
      <c r="G1796" s="8"/>
      <c r="H1796" s="8"/>
      <c r="I1796" s="10"/>
      <c r="J1796" s="10"/>
      <c r="K1796" s="18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</row>
    <row r="1797" ht="14.25" customHeight="1">
      <c r="A1797" s="9"/>
      <c r="B1797" s="8"/>
      <c r="C1797" s="8"/>
      <c r="D1797" s="8"/>
      <c r="E1797" s="8"/>
      <c r="F1797" s="8"/>
      <c r="G1797" s="8"/>
      <c r="H1797" s="8"/>
      <c r="I1797" s="10"/>
      <c r="J1797" s="10"/>
      <c r="K1797" s="18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</row>
    <row r="1798" ht="14.25" customHeight="1">
      <c r="A1798" s="9"/>
      <c r="B1798" s="8"/>
      <c r="C1798" s="8"/>
      <c r="D1798" s="8"/>
      <c r="E1798" s="8"/>
      <c r="F1798" s="8"/>
      <c r="G1798" s="8"/>
      <c r="H1798" s="8"/>
      <c r="I1798" s="10"/>
      <c r="J1798" s="10"/>
      <c r="K1798" s="18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</row>
    <row r="1799" ht="14.25" customHeight="1">
      <c r="A1799" s="9"/>
      <c r="B1799" s="8"/>
      <c r="C1799" s="8"/>
      <c r="D1799" s="8"/>
      <c r="E1799" s="8"/>
      <c r="F1799" s="8"/>
      <c r="G1799" s="8"/>
      <c r="H1799" s="8"/>
      <c r="I1799" s="10"/>
      <c r="J1799" s="10"/>
      <c r="K1799" s="18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</row>
    <row r="1800" ht="14.25" customHeight="1">
      <c r="A1800" s="9"/>
      <c r="B1800" s="8"/>
      <c r="C1800" s="8"/>
      <c r="D1800" s="8"/>
      <c r="E1800" s="8"/>
      <c r="F1800" s="8"/>
      <c r="G1800" s="8"/>
      <c r="H1800" s="8"/>
      <c r="I1800" s="10"/>
      <c r="J1800" s="10"/>
      <c r="K1800" s="18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</row>
    <row r="1801" ht="14.25" customHeight="1">
      <c r="A1801" s="9"/>
      <c r="B1801" s="8"/>
      <c r="C1801" s="8"/>
      <c r="D1801" s="8"/>
      <c r="E1801" s="8"/>
      <c r="F1801" s="8"/>
      <c r="G1801" s="8"/>
      <c r="H1801" s="8"/>
      <c r="I1801" s="10"/>
      <c r="J1801" s="10"/>
      <c r="K1801" s="18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</row>
    <row r="1802" ht="14.25" customHeight="1">
      <c r="A1802" s="9"/>
      <c r="B1802" s="8"/>
      <c r="C1802" s="8"/>
      <c r="D1802" s="8"/>
      <c r="E1802" s="8"/>
      <c r="F1802" s="8"/>
      <c r="G1802" s="8"/>
      <c r="H1802" s="8"/>
      <c r="I1802" s="10"/>
      <c r="J1802" s="10"/>
      <c r="K1802" s="18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</row>
    <row r="1803" ht="14.25" customHeight="1">
      <c r="A1803" s="9"/>
      <c r="B1803" s="8"/>
      <c r="C1803" s="8"/>
      <c r="D1803" s="8"/>
      <c r="E1803" s="8"/>
      <c r="F1803" s="8"/>
      <c r="G1803" s="8"/>
      <c r="H1803" s="8"/>
      <c r="I1803" s="10"/>
      <c r="J1803" s="10"/>
      <c r="K1803" s="18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</row>
    <row r="1804" ht="14.25" customHeight="1">
      <c r="A1804" s="9"/>
      <c r="B1804" s="8"/>
      <c r="C1804" s="8"/>
      <c r="D1804" s="8"/>
      <c r="E1804" s="8"/>
      <c r="F1804" s="8"/>
      <c r="G1804" s="8"/>
      <c r="H1804" s="8"/>
      <c r="I1804" s="10"/>
      <c r="J1804" s="10"/>
      <c r="K1804" s="18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</row>
    <row r="1805" ht="14.25" customHeight="1">
      <c r="A1805" s="9"/>
      <c r="B1805" s="8"/>
      <c r="C1805" s="8"/>
      <c r="D1805" s="8"/>
      <c r="E1805" s="8"/>
      <c r="F1805" s="8"/>
      <c r="G1805" s="8"/>
      <c r="H1805" s="8"/>
      <c r="I1805" s="10"/>
      <c r="J1805" s="10"/>
      <c r="K1805" s="18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</row>
    <row r="1806" ht="14.25" customHeight="1">
      <c r="A1806" s="9"/>
      <c r="B1806" s="8"/>
      <c r="C1806" s="8"/>
      <c r="D1806" s="8"/>
      <c r="E1806" s="8"/>
      <c r="F1806" s="8"/>
      <c r="G1806" s="8"/>
      <c r="H1806" s="8"/>
      <c r="I1806" s="10"/>
      <c r="J1806" s="10"/>
      <c r="K1806" s="18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</row>
    <row r="1807" ht="14.25" customHeight="1">
      <c r="A1807" s="9"/>
      <c r="B1807" s="8"/>
      <c r="C1807" s="8"/>
      <c r="D1807" s="8"/>
      <c r="E1807" s="8"/>
      <c r="F1807" s="8"/>
      <c r="G1807" s="8"/>
      <c r="H1807" s="8"/>
      <c r="I1807" s="10"/>
      <c r="J1807" s="10"/>
      <c r="K1807" s="18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</row>
    <row r="1808" ht="14.25" customHeight="1">
      <c r="A1808" s="9"/>
      <c r="B1808" s="8"/>
      <c r="C1808" s="8"/>
      <c r="D1808" s="8"/>
      <c r="E1808" s="8"/>
      <c r="F1808" s="8"/>
      <c r="G1808" s="8"/>
      <c r="H1808" s="8"/>
      <c r="I1808" s="10"/>
      <c r="J1808" s="10"/>
      <c r="K1808" s="18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</row>
    <row r="1809" ht="14.25" customHeight="1">
      <c r="A1809" s="9"/>
      <c r="B1809" s="8"/>
      <c r="C1809" s="8"/>
      <c r="D1809" s="8"/>
      <c r="E1809" s="8"/>
      <c r="F1809" s="8"/>
      <c r="G1809" s="8"/>
      <c r="H1809" s="8"/>
      <c r="I1809" s="10"/>
      <c r="J1809" s="10"/>
      <c r="K1809" s="18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</row>
    <row r="1810" ht="14.25" customHeight="1">
      <c r="A1810" s="9"/>
      <c r="B1810" s="8"/>
      <c r="C1810" s="8"/>
      <c r="D1810" s="8"/>
      <c r="E1810" s="8"/>
      <c r="F1810" s="8"/>
      <c r="G1810" s="8"/>
      <c r="H1810" s="8"/>
      <c r="I1810" s="10"/>
      <c r="J1810" s="10"/>
      <c r="K1810" s="18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</row>
    <row r="1811" ht="14.25" customHeight="1">
      <c r="A1811" s="9"/>
      <c r="B1811" s="8"/>
      <c r="C1811" s="8"/>
      <c r="D1811" s="8"/>
      <c r="E1811" s="8"/>
      <c r="F1811" s="8"/>
      <c r="G1811" s="8"/>
      <c r="H1811" s="8"/>
      <c r="I1811" s="10"/>
      <c r="J1811" s="10"/>
      <c r="K1811" s="18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</row>
    <row r="1812" ht="14.25" customHeight="1">
      <c r="A1812" s="9"/>
      <c r="B1812" s="8"/>
      <c r="C1812" s="8"/>
      <c r="D1812" s="8"/>
      <c r="E1812" s="8"/>
      <c r="F1812" s="8"/>
      <c r="G1812" s="8"/>
      <c r="H1812" s="8"/>
      <c r="I1812" s="10"/>
      <c r="J1812" s="10"/>
      <c r="K1812" s="18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</row>
    <row r="1813" ht="14.25" customHeight="1">
      <c r="A1813" s="9"/>
      <c r="B1813" s="8"/>
      <c r="C1813" s="8"/>
      <c r="D1813" s="8"/>
      <c r="E1813" s="8"/>
      <c r="F1813" s="8"/>
      <c r="G1813" s="8"/>
      <c r="H1813" s="8"/>
      <c r="I1813" s="10"/>
      <c r="J1813" s="10"/>
      <c r="K1813" s="18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</row>
    <row r="1814" ht="14.25" customHeight="1">
      <c r="A1814" s="9"/>
      <c r="B1814" s="8"/>
      <c r="C1814" s="8"/>
      <c r="D1814" s="8"/>
      <c r="E1814" s="8"/>
      <c r="F1814" s="8"/>
      <c r="G1814" s="8"/>
      <c r="H1814" s="8"/>
      <c r="I1814" s="10"/>
      <c r="J1814" s="10"/>
      <c r="K1814" s="18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</row>
    <row r="1815" ht="14.25" customHeight="1">
      <c r="A1815" s="9"/>
      <c r="B1815" s="8"/>
      <c r="C1815" s="8"/>
      <c r="D1815" s="8"/>
      <c r="E1815" s="8"/>
      <c r="F1815" s="8"/>
      <c r="G1815" s="8"/>
      <c r="H1815" s="8"/>
      <c r="I1815" s="10"/>
      <c r="J1815" s="10"/>
      <c r="K1815" s="18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</row>
    <row r="1816" ht="14.25" customHeight="1">
      <c r="A1816" s="9"/>
      <c r="B1816" s="8"/>
      <c r="C1816" s="8"/>
      <c r="D1816" s="8"/>
      <c r="E1816" s="8"/>
      <c r="F1816" s="8"/>
      <c r="G1816" s="8"/>
      <c r="H1816" s="8"/>
      <c r="I1816" s="10"/>
      <c r="J1816" s="10"/>
      <c r="K1816" s="18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</row>
    <row r="1817" ht="14.25" customHeight="1">
      <c r="A1817" s="9"/>
      <c r="B1817" s="8"/>
      <c r="C1817" s="8"/>
      <c r="D1817" s="8"/>
      <c r="E1817" s="8"/>
      <c r="F1817" s="8"/>
      <c r="G1817" s="8"/>
      <c r="H1817" s="8"/>
      <c r="I1817" s="10"/>
      <c r="J1817" s="10"/>
      <c r="K1817" s="18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</row>
    <row r="1818" ht="14.25" customHeight="1">
      <c r="A1818" s="9"/>
      <c r="B1818" s="8"/>
      <c r="C1818" s="8"/>
      <c r="D1818" s="8"/>
      <c r="E1818" s="8"/>
      <c r="F1818" s="8"/>
      <c r="G1818" s="8"/>
      <c r="H1818" s="8"/>
      <c r="I1818" s="10"/>
      <c r="J1818" s="10"/>
      <c r="K1818" s="18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</row>
    <row r="1819" ht="14.25" customHeight="1">
      <c r="A1819" s="9"/>
      <c r="B1819" s="8"/>
      <c r="C1819" s="8"/>
      <c r="D1819" s="8"/>
      <c r="E1819" s="8"/>
      <c r="F1819" s="8"/>
      <c r="G1819" s="8"/>
      <c r="H1819" s="8"/>
      <c r="I1819" s="10"/>
      <c r="J1819" s="10"/>
      <c r="K1819" s="18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</row>
    <row r="1820" ht="14.25" customHeight="1">
      <c r="A1820" s="9"/>
      <c r="B1820" s="8"/>
      <c r="C1820" s="8"/>
      <c r="D1820" s="8"/>
      <c r="E1820" s="8"/>
      <c r="F1820" s="8"/>
      <c r="G1820" s="8"/>
      <c r="H1820" s="8"/>
      <c r="I1820" s="10"/>
      <c r="J1820" s="10"/>
      <c r="K1820" s="18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</row>
    <row r="1821" ht="14.25" customHeight="1">
      <c r="A1821" s="9"/>
      <c r="B1821" s="8"/>
      <c r="C1821" s="8"/>
      <c r="D1821" s="8"/>
      <c r="E1821" s="8"/>
      <c r="F1821" s="8"/>
      <c r="G1821" s="8"/>
      <c r="H1821" s="8"/>
      <c r="I1821" s="10"/>
      <c r="J1821" s="10"/>
      <c r="K1821" s="18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</row>
    <row r="1822" ht="14.25" customHeight="1">
      <c r="A1822" s="9"/>
      <c r="B1822" s="8"/>
      <c r="C1822" s="8"/>
      <c r="D1822" s="8"/>
      <c r="E1822" s="8"/>
      <c r="F1822" s="8"/>
      <c r="G1822" s="8"/>
      <c r="H1822" s="8"/>
      <c r="I1822" s="10"/>
      <c r="J1822" s="10"/>
      <c r="K1822" s="18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</row>
    <row r="1823" ht="14.25" customHeight="1">
      <c r="A1823" s="9"/>
      <c r="B1823" s="8"/>
      <c r="C1823" s="8"/>
      <c r="D1823" s="8"/>
      <c r="E1823" s="8"/>
      <c r="F1823" s="8"/>
      <c r="G1823" s="8"/>
      <c r="H1823" s="8"/>
      <c r="I1823" s="10"/>
      <c r="J1823" s="10"/>
      <c r="K1823" s="18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</row>
    <row r="1824" ht="14.25" customHeight="1">
      <c r="A1824" s="9"/>
      <c r="B1824" s="8"/>
      <c r="C1824" s="8"/>
      <c r="D1824" s="8"/>
      <c r="E1824" s="8"/>
      <c r="F1824" s="8"/>
      <c r="G1824" s="8"/>
      <c r="H1824" s="8"/>
      <c r="I1824" s="10"/>
      <c r="J1824" s="10"/>
      <c r="K1824" s="18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</row>
    <row r="1825" ht="14.25" customHeight="1">
      <c r="A1825" s="9"/>
      <c r="B1825" s="8"/>
      <c r="C1825" s="8"/>
      <c r="D1825" s="8"/>
      <c r="E1825" s="8"/>
      <c r="F1825" s="8"/>
      <c r="G1825" s="8"/>
      <c r="H1825" s="8"/>
      <c r="I1825" s="10"/>
      <c r="J1825" s="10"/>
      <c r="K1825" s="18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</row>
    <row r="1826" ht="14.25" customHeight="1">
      <c r="A1826" s="9"/>
      <c r="B1826" s="8"/>
      <c r="C1826" s="8"/>
      <c r="D1826" s="8"/>
      <c r="E1826" s="8"/>
      <c r="F1826" s="8"/>
      <c r="G1826" s="8"/>
      <c r="H1826" s="8"/>
      <c r="I1826" s="10"/>
      <c r="J1826" s="10"/>
      <c r="K1826" s="18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</row>
    <row r="1827" ht="14.25" customHeight="1">
      <c r="A1827" s="9"/>
      <c r="B1827" s="8"/>
      <c r="C1827" s="8"/>
      <c r="D1827" s="8"/>
      <c r="E1827" s="8"/>
      <c r="F1827" s="8"/>
      <c r="G1827" s="8"/>
      <c r="H1827" s="8"/>
      <c r="I1827" s="10"/>
      <c r="J1827" s="10"/>
      <c r="K1827" s="18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</row>
    <row r="1828" ht="14.25" customHeight="1">
      <c r="A1828" s="9"/>
      <c r="B1828" s="8"/>
      <c r="C1828" s="8"/>
      <c r="D1828" s="8"/>
      <c r="E1828" s="8"/>
      <c r="F1828" s="8"/>
      <c r="G1828" s="8"/>
      <c r="H1828" s="8"/>
      <c r="I1828" s="10"/>
      <c r="J1828" s="10"/>
      <c r="K1828" s="18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</row>
    <row r="1829" ht="14.25" customHeight="1">
      <c r="A1829" s="9"/>
      <c r="B1829" s="8"/>
      <c r="C1829" s="8"/>
      <c r="D1829" s="8"/>
      <c r="E1829" s="8"/>
      <c r="F1829" s="8"/>
      <c r="G1829" s="8"/>
      <c r="H1829" s="8"/>
      <c r="I1829" s="10"/>
      <c r="J1829" s="10"/>
      <c r="K1829" s="18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</row>
    <row r="1830" ht="14.25" customHeight="1">
      <c r="A1830" s="9"/>
      <c r="B1830" s="8"/>
      <c r="C1830" s="8"/>
      <c r="D1830" s="8"/>
      <c r="E1830" s="8"/>
      <c r="F1830" s="8"/>
      <c r="G1830" s="8"/>
      <c r="H1830" s="8"/>
      <c r="I1830" s="10"/>
      <c r="J1830" s="10"/>
      <c r="K1830" s="18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</row>
    <row r="1831" ht="14.25" customHeight="1">
      <c r="A1831" s="9"/>
      <c r="B1831" s="8"/>
      <c r="C1831" s="8"/>
      <c r="D1831" s="8"/>
      <c r="E1831" s="8"/>
      <c r="F1831" s="8"/>
      <c r="G1831" s="8"/>
      <c r="H1831" s="8"/>
      <c r="I1831" s="10"/>
      <c r="J1831" s="10"/>
      <c r="K1831" s="18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</row>
    <row r="1832" ht="14.25" customHeight="1">
      <c r="A1832" s="9"/>
      <c r="B1832" s="8"/>
      <c r="C1832" s="8"/>
      <c r="D1832" s="8"/>
      <c r="E1832" s="8"/>
      <c r="F1832" s="8"/>
      <c r="G1832" s="8"/>
      <c r="H1832" s="8"/>
      <c r="I1832" s="10"/>
      <c r="J1832" s="10"/>
      <c r="K1832" s="18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</row>
    <row r="1833" ht="14.25" customHeight="1">
      <c r="A1833" s="9"/>
      <c r="B1833" s="8"/>
      <c r="C1833" s="8"/>
      <c r="D1833" s="8"/>
      <c r="E1833" s="8"/>
      <c r="F1833" s="8"/>
      <c r="G1833" s="8"/>
      <c r="H1833" s="8"/>
      <c r="I1833" s="10"/>
      <c r="J1833" s="10"/>
      <c r="K1833" s="18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</row>
    <row r="1834" ht="14.25" customHeight="1">
      <c r="A1834" s="9"/>
      <c r="B1834" s="8"/>
      <c r="C1834" s="8"/>
      <c r="D1834" s="8"/>
      <c r="E1834" s="8"/>
      <c r="F1834" s="8"/>
      <c r="G1834" s="8"/>
      <c r="H1834" s="8"/>
      <c r="I1834" s="10"/>
      <c r="J1834" s="10"/>
      <c r="K1834" s="18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</row>
    <row r="1835" ht="14.25" customHeight="1">
      <c r="A1835" s="9"/>
      <c r="B1835" s="8"/>
      <c r="C1835" s="8"/>
      <c r="D1835" s="8"/>
      <c r="E1835" s="8"/>
      <c r="F1835" s="8"/>
      <c r="G1835" s="8"/>
      <c r="H1835" s="8"/>
      <c r="I1835" s="10"/>
      <c r="J1835" s="10"/>
      <c r="K1835" s="18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</row>
    <row r="1836" ht="14.25" customHeight="1">
      <c r="A1836" s="9"/>
      <c r="B1836" s="8"/>
      <c r="C1836" s="8"/>
      <c r="D1836" s="8"/>
      <c r="E1836" s="8"/>
      <c r="F1836" s="8"/>
      <c r="G1836" s="8"/>
      <c r="H1836" s="8"/>
      <c r="I1836" s="10"/>
      <c r="J1836" s="10"/>
      <c r="K1836" s="18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</row>
    <row r="1837" ht="14.25" customHeight="1">
      <c r="A1837" s="9"/>
      <c r="B1837" s="8"/>
      <c r="C1837" s="8"/>
      <c r="D1837" s="8"/>
      <c r="E1837" s="8"/>
      <c r="F1837" s="8"/>
      <c r="G1837" s="8"/>
      <c r="H1837" s="8"/>
      <c r="I1837" s="10"/>
      <c r="J1837" s="10"/>
      <c r="K1837" s="18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</row>
    <row r="1838" ht="14.25" customHeight="1">
      <c r="A1838" s="9"/>
      <c r="B1838" s="8"/>
      <c r="C1838" s="8"/>
      <c r="D1838" s="8"/>
      <c r="E1838" s="8"/>
      <c r="F1838" s="8"/>
      <c r="G1838" s="8"/>
      <c r="H1838" s="8"/>
      <c r="I1838" s="10"/>
      <c r="J1838" s="10"/>
      <c r="K1838" s="18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</row>
    <row r="1839" ht="14.25" customHeight="1">
      <c r="A1839" s="9"/>
      <c r="B1839" s="8"/>
      <c r="C1839" s="8"/>
      <c r="D1839" s="8"/>
      <c r="E1839" s="8"/>
      <c r="F1839" s="8"/>
      <c r="G1839" s="8"/>
      <c r="H1839" s="8"/>
      <c r="I1839" s="10"/>
      <c r="J1839" s="10"/>
      <c r="K1839" s="18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</row>
    <row r="1840" ht="14.25" customHeight="1">
      <c r="A1840" s="9"/>
      <c r="B1840" s="8"/>
      <c r="C1840" s="8"/>
      <c r="D1840" s="8"/>
      <c r="E1840" s="8"/>
      <c r="F1840" s="8"/>
      <c r="G1840" s="8"/>
      <c r="H1840" s="8"/>
      <c r="I1840" s="10"/>
      <c r="J1840" s="10"/>
      <c r="K1840" s="18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</row>
    <row r="1841" ht="14.25" customHeight="1">
      <c r="A1841" s="9"/>
      <c r="B1841" s="8"/>
      <c r="C1841" s="8"/>
      <c r="D1841" s="8"/>
      <c r="E1841" s="8"/>
      <c r="F1841" s="8"/>
      <c r="G1841" s="8"/>
      <c r="H1841" s="8"/>
      <c r="I1841" s="10"/>
      <c r="J1841" s="10"/>
      <c r="K1841" s="18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</row>
    <row r="1842" ht="14.25" customHeight="1">
      <c r="A1842" s="9"/>
      <c r="B1842" s="8"/>
      <c r="C1842" s="8"/>
      <c r="D1842" s="8"/>
      <c r="E1842" s="8"/>
      <c r="F1842" s="8"/>
      <c r="G1842" s="8"/>
      <c r="H1842" s="8"/>
      <c r="I1842" s="10"/>
      <c r="J1842" s="10"/>
      <c r="K1842" s="18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</row>
    <row r="1843" ht="14.25" customHeight="1">
      <c r="A1843" s="9"/>
      <c r="B1843" s="8"/>
      <c r="C1843" s="8"/>
      <c r="D1843" s="8"/>
      <c r="E1843" s="8"/>
      <c r="F1843" s="8"/>
      <c r="G1843" s="8"/>
      <c r="H1843" s="8"/>
      <c r="I1843" s="10"/>
      <c r="J1843" s="10"/>
      <c r="K1843" s="18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</row>
    <row r="1844" ht="14.25" customHeight="1">
      <c r="A1844" s="9"/>
      <c r="B1844" s="8"/>
      <c r="C1844" s="8"/>
      <c r="D1844" s="8"/>
      <c r="E1844" s="8"/>
      <c r="F1844" s="8"/>
      <c r="G1844" s="8"/>
      <c r="H1844" s="8"/>
      <c r="I1844" s="10"/>
      <c r="J1844" s="10"/>
      <c r="K1844" s="18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</row>
    <row r="1845" ht="14.25" customHeight="1">
      <c r="A1845" s="9"/>
      <c r="B1845" s="8"/>
      <c r="C1845" s="8"/>
      <c r="D1845" s="8"/>
      <c r="E1845" s="8"/>
      <c r="F1845" s="8"/>
      <c r="G1845" s="8"/>
      <c r="H1845" s="8"/>
      <c r="I1845" s="10"/>
      <c r="J1845" s="10"/>
      <c r="K1845" s="18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</row>
    <row r="1846" ht="14.25" customHeight="1">
      <c r="A1846" s="9"/>
      <c r="B1846" s="8"/>
      <c r="C1846" s="8"/>
      <c r="D1846" s="8"/>
      <c r="E1846" s="8"/>
      <c r="F1846" s="8"/>
      <c r="G1846" s="8"/>
      <c r="H1846" s="8"/>
      <c r="I1846" s="10"/>
      <c r="J1846" s="10"/>
      <c r="K1846" s="18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</row>
    <row r="1847" ht="14.25" customHeight="1">
      <c r="A1847" s="9"/>
      <c r="B1847" s="8"/>
      <c r="C1847" s="8"/>
      <c r="D1847" s="8"/>
      <c r="E1847" s="8"/>
      <c r="F1847" s="8"/>
      <c r="G1847" s="8"/>
      <c r="H1847" s="8"/>
      <c r="I1847" s="10"/>
      <c r="J1847" s="10"/>
      <c r="K1847" s="18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</row>
    <row r="1848" ht="14.25" customHeight="1">
      <c r="A1848" s="9"/>
      <c r="B1848" s="8"/>
      <c r="C1848" s="8"/>
      <c r="D1848" s="8"/>
      <c r="E1848" s="8"/>
      <c r="F1848" s="8"/>
      <c r="G1848" s="8"/>
      <c r="H1848" s="8"/>
      <c r="I1848" s="10"/>
      <c r="J1848" s="10"/>
      <c r="K1848" s="18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</row>
    <row r="1849" ht="14.25" customHeight="1">
      <c r="A1849" s="9"/>
      <c r="B1849" s="8"/>
      <c r="C1849" s="8"/>
      <c r="D1849" s="8"/>
      <c r="E1849" s="8"/>
      <c r="F1849" s="8"/>
      <c r="G1849" s="8"/>
      <c r="H1849" s="8"/>
      <c r="I1849" s="10"/>
      <c r="J1849" s="10"/>
      <c r="K1849" s="18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</row>
    <row r="1850" ht="14.25" customHeight="1">
      <c r="A1850" s="9"/>
      <c r="B1850" s="8"/>
      <c r="C1850" s="8"/>
      <c r="D1850" s="8"/>
      <c r="E1850" s="8"/>
      <c r="F1850" s="8"/>
      <c r="G1850" s="8"/>
      <c r="H1850" s="8"/>
      <c r="I1850" s="10"/>
      <c r="J1850" s="10"/>
      <c r="K1850" s="18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</row>
    <row r="1851" ht="14.25" customHeight="1">
      <c r="A1851" s="9"/>
      <c r="B1851" s="8"/>
      <c r="C1851" s="8"/>
      <c r="D1851" s="8"/>
      <c r="E1851" s="8"/>
      <c r="F1851" s="8"/>
      <c r="G1851" s="8"/>
      <c r="H1851" s="8"/>
      <c r="I1851" s="10"/>
      <c r="J1851" s="10"/>
      <c r="K1851" s="18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</row>
    <row r="1852" ht="14.25" customHeight="1">
      <c r="A1852" s="9"/>
      <c r="B1852" s="8"/>
      <c r="C1852" s="8"/>
      <c r="D1852" s="8"/>
      <c r="E1852" s="8"/>
      <c r="F1852" s="8"/>
      <c r="G1852" s="8"/>
      <c r="H1852" s="8"/>
      <c r="I1852" s="10"/>
      <c r="J1852" s="10"/>
      <c r="K1852" s="18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</row>
    <row r="1853" ht="14.25" customHeight="1">
      <c r="A1853" s="9"/>
      <c r="B1853" s="8"/>
      <c r="C1853" s="8"/>
      <c r="D1853" s="8"/>
      <c r="E1853" s="8"/>
      <c r="F1853" s="8"/>
      <c r="G1853" s="8"/>
      <c r="H1853" s="8"/>
      <c r="I1853" s="10"/>
      <c r="J1853" s="10"/>
      <c r="K1853" s="18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</row>
    <row r="1854" ht="14.25" customHeight="1">
      <c r="A1854" s="9"/>
      <c r="B1854" s="8"/>
      <c r="C1854" s="8"/>
      <c r="D1854" s="8"/>
      <c r="E1854" s="8"/>
      <c r="F1854" s="8"/>
      <c r="G1854" s="8"/>
      <c r="H1854" s="8"/>
      <c r="I1854" s="10"/>
      <c r="J1854" s="10"/>
      <c r="K1854" s="18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</row>
    <row r="1855" ht="14.25" customHeight="1">
      <c r="A1855" s="9"/>
      <c r="B1855" s="8"/>
      <c r="C1855" s="8"/>
      <c r="D1855" s="8"/>
      <c r="E1855" s="8"/>
      <c r="F1855" s="8"/>
      <c r="G1855" s="8"/>
      <c r="H1855" s="8"/>
      <c r="I1855" s="10"/>
      <c r="J1855" s="10"/>
      <c r="K1855" s="18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</row>
    <row r="1856" ht="14.25" customHeight="1">
      <c r="A1856" s="9"/>
      <c r="B1856" s="8"/>
      <c r="C1856" s="8"/>
      <c r="D1856" s="8"/>
      <c r="E1856" s="8"/>
      <c r="F1856" s="8"/>
      <c r="G1856" s="8"/>
      <c r="H1856" s="8"/>
      <c r="I1856" s="10"/>
      <c r="J1856" s="10"/>
      <c r="K1856" s="18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</row>
    <row r="1857" ht="14.25" customHeight="1">
      <c r="A1857" s="9"/>
      <c r="B1857" s="8"/>
      <c r="C1857" s="8"/>
      <c r="D1857" s="8"/>
      <c r="E1857" s="8"/>
      <c r="F1857" s="8"/>
      <c r="G1857" s="8"/>
      <c r="H1857" s="8"/>
      <c r="I1857" s="10"/>
      <c r="J1857" s="10"/>
      <c r="K1857" s="18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</row>
    <row r="1858" ht="14.25" customHeight="1">
      <c r="A1858" s="9"/>
      <c r="B1858" s="8"/>
      <c r="C1858" s="8"/>
      <c r="D1858" s="8"/>
      <c r="E1858" s="8"/>
      <c r="F1858" s="8"/>
      <c r="G1858" s="8"/>
      <c r="H1858" s="8"/>
      <c r="I1858" s="10"/>
      <c r="J1858" s="10"/>
      <c r="K1858" s="18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</row>
    <row r="1859" ht="14.25" customHeight="1">
      <c r="A1859" s="9"/>
      <c r="B1859" s="8"/>
      <c r="C1859" s="8"/>
      <c r="D1859" s="8"/>
      <c r="E1859" s="8"/>
      <c r="F1859" s="8"/>
      <c r="G1859" s="8"/>
      <c r="H1859" s="8"/>
      <c r="I1859" s="10"/>
      <c r="J1859" s="10"/>
      <c r="K1859" s="18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</row>
    <row r="1860" ht="14.25" customHeight="1">
      <c r="A1860" s="9"/>
      <c r="B1860" s="8"/>
      <c r="C1860" s="8"/>
      <c r="D1860" s="8"/>
      <c r="E1860" s="8"/>
      <c r="F1860" s="8"/>
      <c r="G1860" s="8"/>
      <c r="H1860" s="8"/>
      <c r="I1860" s="10"/>
      <c r="J1860" s="10"/>
      <c r="K1860" s="18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</row>
    <row r="1861" ht="14.25" customHeight="1">
      <c r="A1861" s="9"/>
      <c r="B1861" s="8"/>
      <c r="C1861" s="8"/>
      <c r="D1861" s="8"/>
      <c r="E1861" s="8"/>
      <c r="F1861" s="8"/>
      <c r="G1861" s="8"/>
      <c r="H1861" s="8"/>
      <c r="I1861" s="10"/>
      <c r="J1861" s="10"/>
      <c r="K1861" s="18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</row>
    <row r="1862" ht="14.25" customHeight="1">
      <c r="A1862" s="9"/>
      <c r="B1862" s="8"/>
      <c r="C1862" s="8"/>
      <c r="D1862" s="8"/>
      <c r="E1862" s="8"/>
      <c r="F1862" s="8"/>
      <c r="G1862" s="8"/>
      <c r="H1862" s="8"/>
      <c r="I1862" s="10"/>
      <c r="J1862" s="10"/>
      <c r="K1862" s="18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</row>
    <row r="1863" ht="14.25" customHeight="1">
      <c r="A1863" s="9"/>
      <c r="B1863" s="8"/>
      <c r="C1863" s="8"/>
      <c r="D1863" s="8"/>
      <c r="E1863" s="8"/>
      <c r="F1863" s="8"/>
      <c r="G1863" s="8"/>
      <c r="H1863" s="8"/>
      <c r="I1863" s="10"/>
      <c r="J1863" s="10"/>
      <c r="K1863" s="18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</row>
    <row r="1864" ht="14.25" customHeight="1">
      <c r="A1864" s="9"/>
      <c r="B1864" s="8"/>
      <c r="C1864" s="8"/>
      <c r="D1864" s="8"/>
      <c r="E1864" s="8"/>
      <c r="F1864" s="8"/>
      <c r="G1864" s="8"/>
      <c r="H1864" s="8"/>
      <c r="I1864" s="10"/>
      <c r="J1864" s="10"/>
      <c r="K1864" s="18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</row>
    <row r="1865" ht="14.25" customHeight="1">
      <c r="A1865" s="9"/>
      <c r="B1865" s="8"/>
      <c r="C1865" s="8"/>
      <c r="D1865" s="8"/>
      <c r="E1865" s="8"/>
      <c r="F1865" s="8"/>
      <c r="G1865" s="8"/>
      <c r="H1865" s="8"/>
      <c r="I1865" s="10"/>
      <c r="J1865" s="10"/>
      <c r="K1865" s="18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</row>
    <row r="1866" ht="14.25" customHeight="1">
      <c r="A1866" s="9"/>
      <c r="B1866" s="8"/>
      <c r="C1866" s="8"/>
      <c r="D1866" s="8"/>
      <c r="E1866" s="8"/>
      <c r="F1866" s="8"/>
      <c r="G1866" s="8"/>
      <c r="H1866" s="8"/>
      <c r="I1866" s="10"/>
      <c r="J1866" s="10"/>
      <c r="K1866" s="18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</row>
    <row r="1867" ht="14.25" customHeight="1">
      <c r="A1867" s="9"/>
      <c r="B1867" s="8"/>
      <c r="C1867" s="8"/>
      <c r="D1867" s="8"/>
      <c r="E1867" s="8"/>
      <c r="F1867" s="8"/>
      <c r="G1867" s="8"/>
      <c r="H1867" s="8"/>
      <c r="I1867" s="10"/>
      <c r="J1867" s="10"/>
      <c r="K1867" s="18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</row>
    <row r="1868" ht="14.25" customHeight="1">
      <c r="A1868" s="9"/>
      <c r="B1868" s="8"/>
      <c r="C1868" s="8"/>
      <c r="D1868" s="8"/>
      <c r="E1868" s="8"/>
      <c r="F1868" s="8"/>
      <c r="G1868" s="8"/>
      <c r="H1868" s="8"/>
      <c r="I1868" s="10"/>
      <c r="J1868" s="10"/>
      <c r="K1868" s="18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</row>
    <row r="1869" ht="14.25" customHeight="1">
      <c r="A1869" s="9"/>
      <c r="B1869" s="8"/>
      <c r="C1869" s="8"/>
      <c r="D1869" s="8"/>
      <c r="E1869" s="8"/>
      <c r="F1869" s="8"/>
      <c r="G1869" s="8"/>
      <c r="H1869" s="8"/>
      <c r="I1869" s="10"/>
      <c r="J1869" s="10"/>
      <c r="K1869" s="18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</row>
    <row r="1870" ht="14.25" customHeight="1">
      <c r="A1870" s="9"/>
      <c r="B1870" s="8"/>
      <c r="C1870" s="8"/>
      <c r="D1870" s="8"/>
      <c r="E1870" s="8"/>
      <c r="F1870" s="8"/>
      <c r="G1870" s="8"/>
      <c r="H1870" s="8"/>
      <c r="I1870" s="10"/>
      <c r="J1870" s="10"/>
      <c r="K1870" s="18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</row>
    <row r="1871" ht="14.25" customHeight="1">
      <c r="A1871" s="9"/>
      <c r="B1871" s="8"/>
      <c r="C1871" s="8"/>
      <c r="D1871" s="8"/>
      <c r="E1871" s="8"/>
      <c r="F1871" s="8"/>
      <c r="G1871" s="8"/>
      <c r="H1871" s="8"/>
      <c r="I1871" s="10"/>
      <c r="J1871" s="10"/>
      <c r="K1871" s="18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</row>
    <row r="1872" ht="14.25" customHeight="1">
      <c r="A1872" s="9"/>
      <c r="B1872" s="8"/>
      <c r="C1872" s="8"/>
      <c r="D1872" s="8"/>
      <c r="E1872" s="8"/>
      <c r="F1872" s="8"/>
      <c r="G1872" s="8"/>
      <c r="H1872" s="8"/>
      <c r="I1872" s="10"/>
      <c r="J1872" s="10"/>
      <c r="K1872" s="18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</row>
    <row r="1873" ht="14.25" customHeight="1">
      <c r="A1873" s="9"/>
      <c r="B1873" s="8"/>
      <c r="C1873" s="8"/>
      <c r="D1873" s="8"/>
      <c r="E1873" s="8"/>
      <c r="F1873" s="8"/>
      <c r="G1873" s="8"/>
      <c r="H1873" s="8"/>
      <c r="I1873" s="10"/>
      <c r="J1873" s="10"/>
      <c r="K1873" s="18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</row>
    <row r="1874" ht="14.25" customHeight="1">
      <c r="A1874" s="9"/>
      <c r="B1874" s="8"/>
      <c r="C1874" s="8"/>
      <c r="D1874" s="8"/>
      <c r="E1874" s="8"/>
      <c r="F1874" s="8"/>
      <c r="G1874" s="8"/>
      <c r="H1874" s="8"/>
      <c r="I1874" s="10"/>
      <c r="J1874" s="10"/>
      <c r="K1874" s="18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</row>
    <row r="1875" ht="14.25" customHeight="1">
      <c r="A1875" s="9"/>
      <c r="B1875" s="8"/>
      <c r="C1875" s="8"/>
      <c r="D1875" s="8"/>
      <c r="E1875" s="8"/>
      <c r="F1875" s="8"/>
      <c r="G1875" s="8"/>
      <c r="H1875" s="8"/>
      <c r="I1875" s="10"/>
      <c r="J1875" s="10"/>
      <c r="K1875" s="18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</row>
    <row r="1876" ht="14.25" customHeight="1">
      <c r="A1876" s="9"/>
      <c r="B1876" s="8"/>
      <c r="C1876" s="8"/>
      <c r="D1876" s="8"/>
      <c r="E1876" s="8"/>
      <c r="F1876" s="8"/>
      <c r="G1876" s="8"/>
      <c r="H1876" s="8"/>
      <c r="I1876" s="10"/>
      <c r="J1876" s="10"/>
      <c r="K1876" s="18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</row>
    <row r="1877" ht="14.25" customHeight="1">
      <c r="A1877" s="9"/>
      <c r="B1877" s="8"/>
      <c r="C1877" s="8"/>
      <c r="D1877" s="8"/>
      <c r="E1877" s="8"/>
      <c r="F1877" s="8"/>
      <c r="G1877" s="8"/>
      <c r="H1877" s="8"/>
      <c r="I1877" s="10"/>
      <c r="J1877" s="10"/>
      <c r="K1877" s="18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</row>
    <row r="1878" ht="14.25" customHeight="1">
      <c r="A1878" s="9"/>
      <c r="B1878" s="8"/>
      <c r="C1878" s="8"/>
      <c r="D1878" s="8"/>
      <c r="E1878" s="8"/>
      <c r="F1878" s="8"/>
      <c r="G1878" s="8"/>
      <c r="H1878" s="8"/>
      <c r="I1878" s="10"/>
      <c r="J1878" s="10"/>
      <c r="K1878" s="18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</row>
    <row r="1879" ht="14.25" customHeight="1">
      <c r="A1879" s="9"/>
      <c r="B1879" s="8"/>
      <c r="C1879" s="8"/>
      <c r="D1879" s="8"/>
      <c r="E1879" s="8"/>
      <c r="F1879" s="8"/>
      <c r="G1879" s="8"/>
      <c r="H1879" s="8"/>
      <c r="I1879" s="10"/>
      <c r="J1879" s="10"/>
      <c r="K1879" s="18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</row>
    <row r="1880" ht="14.25" customHeight="1">
      <c r="A1880" s="9"/>
      <c r="B1880" s="8"/>
      <c r="C1880" s="8"/>
      <c r="D1880" s="8"/>
      <c r="E1880" s="8"/>
      <c r="F1880" s="8"/>
      <c r="G1880" s="8"/>
      <c r="H1880" s="8"/>
      <c r="I1880" s="10"/>
      <c r="J1880" s="10"/>
      <c r="K1880" s="18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</row>
    <row r="1881" ht="14.25" customHeight="1">
      <c r="A1881" s="9"/>
      <c r="B1881" s="8"/>
      <c r="C1881" s="8"/>
      <c r="D1881" s="8"/>
      <c r="E1881" s="8"/>
      <c r="F1881" s="8"/>
      <c r="G1881" s="8"/>
      <c r="H1881" s="8"/>
      <c r="I1881" s="10"/>
      <c r="J1881" s="10"/>
      <c r="K1881" s="18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</row>
    <row r="1882" ht="14.25" customHeight="1">
      <c r="A1882" s="9"/>
      <c r="B1882" s="8"/>
      <c r="C1882" s="8"/>
      <c r="D1882" s="8"/>
      <c r="E1882" s="8"/>
      <c r="F1882" s="8"/>
      <c r="G1882" s="8"/>
      <c r="H1882" s="8"/>
      <c r="I1882" s="10"/>
      <c r="J1882" s="10"/>
      <c r="K1882" s="18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</row>
    <row r="1883" ht="14.25" customHeight="1">
      <c r="A1883" s="9"/>
      <c r="B1883" s="8"/>
      <c r="C1883" s="8"/>
      <c r="D1883" s="8"/>
      <c r="E1883" s="8"/>
      <c r="F1883" s="8"/>
      <c r="G1883" s="8"/>
      <c r="H1883" s="8"/>
      <c r="I1883" s="10"/>
      <c r="J1883" s="10"/>
      <c r="K1883" s="18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</row>
    <row r="1884" ht="14.25" customHeight="1">
      <c r="A1884" s="9"/>
      <c r="B1884" s="8"/>
      <c r="C1884" s="8"/>
      <c r="D1884" s="8"/>
      <c r="E1884" s="8"/>
      <c r="F1884" s="8"/>
      <c r="G1884" s="8"/>
      <c r="H1884" s="8"/>
      <c r="I1884" s="10"/>
      <c r="J1884" s="10"/>
      <c r="K1884" s="18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</row>
    <row r="1885" ht="14.25" customHeight="1">
      <c r="A1885" s="9"/>
      <c r="B1885" s="8"/>
      <c r="C1885" s="8"/>
      <c r="D1885" s="8"/>
      <c r="E1885" s="8"/>
      <c r="F1885" s="8"/>
      <c r="G1885" s="8"/>
      <c r="H1885" s="8"/>
      <c r="I1885" s="10"/>
      <c r="J1885" s="10"/>
      <c r="K1885" s="18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</row>
    <row r="1886" ht="14.25" customHeight="1">
      <c r="A1886" s="9"/>
      <c r="B1886" s="8"/>
      <c r="C1886" s="8"/>
      <c r="D1886" s="8"/>
      <c r="E1886" s="8"/>
      <c r="F1886" s="8"/>
      <c r="G1886" s="8"/>
      <c r="H1886" s="8"/>
      <c r="I1886" s="10"/>
      <c r="J1886" s="10"/>
      <c r="K1886" s="18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</row>
    <row r="1887" ht="14.25" customHeight="1">
      <c r="A1887" s="9"/>
      <c r="B1887" s="8"/>
      <c r="C1887" s="8"/>
      <c r="D1887" s="8"/>
      <c r="E1887" s="8"/>
      <c r="F1887" s="8"/>
      <c r="G1887" s="8"/>
      <c r="H1887" s="8"/>
      <c r="I1887" s="10"/>
      <c r="J1887" s="10"/>
      <c r="K1887" s="18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</row>
    <row r="1888" ht="14.25" customHeight="1">
      <c r="A1888" s="9"/>
      <c r="B1888" s="8"/>
      <c r="C1888" s="8"/>
      <c r="D1888" s="8"/>
      <c r="E1888" s="8"/>
      <c r="F1888" s="8"/>
      <c r="G1888" s="8"/>
      <c r="H1888" s="8"/>
      <c r="I1888" s="10"/>
      <c r="J1888" s="10"/>
      <c r="K1888" s="18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</row>
    <row r="1889" ht="14.25" customHeight="1">
      <c r="A1889" s="9"/>
      <c r="B1889" s="8"/>
      <c r="C1889" s="8"/>
      <c r="D1889" s="8"/>
      <c r="E1889" s="8"/>
      <c r="F1889" s="8"/>
      <c r="G1889" s="8"/>
      <c r="H1889" s="8"/>
      <c r="I1889" s="10"/>
      <c r="J1889" s="10"/>
      <c r="K1889" s="18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</row>
    <row r="1890" ht="14.25" customHeight="1">
      <c r="A1890" s="9"/>
      <c r="B1890" s="8"/>
      <c r="C1890" s="8"/>
      <c r="D1890" s="8"/>
      <c r="E1890" s="8"/>
      <c r="F1890" s="8"/>
      <c r="G1890" s="8"/>
      <c r="H1890" s="8"/>
      <c r="I1890" s="10"/>
      <c r="J1890" s="10"/>
      <c r="K1890" s="18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</row>
    <row r="1891" ht="14.25" customHeight="1">
      <c r="A1891" s="9"/>
      <c r="B1891" s="8"/>
      <c r="C1891" s="8"/>
      <c r="D1891" s="8"/>
      <c r="E1891" s="8"/>
      <c r="F1891" s="8"/>
      <c r="G1891" s="8"/>
      <c r="H1891" s="8"/>
      <c r="I1891" s="10"/>
      <c r="J1891" s="10"/>
      <c r="K1891" s="18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</row>
    <row r="1892" ht="14.25" customHeight="1">
      <c r="A1892" s="9"/>
      <c r="B1892" s="8"/>
      <c r="C1892" s="8"/>
      <c r="D1892" s="8"/>
      <c r="E1892" s="8"/>
      <c r="F1892" s="8"/>
      <c r="G1892" s="8"/>
      <c r="H1892" s="8"/>
      <c r="I1892" s="10"/>
      <c r="J1892" s="10"/>
      <c r="K1892" s="18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</row>
    <row r="1893" ht="14.25" customHeight="1">
      <c r="A1893" s="9"/>
      <c r="B1893" s="8"/>
      <c r="C1893" s="8"/>
      <c r="D1893" s="8"/>
      <c r="E1893" s="8"/>
      <c r="F1893" s="8"/>
      <c r="G1893" s="8"/>
      <c r="H1893" s="8"/>
      <c r="I1893" s="10"/>
      <c r="J1893" s="10"/>
      <c r="K1893" s="18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</row>
    <row r="1894" ht="14.25" customHeight="1">
      <c r="A1894" s="9"/>
      <c r="B1894" s="8"/>
      <c r="C1894" s="8"/>
      <c r="D1894" s="8"/>
      <c r="E1894" s="8"/>
      <c r="F1894" s="8"/>
      <c r="G1894" s="8"/>
      <c r="H1894" s="8"/>
      <c r="I1894" s="10"/>
      <c r="J1894" s="10"/>
      <c r="K1894" s="18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</row>
    <row r="1895" ht="14.25" customHeight="1">
      <c r="A1895" s="9"/>
      <c r="B1895" s="8"/>
      <c r="C1895" s="8"/>
      <c r="D1895" s="8"/>
      <c r="E1895" s="8"/>
      <c r="F1895" s="8"/>
      <c r="G1895" s="8"/>
      <c r="H1895" s="8"/>
      <c r="I1895" s="10"/>
      <c r="J1895" s="10"/>
      <c r="K1895" s="18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</row>
    <row r="1896" ht="14.25" customHeight="1">
      <c r="A1896" s="9"/>
      <c r="B1896" s="8"/>
      <c r="C1896" s="8"/>
      <c r="D1896" s="8"/>
      <c r="E1896" s="8"/>
      <c r="F1896" s="8"/>
      <c r="G1896" s="8"/>
      <c r="H1896" s="8"/>
      <c r="I1896" s="10"/>
      <c r="J1896" s="10"/>
      <c r="K1896" s="18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</row>
    <row r="1897" ht="14.25" customHeight="1">
      <c r="A1897" s="9"/>
      <c r="B1897" s="8"/>
      <c r="C1897" s="8"/>
      <c r="D1897" s="8"/>
      <c r="E1897" s="8"/>
      <c r="F1897" s="8"/>
      <c r="G1897" s="8"/>
      <c r="H1897" s="8"/>
      <c r="I1897" s="10"/>
      <c r="J1897" s="10"/>
      <c r="K1897" s="18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</row>
    <row r="1898" ht="14.25" customHeight="1">
      <c r="A1898" s="9"/>
      <c r="B1898" s="8"/>
      <c r="C1898" s="8"/>
      <c r="D1898" s="8"/>
      <c r="E1898" s="8"/>
      <c r="F1898" s="8"/>
      <c r="G1898" s="8"/>
      <c r="H1898" s="8"/>
      <c r="I1898" s="10"/>
      <c r="J1898" s="10"/>
      <c r="K1898" s="18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</row>
    <row r="1899" ht="14.25" customHeight="1">
      <c r="A1899" s="9"/>
      <c r="B1899" s="8"/>
      <c r="C1899" s="8"/>
      <c r="D1899" s="8"/>
      <c r="E1899" s="8"/>
      <c r="F1899" s="8"/>
      <c r="G1899" s="8"/>
      <c r="H1899" s="8"/>
      <c r="I1899" s="10"/>
      <c r="J1899" s="10"/>
      <c r="K1899" s="18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</row>
    <row r="1900" ht="14.25" customHeight="1">
      <c r="A1900" s="9"/>
      <c r="B1900" s="8"/>
      <c r="C1900" s="8"/>
      <c r="D1900" s="8"/>
      <c r="E1900" s="8"/>
      <c r="F1900" s="8"/>
      <c r="G1900" s="8"/>
      <c r="H1900" s="8"/>
      <c r="I1900" s="10"/>
      <c r="J1900" s="10"/>
      <c r="K1900" s="18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</row>
    <row r="1901" ht="14.25" customHeight="1">
      <c r="A1901" s="9"/>
      <c r="B1901" s="8"/>
      <c r="C1901" s="8"/>
      <c r="D1901" s="8"/>
      <c r="E1901" s="8"/>
      <c r="F1901" s="8"/>
      <c r="G1901" s="8"/>
      <c r="H1901" s="8"/>
      <c r="I1901" s="10"/>
      <c r="J1901" s="10"/>
      <c r="K1901" s="18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</row>
    <row r="1902" ht="14.25" customHeight="1">
      <c r="A1902" s="9"/>
      <c r="B1902" s="8"/>
      <c r="C1902" s="8"/>
      <c r="D1902" s="8"/>
      <c r="E1902" s="8"/>
      <c r="F1902" s="8"/>
      <c r="G1902" s="8"/>
      <c r="H1902" s="8"/>
      <c r="I1902" s="10"/>
      <c r="J1902" s="10"/>
      <c r="K1902" s="18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</row>
    <row r="1903" ht="14.25" customHeight="1">
      <c r="A1903" s="9"/>
      <c r="B1903" s="8"/>
      <c r="C1903" s="8"/>
      <c r="D1903" s="8"/>
      <c r="E1903" s="8"/>
      <c r="F1903" s="8"/>
      <c r="G1903" s="8"/>
      <c r="H1903" s="8"/>
      <c r="I1903" s="10"/>
      <c r="J1903" s="10"/>
      <c r="K1903" s="18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</row>
    <row r="1904" ht="14.25" customHeight="1">
      <c r="A1904" s="9"/>
      <c r="B1904" s="8"/>
      <c r="C1904" s="8"/>
      <c r="D1904" s="8"/>
      <c r="E1904" s="8"/>
      <c r="F1904" s="8"/>
      <c r="G1904" s="8"/>
      <c r="H1904" s="8"/>
      <c r="I1904" s="10"/>
      <c r="J1904" s="10"/>
      <c r="K1904" s="18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</row>
    <row r="1905" ht="14.25" customHeight="1">
      <c r="A1905" s="9"/>
      <c r="B1905" s="8"/>
      <c r="C1905" s="8"/>
      <c r="D1905" s="8"/>
      <c r="E1905" s="8"/>
      <c r="F1905" s="8"/>
      <c r="G1905" s="8"/>
      <c r="H1905" s="8"/>
      <c r="I1905" s="10"/>
      <c r="J1905" s="10"/>
      <c r="K1905" s="18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</row>
    <row r="1906" ht="14.25" customHeight="1">
      <c r="A1906" s="9"/>
      <c r="B1906" s="8"/>
      <c r="C1906" s="8"/>
      <c r="D1906" s="8"/>
      <c r="E1906" s="8"/>
      <c r="F1906" s="8"/>
      <c r="G1906" s="8"/>
      <c r="H1906" s="8"/>
      <c r="I1906" s="10"/>
      <c r="J1906" s="10"/>
      <c r="K1906" s="18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</row>
    <row r="1907" ht="14.25" customHeight="1">
      <c r="A1907" s="9"/>
      <c r="B1907" s="8"/>
      <c r="C1907" s="8"/>
      <c r="D1907" s="8"/>
      <c r="E1907" s="8"/>
      <c r="F1907" s="8"/>
      <c r="G1907" s="8"/>
      <c r="H1907" s="8"/>
      <c r="I1907" s="10"/>
      <c r="J1907" s="10"/>
      <c r="K1907" s="18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</row>
    <row r="1908" ht="14.25" customHeight="1">
      <c r="A1908" s="9"/>
      <c r="B1908" s="8"/>
      <c r="C1908" s="8"/>
      <c r="D1908" s="8"/>
      <c r="E1908" s="8"/>
      <c r="F1908" s="8"/>
      <c r="G1908" s="8"/>
      <c r="H1908" s="8"/>
      <c r="I1908" s="10"/>
      <c r="J1908" s="10"/>
      <c r="K1908" s="18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</row>
    <row r="1909" ht="14.25" customHeight="1">
      <c r="A1909" s="9"/>
      <c r="B1909" s="8"/>
      <c r="C1909" s="8"/>
      <c r="D1909" s="8"/>
      <c r="E1909" s="8"/>
      <c r="F1909" s="8"/>
      <c r="G1909" s="8"/>
      <c r="H1909" s="8"/>
      <c r="I1909" s="10"/>
      <c r="J1909" s="10"/>
      <c r="K1909" s="18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</row>
    <row r="1910" ht="14.25" customHeight="1">
      <c r="A1910" s="9"/>
      <c r="B1910" s="8"/>
      <c r="C1910" s="8"/>
      <c r="D1910" s="8"/>
      <c r="E1910" s="8"/>
      <c r="F1910" s="8"/>
      <c r="G1910" s="8"/>
      <c r="H1910" s="8"/>
      <c r="I1910" s="10"/>
      <c r="J1910" s="10"/>
      <c r="K1910" s="18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</row>
    <row r="1911" ht="14.25" customHeight="1">
      <c r="A1911" s="9"/>
      <c r="B1911" s="8"/>
      <c r="C1911" s="8"/>
      <c r="D1911" s="8"/>
      <c r="E1911" s="8"/>
      <c r="F1911" s="8"/>
      <c r="G1911" s="8"/>
      <c r="H1911" s="8"/>
      <c r="I1911" s="10"/>
      <c r="J1911" s="10"/>
      <c r="K1911" s="18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</row>
    <row r="1912" ht="14.25" customHeight="1">
      <c r="A1912" s="9"/>
      <c r="B1912" s="8"/>
      <c r="C1912" s="8"/>
      <c r="D1912" s="8"/>
      <c r="E1912" s="8"/>
      <c r="F1912" s="8"/>
      <c r="G1912" s="8"/>
      <c r="H1912" s="8"/>
      <c r="I1912" s="10"/>
      <c r="J1912" s="10"/>
      <c r="K1912" s="18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</row>
    <row r="1913" ht="14.25" customHeight="1">
      <c r="A1913" s="9"/>
      <c r="B1913" s="8"/>
      <c r="C1913" s="8"/>
      <c r="D1913" s="8"/>
      <c r="E1913" s="8"/>
      <c r="F1913" s="8"/>
      <c r="G1913" s="8"/>
      <c r="H1913" s="8"/>
      <c r="I1913" s="10"/>
      <c r="J1913" s="10"/>
      <c r="K1913" s="18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</row>
    <row r="1914" ht="14.25" customHeight="1">
      <c r="A1914" s="9"/>
      <c r="B1914" s="8"/>
      <c r="C1914" s="8"/>
      <c r="D1914" s="8"/>
      <c r="E1914" s="8"/>
      <c r="F1914" s="8"/>
      <c r="G1914" s="8"/>
      <c r="H1914" s="8"/>
      <c r="I1914" s="10"/>
      <c r="J1914" s="10"/>
      <c r="K1914" s="18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</row>
    <row r="1915" ht="14.25" customHeight="1">
      <c r="A1915" s="9"/>
      <c r="B1915" s="8"/>
      <c r="C1915" s="8"/>
      <c r="D1915" s="8"/>
      <c r="E1915" s="8"/>
      <c r="F1915" s="8"/>
      <c r="G1915" s="8"/>
      <c r="H1915" s="8"/>
      <c r="I1915" s="10"/>
      <c r="J1915" s="10"/>
      <c r="K1915" s="18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</row>
    <row r="1916" ht="14.25" customHeight="1">
      <c r="A1916" s="9"/>
      <c r="B1916" s="8"/>
      <c r="C1916" s="8"/>
      <c r="D1916" s="8"/>
      <c r="E1916" s="8"/>
      <c r="F1916" s="8"/>
      <c r="G1916" s="8"/>
      <c r="H1916" s="8"/>
      <c r="I1916" s="10"/>
      <c r="J1916" s="10"/>
      <c r="K1916" s="18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</row>
    <row r="1917" ht="14.25" customHeight="1">
      <c r="A1917" s="9"/>
      <c r="B1917" s="8"/>
      <c r="C1917" s="8"/>
      <c r="D1917" s="8"/>
      <c r="E1917" s="8"/>
      <c r="F1917" s="8"/>
      <c r="G1917" s="8"/>
      <c r="H1917" s="8"/>
      <c r="I1917" s="10"/>
      <c r="J1917" s="10"/>
      <c r="K1917" s="18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</row>
    <row r="1918" ht="14.25" customHeight="1">
      <c r="A1918" s="9"/>
      <c r="B1918" s="8"/>
      <c r="C1918" s="8"/>
      <c r="D1918" s="8"/>
      <c r="E1918" s="8"/>
      <c r="F1918" s="8"/>
      <c r="G1918" s="8"/>
      <c r="H1918" s="8"/>
      <c r="I1918" s="10"/>
      <c r="J1918" s="10"/>
      <c r="K1918" s="18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</row>
    <row r="1919" ht="14.25" customHeight="1">
      <c r="A1919" s="9"/>
      <c r="B1919" s="8"/>
      <c r="C1919" s="8"/>
      <c r="D1919" s="8"/>
      <c r="E1919" s="8"/>
      <c r="F1919" s="8"/>
      <c r="G1919" s="8"/>
      <c r="H1919" s="8"/>
      <c r="I1919" s="10"/>
      <c r="J1919" s="10"/>
      <c r="K1919" s="18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</row>
    <row r="1920" ht="14.25" customHeight="1">
      <c r="A1920" s="9"/>
      <c r="B1920" s="8"/>
      <c r="C1920" s="8"/>
      <c r="D1920" s="8"/>
      <c r="E1920" s="8"/>
      <c r="F1920" s="8"/>
      <c r="G1920" s="8"/>
      <c r="H1920" s="8"/>
      <c r="I1920" s="10"/>
      <c r="J1920" s="10"/>
      <c r="K1920" s="18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</row>
    <row r="1921" ht="14.25" customHeight="1">
      <c r="A1921" s="9"/>
      <c r="B1921" s="8"/>
      <c r="C1921" s="8"/>
      <c r="D1921" s="8"/>
      <c r="E1921" s="8"/>
      <c r="F1921" s="8"/>
      <c r="G1921" s="8"/>
      <c r="H1921" s="8"/>
      <c r="I1921" s="10"/>
      <c r="J1921" s="10"/>
      <c r="K1921" s="18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</row>
    <row r="1922" ht="14.25" customHeight="1">
      <c r="A1922" s="9"/>
      <c r="B1922" s="8"/>
      <c r="C1922" s="8"/>
      <c r="D1922" s="8"/>
      <c r="E1922" s="8"/>
      <c r="F1922" s="8"/>
      <c r="G1922" s="8"/>
      <c r="H1922" s="8"/>
      <c r="I1922" s="10"/>
      <c r="J1922" s="10"/>
      <c r="K1922" s="18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</row>
    <row r="1923" ht="14.25" customHeight="1">
      <c r="A1923" s="9"/>
      <c r="B1923" s="8"/>
      <c r="C1923" s="8"/>
      <c r="D1923" s="8"/>
      <c r="E1923" s="8"/>
      <c r="F1923" s="8"/>
      <c r="G1923" s="8"/>
      <c r="H1923" s="8"/>
      <c r="I1923" s="10"/>
      <c r="J1923" s="10"/>
      <c r="K1923" s="18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</row>
    <row r="1924" ht="14.25" customHeight="1">
      <c r="A1924" s="9"/>
      <c r="B1924" s="8"/>
      <c r="C1924" s="8"/>
      <c r="D1924" s="8"/>
      <c r="E1924" s="8"/>
      <c r="F1924" s="8"/>
      <c r="G1924" s="8"/>
      <c r="H1924" s="8"/>
      <c r="I1924" s="10"/>
      <c r="J1924" s="10"/>
      <c r="K1924" s="18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</row>
    <row r="1925" ht="14.25" customHeight="1">
      <c r="A1925" s="9"/>
      <c r="B1925" s="8"/>
      <c r="C1925" s="8"/>
      <c r="D1925" s="8"/>
      <c r="E1925" s="8"/>
      <c r="F1925" s="8"/>
      <c r="G1925" s="8"/>
      <c r="H1925" s="8"/>
      <c r="I1925" s="10"/>
      <c r="J1925" s="10"/>
      <c r="K1925" s="18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</row>
    <row r="1926" ht="14.25" customHeight="1">
      <c r="A1926" s="9"/>
      <c r="B1926" s="8"/>
      <c r="C1926" s="8"/>
      <c r="D1926" s="8"/>
      <c r="E1926" s="8"/>
      <c r="F1926" s="8"/>
      <c r="G1926" s="8"/>
      <c r="H1926" s="8"/>
      <c r="I1926" s="10"/>
      <c r="J1926" s="10"/>
      <c r="K1926" s="18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</row>
    <row r="1927" ht="14.25" customHeight="1">
      <c r="A1927" s="9"/>
      <c r="B1927" s="8"/>
      <c r="C1927" s="8"/>
      <c r="D1927" s="8"/>
      <c r="E1927" s="8"/>
      <c r="F1927" s="8"/>
      <c r="G1927" s="8"/>
      <c r="H1927" s="8"/>
      <c r="I1927" s="10"/>
      <c r="J1927" s="10"/>
      <c r="K1927" s="18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</row>
    <row r="1928" ht="14.25" customHeight="1">
      <c r="A1928" s="9"/>
      <c r="B1928" s="8"/>
      <c r="C1928" s="8"/>
      <c r="D1928" s="8"/>
      <c r="E1928" s="8"/>
      <c r="F1928" s="8"/>
      <c r="G1928" s="8"/>
      <c r="H1928" s="8"/>
      <c r="I1928" s="10"/>
      <c r="J1928" s="10"/>
      <c r="K1928" s="18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</row>
    <row r="1929" ht="14.25" customHeight="1">
      <c r="A1929" s="9"/>
      <c r="B1929" s="8"/>
      <c r="C1929" s="8"/>
      <c r="D1929" s="8"/>
      <c r="E1929" s="8"/>
      <c r="F1929" s="8"/>
      <c r="G1929" s="8"/>
      <c r="H1929" s="8"/>
      <c r="I1929" s="10"/>
      <c r="J1929" s="10"/>
      <c r="K1929" s="18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</row>
    <row r="1930" ht="14.25" customHeight="1">
      <c r="A1930" s="9"/>
      <c r="B1930" s="8"/>
      <c r="C1930" s="8"/>
      <c r="D1930" s="8"/>
      <c r="E1930" s="8"/>
      <c r="F1930" s="8"/>
      <c r="G1930" s="8"/>
      <c r="H1930" s="8"/>
      <c r="I1930" s="10"/>
      <c r="J1930" s="10"/>
      <c r="K1930" s="18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</row>
    <row r="1931" ht="14.25" customHeight="1">
      <c r="A1931" s="9"/>
      <c r="B1931" s="8"/>
      <c r="C1931" s="8"/>
      <c r="D1931" s="8"/>
      <c r="E1931" s="8"/>
      <c r="F1931" s="8"/>
      <c r="G1931" s="8"/>
      <c r="H1931" s="8"/>
      <c r="I1931" s="10"/>
      <c r="J1931" s="10"/>
      <c r="K1931" s="18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</row>
    <row r="1932" ht="14.25" customHeight="1">
      <c r="A1932" s="9"/>
      <c r="B1932" s="8"/>
      <c r="C1932" s="8"/>
      <c r="D1932" s="8"/>
      <c r="E1932" s="8"/>
      <c r="F1932" s="8"/>
      <c r="G1932" s="8"/>
      <c r="H1932" s="8"/>
      <c r="I1932" s="10"/>
      <c r="J1932" s="10"/>
      <c r="K1932" s="18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</row>
    <row r="1933" ht="14.25" customHeight="1">
      <c r="A1933" s="9"/>
      <c r="B1933" s="8"/>
      <c r="C1933" s="8"/>
      <c r="D1933" s="8"/>
      <c r="E1933" s="8"/>
      <c r="F1933" s="8"/>
      <c r="G1933" s="8"/>
      <c r="H1933" s="8"/>
      <c r="I1933" s="10"/>
      <c r="J1933" s="10"/>
      <c r="K1933" s="18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</row>
    <row r="1934" ht="14.25" customHeight="1">
      <c r="A1934" s="9"/>
      <c r="B1934" s="8"/>
      <c r="C1934" s="8"/>
      <c r="D1934" s="8"/>
      <c r="E1934" s="8"/>
      <c r="F1934" s="8"/>
      <c r="G1934" s="8"/>
      <c r="H1934" s="8"/>
      <c r="I1934" s="10"/>
      <c r="J1934" s="10"/>
      <c r="K1934" s="18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</row>
    <row r="1935" ht="14.25" customHeight="1">
      <c r="A1935" s="9"/>
      <c r="B1935" s="8"/>
      <c r="C1935" s="8"/>
      <c r="D1935" s="8"/>
      <c r="E1935" s="8"/>
      <c r="F1935" s="8"/>
      <c r="G1935" s="8"/>
      <c r="H1935" s="8"/>
      <c r="I1935" s="10"/>
      <c r="J1935" s="10"/>
      <c r="K1935" s="18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</row>
    <row r="1936" ht="14.25" customHeight="1">
      <c r="A1936" s="9"/>
      <c r="B1936" s="8"/>
      <c r="C1936" s="8"/>
      <c r="D1936" s="8"/>
      <c r="E1936" s="8"/>
      <c r="F1936" s="8"/>
      <c r="G1936" s="8"/>
      <c r="H1936" s="8"/>
      <c r="I1936" s="10"/>
      <c r="J1936" s="10"/>
      <c r="K1936" s="18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</row>
    <row r="1937" ht="14.25" customHeight="1">
      <c r="A1937" s="9"/>
      <c r="B1937" s="8"/>
      <c r="C1937" s="8"/>
      <c r="D1937" s="8"/>
      <c r="E1937" s="8"/>
      <c r="F1937" s="8"/>
      <c r="G1937" s="8"/>
      <c r="H1937" s="8"/>
      <c r="I1937" s="10"/>
      <c r="J1937" s="10"/>
      <c r="K1937" s="18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</row>
    <row r="1938" ht="14.25" customHeight="1">
      <c r="A1938" s="9"/>
      <c r="B1938" s="8"/>
      <c r="C1938" s="8"/>
      <c r="D1938" s="8"/>
      <c r="E1938" s="8"/>
      <c r="F1938" s="8"/>
      <c r="G1938" s="8"/>
      <c r="H1938" s="8"/>
      <c r="I1938" s="10"/>
      <c r="J1938" s="10"/>
      <c r="K1938" s="18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</row>
    <row r="1939" ht="14.25" customHeight="1">
      <c r="A1939" s="9"/>
      <c r="B1939" s="8"/>
      <c r="C1939" s="8"/>
      <c r="D1939" s="8"/>
      <c r="E1939" s="8"/>
      <c r="F1939" s="8"/>
      <c r="G1939" s="8"/>
      <c r="H1939" s="8"/>
      <c r="I1939" s="10"/>
      <c r="J1939" s="10"/>
      <c r="K1939" s="18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</row>
    <row r="1940" ht="14.25" customHeight="1">
      <c r="A1940" s="9"/>
      <c r="B1940" s="8"/>
      <c r="C1940" s="8"/>
      <c r="D1940" s="8"/>
      <c r="E1940" s="8"/>
      <c r="F1940" s="8"/>
      <c r="G1940" s="8"/>
      <c r="H1940" s="8"/>
      <c r="I1940" s="10"/>
      <c r="J1940" s="10"/>
      <c r="K1940" s="18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</row>
    <row r="1941" ht="14.25" customHeight="1">
      <c r="A1941" s="9"/>
      <c r="B1941" s="8"/>
      <c r="C1941" s="8"/>
      <c r="D1941" s="8"/>
      <c r="E1941" s="8"/>
      <c r="F1941" s="8"/>
      <c r="G1941" s="8"/>
      <c r="H1941" s="8"/>
      <c r="I1941" s="10"/>
      <c r="J1941" s="10"/>
      <c r="K1941" s="18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</row>
    <row r="1942" ht="14.25" customHeight="1">
      <c r="A1942" s="9"/>
      <c r="B1942" s="8"/>
      <c r="C1942" s="8"/>
      <c r="D1942" s="8"/>
      <c r="E1942" s="8"/>
      <c r="F1942" s="8"/>
      <c r="G1942" s="8"/>
      <c r="H1942" s="8"/>
      <c r="I1942" s="10"/>
      <c r="J1942" s="10"/>
      <c r="K1942" s="18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</row>
    <row r="1943" ht="14.25" customHeight="1">
      <c r="A1943" s="9"/>
      <c r="B1943" s="8"/>
      <c r="C1943" s="8"/>
      <c r="D1943" s="8"/>
      <c r="E1943" s="8"/>
      <c r="F1943" s="8"/>
      <c r="G1943" s="8"/>
      <c r="H1943" s="8"/>
      <c r="I1943" s="10"/>
      <c r="J1943" s="10"/>
      <c r="K1943" s="18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</row>
    <row r="1944" ht="14.25" customHeight="1">
      <c r="A1944" s="9"/>
      <c r="B1944" s="8"/>
      <c r="C1944" s="8"/>
      <c r="D1944" s="8"/>
      <c r="E1944" s="8"/>
      <c r="F1944" s="8"/>
      <c r="G1944" s="8"/>
      <c r="H1944" s="8"/>
      <c r="I1944" s="10"/>
      <c r="J1944" s="10"/>
      <c r="K1944" s="18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</row>
    <row r="1945" ht="14.25" customHeight="1">
      <c r="A1945" s="9"/>
      <c r="B1945" s="8"/>
      <c r="C1945" s="8"/>
      <c r="D1945" s="8"/>
      <c r="E1945" s="8"/>
      <c r="F1945" s="8"/>
      <c r="G1945" s="8"/>
      <c r="H1945" s="8"/>
      <c r="I1945" s="10"/>
      <c r="J1945" s="10"/>
      <c r="K1945" s="18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</row>
    <row r="1946" ht="14.25" customHeight="1">
      <c r="A1946" s="9"/>
      <c r="B1946" s="8"/>
      <c r="C1946" s="8"/>
      <c r="D1946" s="8"/>
      <c r="E1946" s="8"/>
      <c r="F1946" s="8"/>
      <c r="G1946" s="8"/>
      <c r="H1946" s="8"/>
      <c r="I1946" s="10"/>
      <c r="J1946" s="10"/>
      <c r="K1946" s="18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</row>
    <row r="1947" ht="14.25" customHeight="1">
      <c r="A1947" s="9"/>
      <c r="B1947" s="8"/>
      <c r="C1947" s="8"/>
      <c r="D1947" s="8"/>
      <c r="E1947" s="8"/>
      <c r="F1947" s="8"/>
      <c r="G1947" s="8"/>
      <c r="H1947" s="8"/>
      <c r="I1947" s="10"/>
      <c r="J1947" s="10"/>
      <c r="K1947" s="18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</row>
    <row r="1948" ht="14.25" customHeight="1">
      <c r="A1948" s="9"/>
      <c r="B1948" s="8"/>
      <c r="C1948" s="8"/>
      <c r="D1948" s="8"/>
      <c r="E1948" s="8"/>
      <c r="F1948" s="8"/>
      <c r="G1948" s="8"/>
      <c r="H1948" s="8"/>
      <c r="I1948" s="10"/>
      <c r="J1948" s="10"/>
      <c r="K1948" s="18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</row>
    <row r="1949" ht="14.25" customHeight="1">
      <c r="A1949" s="9"/>
      <c r="B1949" s="8"/>
      <c r="C1949" s="8"/>
      <c r="D1949" s="8"/>
      <c r="E1949" s="8"/>
      <c r="F1949" s="8"/>
      <c r="G1949" s="8"/>
      <c r="H1949" s="8"/>
      <c r="I1949" s="10"/>
      <c r="J1949" s="10"/>
      <c r="K1949" s="18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</row>
    <row r="1950" ht="14.25" customHeight="1">
      <c r="A1950" s="9"/>
      <c r="B1950" s="8"/>
      <c r="C1950" s="8"/>
      <c r="D1950" s="8"/>
      <c r="E1950" s="8"/>
      <c r="F1950" s="8"/>
      <c r="G1950" s="8"/>
      <c r="H1950" s="8"/>
      <c r="I1950" s="10"/>
      <c r="J1950" s="10"/>
      <c r="K1950" s="18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</row>
    <row r="1951" ht="14.25" customHeight="1">
      <c r="A1951" s="9"/>
      <c r="B1951" s="8"/>
      <c r="C1951" s="8"/>
      <c r="D1951" s="8"/>
      <c r="E1951" s="8"/>
      <c r="F1951" s="8"/>
      <c r="G1951" s="8"/>
      <c r="H1951" s="8"/>
      <c r="I1951" s="10"/>
      <c r="J1951" s="10"/>
      <c r="K1951" s="18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</row>
    <row r="1952" ht="14.25" customHeight="1">
      <c r="A1952" s="9"/>
      <c r="B1952" s="8"/>
      <c r="C1952" s="8"/>
      <c r="D1952" s="8"/>
      <c r="E1952" s="8"/>
      <c r="F1952" s="8"/>
      <c r="G1952" s="8"/>
      <c r="H1952" s="8"/>
      <c r="I1952" s="10"/>
      <c r="J1952" s="10"/>
      <c r="K1952" s="18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</row>
    <row r="1953" ht="14.25" customHeight="1">
      <c r="A1953" s="9"/>
      <c r="B1953" s="8"/>
      <c r="C1953" s="8"/>
      <c r="D1953" s="8"/>
      <c r="E1953" s="8"/>
      <c r="F1953" s="8"/>
      <c r="G1953" s="8"/>
      <c r="H1953" s="8"/>
      <c r="I1953" s="10"/>
      <c r="J1953" s="10"/>
      <c r="K1953" s="18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</row>
    <row r="1954" ht="14.25" customHeight="1">
      <c r="A1954" s="9"/>
      <c r="B1954" s="8"/>
      <c r="C1954" s="8"/>
      <c r="D1954" s="8"/>
      <c r="E1954" s="8"/>
      <c r="F1954" s="8"/>
      <c r="G1954" s="8"/>
      <c r="H1954" s="8"/>
      <c r="I1954" s="10"/>
      <c r="J1954" s="10"/>
      <c r="K1954" s="18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</row>
    <row r="1955" ht="14.25" customHeight="1">
      <c r="A1955" s="9"/>
      <c r="B1955" s="8"/>
      <c r="C1955" s="8"/>
      <c r="D1955" s="8"/>
      <c r="E1955" s="8"/>
      <c r="F1955" s="8"/>
      <c r="G1955" s="8"/>
      <c r="H1955" s="8"/>
      <c r="I1955" s="10"/>
      <c r="J1955" s="10"/>
      <c r="K1955" s="18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</row>
    <row r="1956" ht="14.25" customHeight="1">
      <c r="A1956" s="9"/>
      <c r="B1956" s="8"/>
      <c r="C1956" s="8"/>
      <c r="D1956" s="8"/>
      <c r="E1956" s="8"/>
      <c r="F1956" s="8"/>
      <c r="G1956" s="8"/>
      <c r="H1956" s="8"/>
      <c r="I1956" s="10"/>
      <c r="J1956" s="10"/>
      <c r="K1956" s="18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</row>
    <row r="1957" ht="14.25" customHeight="1">
      <c r="A1957" s="9"/>
      <c r="B1957" s="8"/>
      <c r="C1957" s="8"/>
      <c r="D1957" s="8"/>
      <c r="E1957" s="8"/>
      <c r="F1957" s="8"/>
      <c r="G1957" s="8"/>
      <c r="H1957" s="8"/>
      <c r="I1957" s="10"/>
      <c r="J1957" s="10"/>
      <c r="K1957" s="18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</row>
    <row r="1958" ht="14.25" customHeight="1">
      <c r="A1958" s="9"/>
      <c r="B1958" s="8"/>
      <c r="C1958" s="8"/>
      <c r="D1958" s="8"/>
      <c r="E1958" s="8"/>
      <c r="F1958" s="8"/>
      <c r="G1958" s="8"/>
      <c r="H1958" s="8"/>
      <c r="I1958" s="10"/>
      <c r="J1958" s="10"/>
      <c r="K1958" s="18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</row>
    <row r="1959" ht="14.25" customHeight="1">
      <c r="A1959" s="9"/>
      <c r="B1959" s="8"/>
      <c r="C1959" s="8"/>
      <c r="D1959" s="8"/>
      <c r="E1959" s="8"/>
      <c r="F1959" s="8"/>
      <c r="G1959" s="8"/>
      <c r="H1959" s="8"/>
      <c r="I1959" s="10"/>
      <c r="J1959" s="10"/>
      <c r="K1959" s="18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</row>
    <row r="1960" ht="14.25" customHeight="1">
      <c r="A1960" s="9"/>
      <c r="B1960" s="8"/>
      <c r="C1960" s="8"/>
      <c r="D1960" s="8"/>
      <c r="E1960" s="8"/>
      <c r="F1960" s="8"/>
      <c r="G1960" s="8"/>
      <c r="H1960" s="8"/>
      <c r="I1960" s="10"/>
      <c r="J1960" s="10"/>
      <c r="K1960" s="18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</row>
    <row r="1961" ht="14.25" customHeight="1">
      <c r="A1961" s="9"/>
      <c r="B1961" s="8"/>
      <c r="C1961" s="8"/>
      <c r="D1961" s="8"/>
      <c r="E1961" s="8"/>
      <c r="F1961" s="8"/>
      <c r="G1961" s="8"/>
      <c r="H1961" s="8"/>
      <c r="I1961" s="10"/>
      <c r="J1961" s="10"/>
      <c r="K1961" s="18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</row>
    <row r="1962" ht="14.25" customHeight="1">
      <c r="A1962" s="9"/>
      <c r="B1962" s="8"/>
      <c r="C1962" s="8"/>
      <c r="D1962" s="8"/>
      <c r="E1962" s="8"/>
      <c r="F1962" s="8"/>
      <c r="G1962" s="8"/>
      <c r="H1962" s="8"/>
      <c r="I1962" s="10"/>
      <c r="J1962" s="10"/>
      <c r="K1962" s="18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</row>
    <row r="1963" ht="14.25" customHeight="1">
      <c r="A1963" s="9"/>
      <c r="B1963" s="8"/>
      <c r="C1963" s="8"/>
      <c r="D1963" s="8"/>
      <c r="E1963" s="8"/>
      <c r="F1963" s="8"/>
      <c r="G1963" s="8"/>
      <c r="H1963" s="8"/>
      <c r="I1963" s="10"/>
      <c r="J1963" s="10"/>
      <c r="K1963" s="18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</row>
    <row r="1964" ht="14.25" customHeight="1">
      <c r="A1964" s="9"/>
      <c r="B1964" s="8"/>
      <c r="C1964" s="8"/>
      <c r="D1964" s="8"/>
      <c r="E1964" s="8"/>
      <c r="F1964" s="8"/>
      <c r="G1964" s="8"/>
      <c r="H1964" s="8"/>
      <c r="I1964" s="10"/>
      <c r="J1964" s="10"/>
      <c r="K1964" s="18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</row>
    <row r="1965" ht="14.25" customHeight="1">
      <c r="A1965" s="9"/>
      <c r="B1965" s="8"/>
      <c r="C1965" s="8"/>
      <c r="D1965" s="8"/>
      <c r="E1965" s="8"/>
      <c r="F1965" s="8"/>
      <c r="G1965" s="8"/>
      <c r="H1965" s="8"/>
      <c r="I1965" s="10"/>
      <c r="J1965" s="10"/>
      <c r="K1965" s="18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</row>
    <row r="1966" ht="14.25" customHeight="1">
      <c r="A1966" s="9"/>
      <c r="B1966" s="8"/>
      <c r="C1966" s="8"/>
      <c r="D1966" s="8"/>
      <c r="E1966" s="8"/>
      <c r="F1966" s="8"/>
      <c r="G1966" s="8"/>
      <c r="H1966" s="8"/>
      <c r="I1966" s="10"/>
      <c r="J1966" s="10"/>
      <c r="K1966" s="18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</row>
    <row r="1967" ht="14.25" customHeight="1">
      <c r="A1967" s="9"/>
      <c r="B1967" s="8"/>
      <c r="C1967" s="8"/>
      <c r="D1967" s="8"/>
      <c r="E1967" s="8"/>
      <c r="F1967" s="8"/>
      <c r="G1967" s="8"/>
      <c r="H1967" s="8"/>
      <c r="I1967" s="10"/>
      <c r="J1967" s="10"/>
      <c r="K1967" s="18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</row>
    <row r="1968" ht="14.25" customHeight="1">
      <c r="A1968" s="9"/>
      <c r="B1968" s="8"/>
      <c r="C1968" s="8"/>
      <c r="D1968" s="8"/>
      <c r="E1968" s="8"/>
      <c r="F1968" s="8"/>
      <c r="G1968" s="8"/>
      <c r="H1968" s="8"/>
      <c r="I1968" s="10"/>
      <c r="J1968" s="10"/>
      <c r="K1968" s="18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</row>
    <row r="1969" ht="14.25" customHeight="1">
      <c r="A1969" s="9"/>
      <c r="B1969" s="8"/>
      <c r="C1969" s="8"/>
      <c r="D1969" s="8"/>
      <c r="E1969" s="8"/>
      <c r="F1969" s="8"/>
      <c r="G1969" s="8"/>
      <c r="H1969" s="8"/>
      <c r="I1969" s="10"/>
      <c r="J1969" s="10"/>
      <c r="K1969" s="18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</row>
    <row r="1970" ht="14.25" customHeight="1">
      <c r="A1970" s="9"/>
      <c r="B1970" s="8"/>
      <c r="C1970" s="8"/>
      <c r="D1970" s="8"/>
      <c r="E1970" s="8"/>
      <c r="F1970" s="8"/>
      <c r="G1970" s="8"/>
      <c r="H1970" s="8"/>
      <c r="I1970" s="10"/>
      <c r="J1970" s="10"/>
      <c r="K1970" s="18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</row>
    <row r="1971" ht="14.25" customHeight="1">
      <c r="A1971" s="9"/>
      <c r="B1971" s="8"/>
      <c r="C1971" s="8"/>
      <c r="D1971" s="8"/>
      <c r="E1971" s="8"/>
      <c r="F1971" s="8"/>
      <c r="G1971" s="8"/>
      <c r="H1971" s="8"/>
      <c r="I1971" s="10"/>
      <c r="J1971" s="10"/>
      <c r="K1971" s="18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</row>
    <row r="1972" ht="14.25" customHeight="1">
      <c r="A1972" s="9"/>
      <c r="B1972" s="8"/>
      <c r="C1972" s="8"/>
      <c r="D1972" s="8"/>
      <c r="E1972" s="8"/>
      <c r="F1972" s="8"/>
      <c r="G1972" s="8"/>
      <c r="H1972" s="8"/>
      <c r="I1972" s="10"/>
      <c r="J1972" s="10"/>
      <c r="K1972" s="18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</row>
    <row r="1973" ht="14.25" customHeight="1">
      <c r="A1973" s="9"/>
      <c r="B1973" s="8"/>
      <c r="C1973" s="8"/>
      <c r="D1973" s="8"/>
      <c r="E1973" s="8"/>
      <c r="F1973" s="8"/>
      <c r="G1973" s="8"/>
      <c r="H1973" s="8"/>
      <c r="I1973" s="10"/>
      <c r="J1973" s="10"/>
      <c r="K1973" s="18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</row>
    <row r="1974" ht="14.25" customHeight="1">
      <c r="A1974" s="9"/>
      <c r="B1974" s="8"/>
      <c r="C1974" s="8"/>
      <c r="D1974" s="8"/>
      <c r="E1974" s="8"/>
      <c r="F1974" s="8"/>
      <c r="G1974" s="8"/>
      <c r="H1974" s="8"/>
      <c r="I1974" s="10"/>
      <c r="J1974" s="10"/>
      <c r="K1974" s="18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</row>
    <row r="1975" ht="14.25" customHeight="1">
      <c r="A1975" s="9"/>
      <c r="B1975" s="8"/>
      <c r="C1975" s="8"/>
      <c r="D1975" s="8"/>
      <c r="E1975" s="8"/>
      <c r="F1975" s="8"/>
      <c r="G1975" s="8"/>
      <c r="H1975" s="8"/>
      <c r="I1975" s="10"/>
      <c r="J1975" s="10"/>
      <c r="K1975" s="18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</row>
    <row r="1976" ht="14.25" customHeight="1">
      <c r="A1976" s="9"/>
      <c r="B1976" s="8"/>
      <c r="C1976" s="8"/>
      <c r="D1976" s="8"/>
      <c r="E1976" s="8"/>
      <c r="F1976" s="8"/>
      <c r="G1976" s="8"/>
      <c r="H1976" s="8"/>
      <c r="I1976" s="10"/>
      <c r="J1976" s="10"/>
      <c r="K1976" s="18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</row>
    <row r="1977" ht="14.25" customHeight="1">
      <c r="A1977" s="9"/>
      <c r="B1977" s="8"/>
      <c r="C1977" s="8"/>
      <c r="D1977" s="8"/>
      <c r="E1977" s="8"/>
      <c r="F1977" s="8"/>
      <c r="G1977" s="8"/>
      <c r="H1977" s="8"/>
      <c r="I1977" s="10"/>
      <c r="J1977" s="10"/>
      <c r="K1977" s="18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</row>
    <row r="1978" ht="14.25" customHeight="1">
      <c r="A1978" s="9"/>
      <c r="B1978" s="8"/>
      <c r="C1978" s="8"/>
      <c r="D1978" s="8"/>
      <c r="E1978" s="8"/>
      <c r="F1978" s="8"/>
      <c r="G1978" s="8"/>
      <c r="H1978" s="8"/>
      <c r="I1978" s="10"/>
      <c r="J1978" s="10"/>
      <c r="K1978" s="18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</row>
    <row r="1979" ht="14.25" customHeight="1">
      <c r="A1979" s="9"/>
      <c r="B1979" s="8"/>
      <c r="C1979" s="8"/>
      <c r="D1979" s="8"/>
      <c r="E1979" s="8"/>
      <c r="F1979" s="8"/>
      <c r="G1979" s="8"/>
      <c r="H1979" s="8"/>
      <c r="I1979" s="10"/>
      <c r="J1979" s="10"/>
      <c r="K1979" s="18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</row>
    <row r="1980" ht="14.25" customHeight="1">
      <c r="A1980" s="9"/>
      <c r="B1980" s="8"/>
      <c r="C1980" s="8"/>
      <c r="D1980" s="8"/>
      <c r="E1980" s="8"/>
      <c r="F1980" s="8"/>
      <c r="G1980" s="8"/>
      <c r="H1980" s="8"/>
      <c r="I1980" s="10"/>
      <c r="J1980" s="10"/>
      <c r="K1980" s="18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</row>
    <row r="1981" ht="14.25" customHeight="1">
      <c r="A1981" s="9"/>
      <c r="B1981" s="8"/>
      <c r="C1981" s="8"/>
      <c r="D1981" s="8"/>
      <c r="E1981" s="8"/>
      <c r="F1981" s="8"/>
      <c r="G1981" s="8"/>
      <c r="H1981" s="8"/>
      <c r="I1981" s="10"/>
      <c r="J1981" s="10"/>
      <c r="K1981" s="18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</row>
    <row r="1982" ht="14.25" customHeight="1">
      <c r="A1982" s="9"/>
      <c r="B1982" s="8"/>
      <c r="C1982" s="8"/>
      <c r="D1982" s="8"/>
      <c r="E1982" s="8"/>
      <c r="F1982" s="8"/>
      <c r="G1982" s="8"/>
      <c r="H1982" s="8"/>
      <c r="I1982" s="10"/>
      <c r="J1982" s="10"/>
      <c r="K1982" s="18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</row>
    <row r="1983" ht="14.25" customHeight="1">
      <c r="A1983" s="9"/>
      <c r="B1983" s="8"/>
      <c r="C1983" s="8"/>
      <c r="D1983" s="8"/>
      <c r="E1983" s="8"/>
      <c r="F1983" s="8"/>
      <c r="G1983" s="8"/>
      <c r="H1983" s="8"/>
      <c r="I1983" s="10"/>
      <c r="J1983" s="10"/>
      <c r="K1983" s="18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</row>
    <row r="1984" ht="14.25" customHeight="1">
      <c r="A1984" s="9"/>
      <c r="B1984" s="8"/>
      <c r="C1984" s="8"/>
      <c r="D1984" s="8"/>
      <c r="E1984" s="8"/>
      <c r="F1984" s="8"/>
      <c r="G1984" s="8"/>
      <c r="H1984" s="8"/>
      <c r="I1984" s="10"/>
      <c r="J1984" s="10"/>
      <c r="K1984" s="18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</row>
    <row r="1985" ht="14.25" customHeight="1">
      <c r="A1985" s="9"/>
      <c r="B1985" s="8"/>
      <c r="C1985" s="8"/>
      <c r="D1985" s="8"/>
      <c r="E1985" s="8"/>
      <c r="F1985" s="8"/>
      <c r="G1985" s="8"/>
      <c r="H1985" s="8"/>
      <c r="I1985" s="10"/>
      <c r="J1985" s="10"/>
      <c r="K1985" s="18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</row>
    <row r="1986" ht="14.25" customHeight="1">
      <c r="A1986" s="9"/>
      <c r="B1986" s="8"/>
      <c r="C1986" s="8"/>
      <c r="D1986" s="8"/>
      <c r="E1986" s="8"/>
      <c r="F1986" s="8"/>
      <c r="G1986" s="8"/>
      <c r="H1986" s="8"/>
      <c r="I1986" s="10"/>
      <c r="J1986" s="10"/>
      <c r="K1986" s="18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</row>
    <row r="1987" ht="14.25" customHeight="1">
      <c r="A1987" s="9"/>
      <c r="B1987" s="8"/>
      <c r="C1987" s="8"/>
      <c r="D1987" s="8"/>
      <c r="E1987" s="8"/>
      <c r="F1987" s="8"/>
      <c r="G1987" s="8"/>
      <c r="H1987" s="8"/>
      <c r="I1987" s="10"/>
      <c r="J1987" s="10"/>
      <c r="K1987" s="18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</row>
    <row r="1988" ht="14.25" customHeight="1">
      <c r="A1988" s="9"/>
      <c r="B1988" s="8"/>
      <c r="C1988" s="8"/>
      <c r="D1988" s="8"/>
      <c r="E1988" s="8"/>
      <c r="F1988" s="8"/>
      <c r="G1988" s="8"/>
      <c r="H1988" s="8"/>
      <c r="I1988" s="10"/>
      <c r="J1988" s="10"/>
      <c r="K1988" s="18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</row>
    <row r="1989" ht="14.25" customHeight="1">
      <c r="A1989" s="9"/>
      <c r="B1989" s="8"/>
      <c r="C1989" s="8"/>
      <c r="D1989" s="8"/>
      <c r="E1989" s="8"/>
      <c r="F1989" s="8"/>
      <c r="G1989" s="8"/>
      <c r="H1989" s="8"/>
      <c r="I1989" s="10"/>
      <c r="J1989" s="10"/>
      <c r="K1989" s="18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</row>
    <row r="1990" ht="14.25" customHeight="1">
      <c r="A1990" s="9"/>
      <c r="B1990" s="8"/>
      <c r="C1990" s="8"/>
      <c r="D1990" s="8"/>
      <c r="E1990" s="8"/>
      <c r="F1990" s="8"/>
      <c r="G1990" s="8"/>
      <c r="H1990" s="8"/>
      <c r="I1990" s="10"/>
      <c r="J1990" s="10"/>
      <c r="K1990" s="18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</row>
    <row r="1991" ht="14.25" customHeight="1">
      <c r="A1991" s="9"/>
      <c r="B1991" s="8"/>
      <c r="C1991" s="8"/>
      <c r="D1991" s="8"/>
      <c r="E1991" s="8"/>
      <c r="F1991" s="8"/>
      <c r="G1991" s="8"/>
      <c r="H1991" s="8"/>
      <c r="I1991" s="10"/>
      <c r="J1991" s="10"/>
      <c r="K1991" s="18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</row>
    <row r="1992" ht="14.25" customHeight="1">
      <c r="A1992" s="9"/>
      <c r="B1992" s="8"/>
      <c r="C1992" s="8"/>
      <c r="D1992" s="8"/>
      <c r="E1992" s="8"/>
      <c r="F1992" s="8"/>
      <c r="G1992" s="8"/>
      <c r="H1992" s="8"/>
      <c r="I1992" s="10"/>
      <c r="J1992" s="10"/>
      <c r="K1992" s="18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</row>
    <row r="1993" ht="14.25" customHeight="1">
      <c r="A1993" s="9"/>
      <c r="B1993" s="8"/>
      <c r="C1993" s="8"/>
      <c r="D1993" s="8"/>
      <c r="E1993" s="8"/>
      <c r="F1993" s="8"/>
      <c r="G1993" s="8"/>
      <c r="H1993" s="8"/>
      <c r="I1993" s="10"/>
      <c r="J1993" s="10"/>
      <c r="K1993" s="18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</row>
    <row r="1994" ht="14.25" customHeight="1">
      <c r="A1994" s="9"/>
      <c r="B1994" s="8"/>
      <c r="C1994" s="8"/>
      <c r="D1994" s="8"/>
      <c r="E1994" s="8"/>
      <c r="F1994" s="8"/>
      <c r="G1994" s="8"/>
      <c r="H1994" s="8"/>
      <c r="I1994" s="10"/>
      <c r="J1994" s="10"/>
      <c r="K1994" s="18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</row>
    <row r="1995" ht="14.25" customHeight="1">
      <c r="A1995" s="9"/>
      <c r="B1995" s="8"/>
      <c r="C1995" s="8"/>
      <c r="D1995" s="8"/>
      <c r="E1995" s="8"/>
      <c r="F1995" s="8"/>
      <c r="G1995" s="8"/>
      <c r="H1995" s="8"/>
      <c r="I1995" s="10"/>
      <c r="J1995" s="10"/>
      <c r="K1995" s="18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</row>
    <row r="1996" ht="14.25" customHeight="1">
      <c r="A1996" s="9"/>
      <c r="B1996" s="8"/>
      <c r="C1996" s="8"/>
      <c r="D1996" s="8"/>
      <c r="E1996" s="8"/>
      <c r="F1996" s="8"/>
      <c r="G1996" s="8"/>
      <c r="H1996" s="8"/>
      <c r="I1996" s="10"/>
      <c r="J1996" s="10"/>
      <c r="K1996" s="18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</row>
    <row r="1997" ht="14.25" customHeight="1">
      <c r="A1997" s="9"/>
      <c r="B1997" s="8"/>
      <c r="C1997" s="8"/>
      <c r="D1997" s="8"/>
      <c r="E1997" s="8"/>
      <c r="F1997" s="8"/>
      <c r="G1997" s="8"/>
      <c r="H1997" s="8"/>
      <c r="I1997" s="10"/>
      <c r="J1997" s="10"/>
      <c r="K1997" s="18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</row>
    <row r="1998" ht="14.25" customHeight="1">
      <c r="A1998" s="9"/>
      <c r="B1998" s="8"/>
      <c r="C1998" s="8"/>
      <c r="D1998" s="8"/>
      <c r="E1998" s="8"/>
      <c r="F1998" s="8"/>
      <c r="G1998" s="8"/>
      <c r="H1998" s="8"/>
      <c r="I1998" s="10"/>
      <c r="J1998" s="10"/>
      <c r="K1998" s="18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</row>
    <row r="1999" ht="14.25" customHeight="1">
      <c r="A1999" s="9"/>
      <c r="B1999" s="8"/>
      <c r="C1999" s="8"/>
      <c r="D1999" s="8"/>
      <c r="E1999" s="8"/>
      <c r="F1999" s="8"/>
      <c r="G1999" s="8"/>
      <c r="H1999" s="8"/>
      <c r="I1999" s="10"/>
      <c r="J1999" s="10"/>
      <c r="K1999" s="18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</row>
    <row r="2000" ht="14.25" customHeight="1">
      <c r="A2000" s="9"/>
      <c r="B2000" s="8"/>
      <c r="C2000" s="8"/>
      <c r="D2000" s="8"/>
      <c r="E2000" s="8"/>
      <c r="F2000" s="8"/>
      <c r="G2000" s="8"/>
      <c r="H2000" s="8"/>
      <c r="I2000" s="10"/>
      <c r="J2000" s="10"/>
      <c r="K2000" s="18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</row>
    <row r="2001" ht="14.25" customHeight="1">
      <c r="A2001" s="9"/>
      <c r="B2001" s="8"/>
      <c r="C2001" s="8"/>
      <c r="D2001" s="8"/>
      <c r="E2001" s="8"/>
      <c r="F2001" s="8"/>
      <c r="G2001" s="8"/>
      <c r="H2001" s="8"/>
      <c r="I2001" s="10"/>
      <c r="J2001" s="10"/>
      <c r="K2001" s="18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</row>
    <row r="2002" ht="14.25" customHeight="1">
      <c r="A2002" s="9"/>
      <c r="B2002" s="8"/>
      <c r="C2002" s="8"/>
      <c r="D2002" s="8"/>
      <c r="E2002" s="8"/>
      <c r="F2002" s="8"/>
      <c r="G2002" s="8"/>
      <c r="H2002" s="8"/>
      <c r="I2002" s="10"/>
      <c r="J2002" s="10"/>
      <c r="K2002" s="18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</row>
    <row r="2003" ht="14.25" customHeight="1">
      <c r="A2003" s="9"/>
      <c r="B2003" s="8"/>
      <c r="C2003" s="8"/>
      <c r="D2003" s="8"/>
      <c r="E2003" s="8"/>
      <c r="F2003" s="8"/>
      <c r="G2003" s="8"/>
      <c r="H2003" s="8"/>
      <c r="I2003" s="10"/>
      <c r="J2003" s="10"/>
      <c r="K2003" s="18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</row>
    <row r="2004" ht="14.25" customHeight="1">
      <c r="A2004" s="9"/>
      <c r="B2004" s="8"/>
      <c r="C2004" s="8"/>
      <c r="D2004" s="8"/>
      <c r="E2004" s="8"/>
      <c r="F2004" s="8"/>
      <c r="G2004" s="8"/>
      <c r="H2004" s="8"/>
      <c r="I2004" s="10"/>
      <c r="J2004" s="10"/>
      <c r="K2004" s="18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</row>
    <row r="2005" ht="14.25" customHeight="1">
      <c r="A2005" s="9"/>
      <c r="B2005" s="8"/>
      <c r="C2005" s="8"/>
      <c r="D2005" s="8"/>
      <c r="E2005" s="8"/>
      <c r="F2005" s="8"/>
      <c r="G2005" s="8"/>
      <c r="H2005" s="8"/>
      <c r="I2005" s="10"/>
      <c r="J2005" s="10"/>
      <c r="K2005" s="18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</row>
    <row r="2006" ht="14.25" customHeight="1">
      <c r="A2006" s="9"/>
      <c r="B2006" s="8"/>
      <c r="C2006" s="8"/>
      <c r="D2006" s="8"/>
      <c r="E2006" s="8"/>
      <c r="F2006" s="8"/>
      <c r="G2006" s="8"/>
      <c r="H2006" s="8"/>
      <c r="I2006" s="10"/>
      <c r="J2006" s="10"/>
      <c r="K2006" s="18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</row>
    <row r="2007" ht="14.25" customHeight="1">
      <c r="A2007" s="9"/>
      <c r="B2007" s="8"/>
      <c r="C2007" s="8"/>
      <c r="D2007" s="8"/>
      <c r="E2007" s="8"/>
      <c r="F2007" s="8"/>
      <c r="G2007" s="8"/>
      <c r="H2007" s="8"/>
      <c r="I2007" s="10"/>
      <c r="J2007" s="10"/>
      <c r="K2007" s="18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</row>
    <row r="2008" ht="14.25" customHeight="1">
      <c r="A2008" s="9"/>
      <c r="B2008" s="8"/>
      <c r="C2008" s="8"/>
      <c r="D2008" s="8"/>
      <c r="E2008" s="8"/>
      <c r="F2008" s="8"/>
      <c r="G2008" s="8"/>
      <c r="H2008" s="8"/>
      <c r="I2008" s="10"/>
      <c r="J2008" s="10"/>
      <c r="K2008" s="18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</row>
    <row r="2009" ht="14.25" customHeight="1">
      <c r="A2009" s="9"/>
      <c r="B2009" s="8"/>
      <c r="C2009" s="8"/>
      <c r="D2009" s="8"/>
      <c r="E2009" s="8"/>
      <c r="F2009" s="8"/>
      <c r="G2009" s="8"/>
      <c r="H2009" s="8"/>
      <c r="I2009" s="10"/>
      <c r="J2009" s="10"/>
      <c r="K2009" s="18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</row>
    <row r="2010" ht="14.25" customHeight="1">
      <c r="A2010" s="9"/>
      <c r="B2010" s="8"/>
      <c r="C2010" s="8"/>
      <c r="D2010" s="8"/>
      <c r="E2010" s="8"/>
      <c r="F2010" s="8"/>
      <c r="G2010" s="8"/>
      <c r="H2010" s="8"/>
      <c r="I2010" s="10"/>
      <c r="J2010" s="10"/>
      <c r="K2010" s="18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</row>
    <row r="2011" ht="14.25" customHeight="1">
      <c r="A2011" s="9"/>
      <c r="B2011" s="8"/>
      <c r="C2011" s="8"/>
      <c r="D2011" s="8"/>
      <c r="E2011" s="8"/>
      <c r="F2011" s="8"/>
      <c r="G2011" s="8"/>
      <c r="H2011" s="8"/>
      <c r="I2011" s="10"/>
      <c r="J2011" s="10"/>
      <c r="K2011" s="18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</row>
    <row r="2012" ht="14.25" customHeight="1">
      <c r="A2012" s="9"/>
      <c r="B2012" s="8"/>
      <c r="C2012" s="8"/>
      <c r="D2012" s="8"/>
      <c r="E2012" s="8"/>
      <c r="F2012" s="8"/>
      <c r="G2012" s="8"/>
      <c r="H2012" s="8"/>
      <c r="I2012" s="10"/>
      <c r="J2012" s="10"/>
      <c r="K2012" s="18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</row>
    <row r="2013" ht="14.25" customHeight="1">
      <c r="A2013" s="9"/>
      <c r="B2013" s="8"/>
      <c r="C2013" s="8"/>
      <c r="D2013" s="8"/>
      <c r="E2013" s="8"/>
      <c r="F2013" s="8"/>
      <c r="G2013" s="8"/>
      <c r="H2013" s="8"/>
      <c r="I2013" s="10"/>
      <c r="J2013" s="10"/>
      <c r="K2013" s="18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</row>
    <row r="2014" ht="14.25" customHeight="1">
      <c r="A2014" s="9"/>
      <c r="B2014" s="8"/>
      <c r="C2014" s="8"/>
      <c r="D2014" s="8"/>
      <c r="E2014" s="8"/>
      <c r="F2014" s="8"/>
      <c r="G2014" s="8"/>
      <c r="H2014" s="8"/>
      <c r="I2014" s="10"/>
      <c r="J2014" s="10"/>
      <c r="K2014" s="18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</row>
    <row r="2015" ht="14.25" customHeight="1">
      <c r="A2015" s="9"/>
      <c r="B2015" s="8"/>
      <c r="C2015" s="8"/>
      <c r="D2015" s="8"/>
      <c r="E2015" s="8"/>
      <c r="F2015" s="8"/>
      <c r="G2015" s="8"/>
      <c r="H2015" s="8"/>
      <c r="I2015" s="10"/>
      <c r="J2015" s="10"/>
      <c r="K2015" s="18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</row>
    <row r="2016" ht="14.25" customHeight="1">
      <c r="A2016" s="9"/>
      <c r="B2016" s="8"/>
      <c r="C2016" s="8"/>
      <c r="D2016" s="8"/>
      <c r="E2016" s="8"/>
      <c r="F2016" s="8"/>
      <c r="G2016" s="8"/>
      <c r="H2016" s="8"/>
      <c r="I2016" s="10"/>
      <c r="J2016" s="10"/>
      <c r="K2016" s="18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</row>
    <row r="2017" ht="14.25" customHeight="1">
      <c r="A2017" s="9"/>
      <c r="B2017" s="8"/>
      <c r="C2017" s="8"/>
      <c r="D2017" s="8"/>
      <c r="E2017" s="8"/>
      <c r="F2017" s="8"/>
      <c r="G2017" s="8"/>
      <c r="H2017" s="8"/>
      <c r="I2017" s="10"/>
      <c r="J2017" s="10"/>
      <c r="K2017" s="18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</row>
    <row r="2018" ht="14.25" customHeight="1">
      <c r="A2018" s="9"/>
      <c r="B2018" s="8"/>
      <c r="C2018" s="8"/>
      <c r="D2018" s="8"/>
      <c r="E2018" s="8"/>
      <c r="F2018" s="8"/>
      <c r="G2018" s="8"/>
      <c r="H2018" s="8"/>
      <c r="I2018" s="10"/>
      <c r="J2018" s="10"/>
      <c r="K2018" s="18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</row>
    <row r="2019" ht="14.25" customHeight="1">
      <c r="A2019" s="9"/>
      <c r="B2019" s="8"/>
      <c r="C2019" s="8"/>
      <c r="D2019" s="8"/>
      <c r="E2019" s="8"/>
      <c r="F2019" s="8"/>
      <c r="G2019" s="8"/>
      <c r="H2019" s="8"/>
      <c r="I2019" s="10"/>
      <c r="J2019" s="10"/>
      <c r="K2019" s="18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</row>
    <row r="2020" ht="14.25" customHeight="1">
      <c r="A2020" s="9"/>
      <c r="B2020" s="8"/>
      <c r="C2020" s="8"/>
      <c r="D2020" s="8"/>
      <c r="E2020" s="8"/>
      <c r="F2020" s="8"/>
      <c r="G2020" s="8"/>
      <c r="H2020" s="8"/>
      <c r="I2020" s="10"/>
      <c r="J2020" s="10"/>
      <c r="K2020" s="18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</row>
    <row r="2021" ht="14.25" customHeight="1">
      <c r="A2021" s="9"/>
      <c r="B2021" s="8"/>
      <c r="C2021" s="8"/>
      <c r="D2021" s="8"/>
      <c r="E2021" s="8"/>
      <c r="F2021" s="8"/>
      <c r="G2021" s="8"/>
      <c r="H2021" s="8"/>
      <c r="I2021" s="10"/>
      <c r="J2021" s="10"/>
      <c r="K2021" s="18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</row>
    <row r="2022" ht="14.25" customHeight="1">
      <c r="A2022" s="9"/>
      <c r="B2022" s="8"/>
      <c r="C2022" s="8"/>
      <c r="D2022" s="8"/>
      <c r="E2022" s="8"/>
      <c r="F2022" s="8"/>
      <c r="G2022" s="8"/>
      <c r="H2022" s="8"/>
      <c r="I2022" s="10"/>
      <c r="J2022" s="10"/>
      <c r="K2022" s="18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</row>
    <row r="2023" ht="14.25" customHeight="1">
      <c r="A2023" s="9"/>
      <c r="B2023" s="8"/>
      <c r="C2023" s="8"/>
      <c r="D2023" s="8"/>
      <c r="E2023" s="8"/>
      <c r="F2023" s="8"/>
      <c r="G2023" s="8"/>
      <c r="H2023" s="8"/>
      <c r="I2023" s="10"/>
      <c r="J2023" s="10"/>
      <c r="K2023" s="18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</row>
    <row r="2024" ht="14.25" customHeight="1">
      <c r="A2024" s="9"/>
      <c r="B2024" s="8"/>
      <c r="C2024" s="8"/>
      <c r="D2024" s="8"/>
      <c r="E2024" s="8"/>
      <c r="F2024" s="8"/>
      <c r="G2024" s="8"/>
      <c r="H2024" s="8"/>
      <c r="I2024" s="10"/>
      <c r="J2024" s="10"/>
      <c r="K2024" s="18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</row>
    <row r="2025" ht="14.25" customHeight="1">
      <c r="A2025" s="9"/>
      <c r="B2025" s="8"/>
      <c r="C2025" s="8"/>
      <c r="D2025" s="8"/>
      <c r="E2025" s="8"/>
      <c r="F2025" s="8"/>
      <c r="G2025" s="8"/>
      <c r="H2025" s="8"/>
      <c r="I2025" s="10"/>
      <c r="J2025" s="10"/>
      <c r="K2025" s="18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</row>
    <row r="2026" ht="14.25" customHeight="1">
      <c r="A2026" s="9"/>
      <c r="B2026" s="8"/>
      <c r="C2026" s="8"/>
      <c r="D2026" s="8"/>
      <c r="E2026" s="8"/>
      <c r="F2026" s="8"/>
      <c r="G2026" s="8"/>
      <c r="H2026" s="8"/>
      <c r="I2026" s="10"/>
      <c r="J2026" s="10"/>
      <c r="K2026" s="18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</row>
    <row r="2027" ht="14.25" customHeight="1">
      <c r="A2027" s="9"/>
      <c r="B2027" s="8"/>
      <c r="C2027" s="8"/>
      <c r="D2027" s="8"/>
      <c r="E2027" s="8"/>
      <c r="F2027" s="8"/>
      <c r="G2027" s="8"/>
      <c r="H2027" s="8"/>
      <c r="I2027" s="10"/>
      <c r="J2027" s="10"/>
      <c r="K2027" s="18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</row>
    <row r="2028" ht="14.25" customHeight="1">
      <c r="A2028" s="9"/>
      <c r="B2028" s="8"/>
      <c r="C2028" s="8"/>
      <c r="D2028" s="8"/>
      <c r="E2028" s="8"/>
      <c r="F2028" s="8"/>
      <c r="G2028" s="8"/>
      <c r="H2028" s="8"/>
      <c r="I2028" s="10"/>
      <c r="J2028" s="10"/>
      <c r="K2028" s="18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</row>
    <row r="2029" ht="14.25" customHeight="1">
      <c r="A2029" s="9"/>
      <c r="B2029" s="8"/>
      <c r="C2029" s="8"/>
      <c r="D2029" s="8"/>
      <c r="E2029" s="8"/>
      <c r="F2029" s="8"/>
      <c r="G2029" s="8"/>
      <c r="H2029" s="8"/>
      <c r="I2029" s="10"/>
      <c r="J2029" s="10"/>
      <c r="K2029" s="18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</row>
    <row r="2030" ht="14.25" customHeight="1">
      <c r="A2030" s="9"/>
      <c r="B2030" s="8"/>
      <c r="C2030" s="8"/>
      <c r="D2030" s="8"/>
      <c r="E2030" s="8"/>
      <c r="F2030" s="8"/>
      <c r="G2030" s="8"/>
      <c r="H2030" s="8"/>
      <c r="I2030" s="10"/>
      <c r="J2030" s="10"/>
      <c r="K2030" s="18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</row>
    <row r="2031" ht="14.25" customHeight="1">
      <c r="A2031" s="9"/>
      <c r="B2031" s="8"/>
      <c r="C2031" s="8"/>
      <c r="D2031" s="8"/>
      <c r="E2031" s="8"/>
      <c r="F2031" s="8"/>
      <c r="G2031" s="8"/>
      <c r="H2031" s="8"/>
      <c r="I2031" s="10"/>
      <c r="J2031" s="10"/>
      <c r="K2031" s="18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</row>
    <row r="2032" ht="14.25" customHeight="1">
      <c r="A2032" s="9"/>
      <c r="B2032" s="8"/>
      <c r="C2032" s="8"/>
      <c r="D2032" s="8"/>
      <c r="E2032" s="8"/>
      <c r="F2032" s="8"/>
      <c r="G2032" s="8"/>
      <c r="H2032" s="8"/>
      <c r="I2032" s="10"/>
      <c r="J2032" s="10"/>
      <c r="K2032" s="18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</row>
    <row r="2033" ht="14.25" customHeight="1">
      <c r="A2033" s="9"/>
      <c r="B2033" s="8"/>
      <c r="C2033" s="8"/>
      <c r="D2033" s="8"/>
      <c r="E2033" s="8"/>
      <c r="F2033" s="8"/>
      <c r="G2033" s="8"/>
      <c r="H2033" s="8"/>
      <c r="I2033" s="10"/>
      <c r="J2033" s="10"/>
      <c r="K2033" s="18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</row>
    <row r="2034" ht="14.25" customHeight="1">
      <c r="A2034" s="9"/>
      <c r="B2034" s="8"/>
      <c r="C2034" s="8"/>
      <c r="D2034" s="8"/>
      <c r="E2034" s="8"/>
      <c r="F2034" s="8"/>
      <c r="G2034" s="8"/>
      <c r="H2034" s="8"/>
      <c r="I2034" s="10"/>
      <c r="J2034" s="10"/>
      <c r="K2034" s="18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</row>
    <row r="2035" ht="14.25" customHeight="1">
      <c r="A2035" s="9"/>
      <c r="B2035" s="8"/>
      <c r="C2035" s="8"/>
      <c r="D2035" s="8"/>
      <c r="E2035" s="8"/>
      <c r="F2035" s="8"/>
      <c r="G2035" s="8"/>
      <c r="H2035" s="8"/>
      <c r="I2035" s="10"/>
      <c r="J2035" s="10"/>
      <c r="K2035" s="18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</row>
    <row r="2036" ht="14.25" customHeight="1">
      <c r="A2036" s="9"/>
      <c r="B2036" s="8"/>
      <c r="C2036" s="8"/>
      <c r="D2036" s="8"/>
      <c r="E2036" s="8"/>
      <c r="F2036" s="8"/>
      <c r="G2036" s="8"/>
      <c r="H2036" s="8"/>
      <c r="I2036" s="10"/>
      <c r="J2036" s="10"/>
      <c r="K2036" s="18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</row>
    <row r="2037" ht="14.25" customHeight="1">
      <c r="A2037" s="9"/>
      <c r="B2037" s="8"/>
      <c r="C2037" s="8"/>
      <c r="D2037" s="8"/>
      <c r="E2037" s="8"/>
      <c r="F2037" s="8"/>
      <c r="G2037" s="8"/>
      <c r="H2037" s="8"/>
      <c r="I2037" s="10"/>
      <c r="J2037" s="10"/>
      <c r="K2037" s="18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</row>
    <row r="2038" ht="14.25" customHeight="1">
      <c r="A2038" s="9"/>
      <c r="B2038" s="8"/>
      <c r="C2038" s="8"/>
      <c r="D2038" s="8"/>
      <c r="E2038" s="8"/>
      <c r="F2038" s="8"/>
      <c r="G2038" s="8"/>
      <c r="H2038" s="8"/>
      <c r="I2038" s="10"/>
      <c r="J2038" s="10"/>
      <c r="K2038" s="18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</row>
    <row r="2039" ht="14.25" customHeight="1">
      <c r="A2039" s="9"/>
      <c r="B2039" s="8"/>
      <c r="C2039" s="8"/>
      <c r="D2039" s="8"/>
      <c r="E2039" s="8"/>
      <c r="F2039" s="8"/>
      <c r="G2039" s="8"/>
      <c r="H2039" s="8"/>
      <c r="I2039" s="10"/>
      <c r="J2039" s="10"/>
      <c r="K2039" s="18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</row>
    <row r="2040" ht="14.25" customHeight="1">
      <c r="A2040" s="9"/>
      <c r="B2040" s="8"/>
      <c r="C2040" s="8"/>
      <c r="D2040" s="8"/>
      <c r="E2040" s="8"/>
      <c r="F2040" s="8"/>
      <c r="G2040" s="8"/>
      <c r="H2040" s="8"/>
      <c r="I2040" s="10"/>
      <c r="J2040" s="10"/>
      <c r="K2040" s="18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</row>
    <row r="2041" ht="14.25" customHeight="1">
      <c r="A2041" s="9"/>
      <c r="B2041" s="8"/>
      <c r="C2041" s="8"/>
      <c r="D2041" s="8"/>
      <c r="E2041" s="8"/>
      <c r="F2041" s="8"/>
      <c r="G2041" s="8"/>
      <c r="H2041" s="8"/>
      <c r="I2041" s="10"/>
      <c r="J2041" s="10"/>
      <c r="K2041" s="18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</row>
    <row r="2042" ht="14.25" customHeight="1">
      <c r="A2042" s="9"/>
      <c r="B2042" s="8"/>
      <c r="C2042" s="8"/>
      <c r="D2042" s="8"/>
      <c r="E2042" s="8"/>
      <c r="F2042" s="8"/>
      <c r="G2042" s="8"/>
      <c r="H2042" s="8"/>
      <c r="I2042" s="10"/>
      <c r="J2042" s="10"/>
      <c r="K2042" s="18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</row>
    <row r="2043" ht="14.25" customHeight="1">
      <c r="A2043" s="9"/>
      <c r="B2043" s="8"/>
      <c r="C2043" s="8"/>
      <c r="D2043" s="8"/>
      <c r="E2043" s="8"/>
      <c r="F2043" s="8"/>
      <c r="G2043" s="8"/>
      <c r="H2043" s="8"/>
      <c r="I2043" s="10"/>
      <c r="J2043" s="10"/>
      <c r="K2043" s="18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</row>
    <row r="2044" ht="14.25" customHeight="1">
      <c r="A2044" s="9"/>
      <c r="B2044" s="8"/>
      <c r="C2044" s="8"/>
      <c r="D2044" s="8"/>
      <c r="E2044" s="8"/>
      <c r="F2044" s="8"/>
      <c r="G2044" s="8"/>
      <c r="H2044" s="8"/>
      <c r="I2044" s="10"/>
      <c r="J2044" s="10"/>
      <c r="K2044" s="18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</row>
    <row r="2045" ht="14.25" customHeight="1">
      <c r="A2045" s="9"/>
      <c r="B2045" s="8"/>
      <c r="C2045" s="8"/>
      <c r="D2045" s="8"/>
      <c r="E2045" s="8"/>
      <c r="F2045" s="8"/>
      <c r="G2045" s="8"/>
      <c r="H2045" s="8"/>
      <c r="I2045" s="10"/>
      <c r="J2045" s="10"/>
      <c r="K2045" s="18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</row>
    <row r="2046" ht="14.25" customHeight="1">
      <c r="A2046" s="9"/>
      <c r="B2046" s="8"/>
      <c r="C2046" s="8"/>
      <c r="D2046" s="8"/>
      <c r="E2046" s="8"/>
      <c r="F2046" s="8"/>
      <c r="G2046" s="8"/>
      <c r="H2046" s="8"/>
      <c r="I2046" s="10"/>
      <c r="J2046" s="10"/>
      <c r="K2046" s="18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</row>
    <row r="2047" ht="14.25" customHeight="1">
      <c r="A2047" s="9"/>
      <c r="B2047" s="8"/>
      <c r="C2047" s="8"/>
      <c r="D2047" s="8"/>
      <c r="E2047" s="8"/>
      <c r="F2047" s="8"/>
      <c r="G2047" s="8"/>
      <c r="H2047" s="8"/>
      <c r="I2047" s="10"/>
      <c r="J2047" s="10"/>
      <c r="K2047" s="18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</row>
    <row r="2048" ht="14.25" customHeight="1">
      <c r="A2048" s="9"/>
      <c r="B2048" s="8"/>
      <c r="C2048" s="8"/>
      <c r="D2048" s="8"/>
      <c r="E2048" s="8"/>
      <c r="F2048" s="8"/>
      <c r="G2048" s="8"/>
      <c r="H2048" s="8"/>
      <c r="I2048" s="10"/>
      <c r="J2048" s="10"/>
      <c r="K2048" s="18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</row>
    <row r="2049" ht="14.25" customHeight="1">
      <c r="A2049" s="9"/>
      <c r="B2049" s="8"/>
      <c r="C2049" s="8"/>
      <c r="D2049" s="8"/>
      <c r="E2049" s="8"/>
      <c r="F2049" s="8"/>
      <c r="G2049" s="8"/>
      <c r="H2049" s="8"/>
      <c r="I2049" s="10"/>
      <c r="J2049" s="10"/>
      <c r="K2049" s="18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</row>
    <row r="2050" ht="14.25" customHeight="1">
      <c r="A2050" s="9"/>
      <c r="B2050" s="8"/>
      <c r="C2050" s="8"/>
      <c r="D2050" s="8"/>
      <c r="E2050" s="8"/>
      <c r="F2050" s="8"/>
      <c r="G2050" s="8"/>
      <c r="H2050" s="8"/>
      <c r="I2050" s="10"/>
      <c r="J2050" s="10"/>
      <c r="K2050" s="18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</row>
    <row r="2051" ht="14.25" customHeight="1">
      <c r="A2051" s="9"/>
      <c r="B2051" s="8"/>
      <c r="C2051" s="8"/>
      <c r="D2051" s="8"/>
      <c r="E2051" s="8"/>
      <c r="F2051" s="8"/>
      <c r="G2051" s="8"/>
      <c r="H2051" s="8"/>
      <c r="I2051" s="10"/>
      <c r="J2051" s="10"/>
      <c r="K2051" s="18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</row>
    <row r="2052" ht="14.25" customHeight="1">
      <c r="A2052" s="9"/>
      <c r="B2052" s="8"/>
      <c r="C2052" s="8"/>
      <c r="D2052" s="8"/>
      <c r="E2052" s="8"/>
      <c r="F2052" s="8"/>
      <c r="G2052" s="8"/>
      <c r="H2052" s="8"/>
      <c r="I2052" s="10"/>
      <c r="J2052" s="10"/>
      <c r="K2052" s="18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</row>
    <row r="2053" ht="14.25" customHeight="1">
      <c r="A2053" s="9"/>
      <c r="B2053" s="8"/>
      <c r="C2053" s="8"/>
      <c r="D2053" s="8"/>
      <c r="E2053" s="8"/>
      <c r="F2053" s="8"/>
      <c r="G2053" s="8"/>
      <c r="H2053" s="8"/>
      <c r="I2053" s="10"/>
      <c r="J2053" s="10"/>
      <c r="K2053" s="18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</row>
    <row r="2054" ht="14.25" customHeight="1">
      <c r="A2054" s="9"/>
      <c r="B2054" s="8"/>
      <c r="C2054" s="8"/>
      <c r="D2054" s="8"/>
      <c r="E2054" s="8"/>
      <c r="F2054" s="8"/>
      <c r="G2054" s="8"/>
      <c r="H2054" s="8"/>
      <c r="I2054" s="10"/>
      <c r="J2054" s="10"/>
      <c r="K2054" s="18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</row>
    <row r="2055" ht="14.25" customHeight="1">
      <c r="A2055" s="9"/>
      <c r="B2055" s="8"/>
      <c r="C2055" s="8"/>
      <c r="D2055" s="8"/>
      <c r="E2055" s="8"/>
      <c r="F2055" s="8"/>
      <c r="G2055" s="8"/>
      <c r="H2055" s="8"/>
      <c r="I2055" s="10"/>
      <c r="J2055" s="10"/>
      <c r="K2055" s="18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</row>
    <row r="2056" ht="14.25" customHeight="1">
      <c r="A2056" s="9"/>
      <c r="B2056" s="8"/>
      <c r="C2056" s="8"/>
      <c r="D2056" s="8"/>
      <c r="E2056" s="8"/>
      <c r="F2056" s="8"/>
      <c r="G2056" s="8"/>
      <c r="H2056" s="8"/>
      <c r="I2056" s="10"/>
      <c r="J2056" s="10"/>
      <c r="K2056" s="18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</row>
    <row r="2057" ht="14.25" customHeight="1">
      <c r="A2057" s="9"/>
      <c r="B2057" s="8"/>
      <c r="C2057" s="8"/>
      <c r="D2057" s="8"/>
      <c r="E2057" s="8"/>
      <c r="F2057" s="8"/>
      <c r="G2057" s="8"/>
      <c r="H2057" s="8"/>
      <c r="I2057" s="10"/>
      <c r="J2057" s="10"/>
      <c r="K2057" s="18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</row>
    <row r="2058" ht="14.25" customHeight="1">
      <c r="A2058" s="9"/>
      <c r="B2058" s="8"/>
      <c r="C2058" s="8"/>
      <c r="D2058" s="8"/>
      <c r="E2058" s="8"/>
      <c r="F2058" s="8"/>
      <c r="G2058" s="8"/>
      <c r="H2058" s="8"/>
      <c r="I2058" s="10"/>
      <c r="J2058" s="10"/>
      <c r="K2058" s="18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</row>
    <row r="2059" ht="14.25" customHeight="1">
      <c r="A2059" s="9"/>
      <c r="B2059" s="8"/>
      <c r="C2059" s="8"/>
      <c r="D2059" s="8"/>
      <c r="E2059" s="8"/>
      <c r="F2059" s="8"/>
      <c r="G2059" s="8"/>
      <c r="H2059" s="8"/>
      <c r="I2059" s="10"/>
      <c r="J2059" s="10"/>
      <c r="K2059" s="18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</row>
    <row r="2060" ht="14.25" customHeight="1">
      <c r="A2060" s="9"/>
      <c r="B2060" s="8"/>
      <c r="C2060" s="8"/>
      <c r="D2060" s="8"/>
      <c r="E2060" s="8"/>
      <c r="F2060" s="8"/>
      <c r="G2060" s="8"/>
      <c r="H2060" s="8"/>
      <c r="I2060" s="10"/>
      <c r="J2060" s="10"/>
      <c r="K2060" s="18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</row>
    <row r="2061" ht="14.25" customHeight="1">
      <c r="A2061" s="9"/>
      <c r="B2061" s="8"/>
      <c r="C2061" s="8"/>
      <c r="D2061" s="8"/>
      <c r="E2061" s="8"/>
      <c r="F2061" s="8"/>
      <c r="G2061" s="8"/>
      <c r="H2061" s="8"/>
      <c r="I2061" s="10"/>
      <c r="J2061" s="10"/>
      <c r="K2061" s="18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</row>
    <row r="2062" ht="14.25" customHeight="1">
      <c r="A2062" s="9"/>
      <c r="B2062" s="8"/>
      <c r="C2062" s="8"/>
      <c r="D2062" s="8"/>
      <c r="E2062" s="8"/>
      <c r="F2062" s="8"/>
      <c r="G2062" s="8"/>
      <c r="H2062" s="8"/>
      <c r="I2062" s="10"/>
      <c r="J2062" s="10"/>
      <c r="K2062" s="18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</row>
    <row r="2063" ht="14.25" customHeight="1">
      <c r="A2063" s="9"/>
      <c r="B2063" s="8"/>
      <c r="C2063" s="8"/>
      <c r="D2063" s="8"/>
      <c r="E2063" s="8"/>
      <c r="F2063" s="8"/>
      <c r="G2063" s="8"/>
      <c r="H2063" s="8"/>
      <c r="I2063" s="10"/>
      <c r="J2063" s="10"/>
      <c r="K2063" s="18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</row>
    <row r="2064" ht="14.25" customHeight="1">
      <c r="A2064" s="9"/>
      <c r="B2064" s="8"/>
      <c r="C2064" s="8"/>
      <c r="D2064" s="8"/>
      <c r="E2064" s="8"/>
      <c r="F2064" s="8"/>
      <c r="G2064" s="8"/>
      <c r="H2064" s="8"/>
      <c r="I2064" s="10"/>
      <c r="J2064" s="10"/>
      <c r="K2064" s="18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</row>
    <row r="2065" ht="14.25" customHeight="1">
      <c r="A2065" s="9"/>
      <c r="B2065" s="8"/>
      <c r="C2065" s="8"/>
      <c r="D2065" s="8"/>
      <c r="E2065" s="8"/>
      <c r="F2065" s="8"/>
      <c r="G2065" s="8"/>
      <c r="H2065" s="8"/>
      <c r="I2065" s="10"/>
      <c r="J2065" s="10"/>
      <c r="K2065" s="18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</row>
    <row r="2066" ht="14.25" customHeight="1">
      <c r="A2066" s="9"/>
      <c r="B2066" s="8"/>
      <c r="C2066" s="8"/>
      <c r="D2066" s="8"/>
      <c r="E2066" s="8"/>
      <c r="F2066" s="8"/>
      <c r="G2066" s="8"/>
      <c r="H2066" s="8"/>
      <c r="I2066" s="10"/>
      <c r="J2066" s="10"/>
      <c r="K2066" s="18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</row>
    <row r="2067" ht="14.25" customHeight="1">
      <c r="A2067" s="9"/>
      <c r="B2067" s="8"/>
      <c r="C2067" s="8"/>
      <c r="D2067" s="8"/>
      <c r="E2067" s="8"/>
      <c r="F2067" s="8"/>
      <c r="G2067" s="8"/>
      <c r="H2067" s="8"/>
      <c r="I2067" s="10"/>
      <c r="J2067" s="10"/>
      <c r="K2067" s="18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</row>
    <row r="2068" ht="14.25" customHeight="1">
      <c r="A2068" s="9"/>
      <c r="B2068" s="8"/>
      <c r="C2068" s="8"/>
      <c r="D2068" s="8"/>
      <c r="E2068" s="8"/>
      <c r="F2068" s="8"/>
      <c r="G2068" s="8"/>
      <c r="H2068" s="8"/>
      <c r="I2068" s="10"/>
      <c r="J2068" s="10"/>
      <c r="K2068" s="18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</row>
    <row r="2069" ht="14.25" customHeight="1">
      <c r="A2069" s="9"/>
      <c r="B2069" s="8"/>
      <c r="C2069" s="8"/>
      <c r="D2069" s="8"/>
      <c r="E2069" s="8"/>
      <c r="F2069" s="8"/>
      <c r="G2069" s="8"/>
      <c r="H2069" s="8"/>
      <c r="I2069" s="10"/>
      <c r="J2069" s="10"/>
      <c r="K2069" s="18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</row>
    <row r="2070" ht="14.25" customHeight="1">
      <c r="A2070" s="9"/>
      <c r="B2070" s="8"/>
      <c r="C2070" s="8"/>
      <c r="D2070" s="8"/>
      <c r="E2070" s="8"/>
      <c r="F2070" s="8"/>
      <c r="G2070" s="8"/>
      <c r="H2070" s="8"/>
      <c r="I2070" s="10"/>
      <c r="J2070" s="10"/>
      <c r="K2070" s="18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</row>
    <row r="2071" ht="14.25" customHeight="1">
      <c r="A2071" s="9"/>
      <c r="B2071" s="8"/>
      <c r="C2071" s="8"/>
      <c r="D2071" s="8"/>
      <c r="E2071" s="8"/>
      <c r="F2071" s="8"/>
      <c r="G2071" s="8"/>
      <c r="H2071" s="8"/>
      <c r="I2071" s="10"/>
      <c r="J2071" s="10"/>
      <c r="K2071" s="18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</row>
    <row r="2072" ht="14.25" customHeight="1">
      <c r="A2072" s="9"/>
      <c r="B2072" s="8"/>
      <c r="C2072" s="8"/>
      <c r="D2072" s="8"/>
      <c r="E2072" s="8"/>
      <c r="F2072" s="8"/>
      <c r="G2072" s="8"/>
      <c r="H2072" s="8"/>
      <c r="I2072" s="10"/>
      <c r="J2072" s="10"/>
      <c r="K2072" s="18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</row>
    <row r="2073" ht="14.25" customHeight="1">
      <c r="A2073" s="9"/>
      <c r="B2073" s="8"/>
      <c r="C2073" s="8"/>
      <c r="D2073" s="8"/>
      <c r="E2073" s="8"/>
      <c r="F2073" s="8"/>
      <c r="G2073" s="8"/>
      <c r="H2073" s="8"/>
      <c r="I2073" s="10"/>
      <c r="J2073" s="10"/>
      <c r="K2073" s="18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</row>
    <row r="2074" ht="14.25" customHeight="1">
      <c r="A2074" s="9"/>
      <c r="B2074" s="8"/>
      <c r="C2074" s="8"/>
      <c r="D2074" s="8"/>
      <c r="E2074" s="8"/>
      <c r="F2074" s="8"/>
      <c r="G2074" s="8"/>
      <c r="H2074" s="8"/>
      <c r="I2074" s="10"/>
      <c r="J2074" s="10"/>
      <c r="K2074" s="18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</row>
    <row r="2075" ht="14.25" customHeight="1">
      <c r="A2075" s="9"/>
      <c r="B2075" s="8"/>
      <c r="C2075" s="8"/>
      <c r="D2075" s="8"/>
      <c r="E2075" s="8"/>
      <c r="F2075" s="8"/>
      <c r="G2075" s="8"/>
      <c r="H2075" s="8"/>
      <c r="I2075" s="10"/>
      <c r="J2075" s="10"/>
      <c r="K2075" s="18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</row>
    <row r="2076" ht="14.25" customHeight="1">
      <c r="A2076" s="9"/>
      <c r="B2076" s="8"/>
      <c r="C2076" s="8"/>
      <c r="D2076" s="8"/>
      <c r="E2076" s="8"/>
      <c r="F2076" s="8"/>
      <c r="G2076" s="8"/>
      <c r="H2076" s="8"/>
      <c r="I2076" s="10"/>
      <c r="J2076" s="10"/>
      <c r="K2076" s="18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</row>
    <row r="2077" ht="14.25" customHeight="1">
      <c r="A2077" s="9"/>
      <c r="B2077" s="8"/>
      <c r="C2077" s="8"/>
      <c r="D2077" s="8"/>
      <c r="E2077" s="8"/>
      <c r="F2077" s="8"/>
      <c r="G2077" s="8"/>
      <c r="H2077" s="8"/>
      <c r="I2077" s="10"/>
      <c r="J2077" s="10"/>
      <c r="K2077" s="18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</row>
    <row r="2078" ht="14.25" customHeight="1">
      <c r="A2078" s="9"/>
      <c r="B2078" s="8"/>
      <c r="C2078" s="8"/>
      <c r="D2078" s="8"/>
      <c r="E2078" s="8"/>
      <c r="F2078" s="8"/>
      <c r="G2078" s="8"/>
      <c r="H2078" s="8"/>
      <c r="I2078" s="10"/>
      <c r="J2078" s="10"/>
      <c r="K2078" s="18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</row>
    <row r="2079" ht="14.25" customHeight="1">
      <c r="A2079" s="9"/>
      <c r="B2079" s="8"/>
      <c r="C2079" s="8"/>
      <c r="D2079" s="8"/>
      <c r="E2079" s="8"/>
      <c r="F2079" s="8"/>
      <c r="G2079" s="8"/>
      <c r="H2079" s="8"/>
      <c r="I2079" s="10"/>
      <c r="J2079" s="10"/>
      <c r="K2079" s="18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</row>
    <row r="2080" ht="14.25" customHeight="1">
      <c r="A2080" s="9"/>
      <c r="B2080" s="8"/>
      <c r="C2080" s="8"/>
      <c r="D2080" s="8"/>
      <c r="E2080" s="8"/>
      <c r="F2080" s="8"/>
      <c r="G2080" s="8"/>
      <c r="H2080" s="8"/>
      <c r="I2080" s="10"/>
      <c r="J2080" s="10"/>
      <c r="K2080" s="18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</row>
    <row r="2081" ht="14.25" customHeight="1">
      <c r="A2081" s="9"/>
      <c r="B2081" s="8"/>
      <c r="C2081" s="8"/>
      <c r="D2081" s="8"/>
      <c r="E2081" s="8"/>
      <c r="F2081" s="8"/>
      <c r="G2081" s="8"/>
      <c r="H2081" s="8"/>
      <c r="I2081" s="10"/>
      <c r="J2081" s="10"/>
      <c r="K2081" s="18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</row>
    <row r="2082" ht="14.25" customHeight="1">
      <c r="A2082" s="9"/>
      <c r="B2082" s="8"/>
      <c r="C2082" s="8"/>
      <c r="D2082" s="8"/>
      <c r="E2082" s="8"/>
      <c r="F2082" s="8"/>
      <c r="G2082" s="8"/>
      <c r="H2082" s="8"/>
      <c r="I2082" s="10"/>
      <c r="J2082" s="10"/>
      <c r="K2082" s="18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</row>
    <row r="2083" ht="14.25" customHeight="1">
      <c r="A2083" s="9"/>
      <c r="B2083" s="8"/>
      <c r="C2083" s="8"/>
      <c r="D2083" s="8"/>
      <c r="E2083" s="8"/>
      <c r="F2083" s="8"/>
      <c r="G2083" s="8"/>
      <c r="H2083" s="8"/>
      <c r="I2083" s="10"/>
      <c r="J2083" s="10"/>
      <c r="K2083" s="18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</row>
    <row r="2084" ht="14.25" customHeight="1">
      <c r="A2084" s="9"/>
      <c r="B2084" s="8"/>
      <c r="C2084" s="8"/>
      <c r="D2084" s="8"/>
      <c r="E2084" s="8"/>
      <c r="F2084" s="8"/>
      <c r="G2084" s="8"/>
      <c r="H2084" s="8"/>
      <c r="I2084" s="10"/>
      <c r="J2084" s="10"/>
      <c r="K2084" s="18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</row>
    <row r="2085" ht="14.25" customHeight="1">
      <c r="A2085" s="9"/>
      <c r="B2085" s="8"/>
      <c r="C2085" s="8"/>
      <c r="D2085" s="8"/>
      <c r="E2085" s="8"/>
      <c r="F2085" s="8"/>
      <c r="G2085" s="8"/>
      <c r="H2085" s="8"/>
      <c r="I2085" s="10"/>
      <c r="J2085" s="10"/>
      <c r="K2085" s="18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</row>
    <row r="2086" ht="14.25" customHeight="1">
      <c r="A2086" s="9"/>
      <c r="B2086" s="8"/>
      <c r="C2086" s="8"/>
      <c r="D2086" s="8"/>
      <c r="E2086" s="8"/>
      <c r="F2086" s="8"/>
      <c r="G2086" s="8"/>
      <c r="H2086" s="8"/>
      <c r="I2086" s="10"/>
      <c r="J2086" s="10"/>
      <c r="K2086" s="18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</row>
    <row r="2087" ht="14.25" customHeight="1">
      <c r="A2087" s="9"/>
      <c r="B2087" s="8"/>
      <c r="C2087" s="8"/>
      <c r="D2087" s="8"/>
      <c r="E2087" s="8"/>
      <c r="F2087" s="8"/>
      <c r="G2087" s="8"/>
      <c r="H2087" s="8"/>
      <c r="I2087" s="10"/>
      <c r="J2087" s="10"/>
      <c r="K2087" s="18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</row>
    <row r="2088" ht="14.25" customHeight="1">
      <c r="A2088" s="9"/>
      <c r="B2088" s="8"/>
      <c r="C2088" s="8"/>
      <c r="D2088" s="8"/>
      <c r="E2088" s="8"/>
      <c r="F2088" s="8"/>
      <c r="G2088" s="8"/>
      <c r="H2088" s="8"/>
      <c r="I2088" s="10"/>
      <c r="J2088" s="10"/>
      <c r="K2088" s="18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</row>
    <row r="2089" ht="14.25" customHeight="1">
      <c r="A2089" s="9"/>
      <c r="B2089" s="8"/>
      <c r="C2089" s="8"/>
      <c r="D2089" s="8"/>
      <c r="E2089" s="8"/>
      <c r="F2089" s="8"/>
      <c r="G2089" s="8"/>
      <c r="H2089" s="8"/>
      <c r="I2089" s="10"/>
      <c r="J2089" s="10"/>
      <c r="K2089" s="18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</row>
    <row r="2090" ht="14.25" customHeight="1">
      <c r="A2090" s="9"/>
      <c r="B2090" s="8"/>
      <c r="C2090" s="8"/>
      <c r="D2090" s="8"/>
      <c r="E2090" s="8"/>
      <c r="F2090" s="8"/>
      <c r="G2090" s="8"/>
      <c r="H2090" s="8"/>
      <c r="I2090" s="10"/>
      <c r="J2090" s="10"/>
      <c r="K2090" s="18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</row>
    <row r="2091" ht="14.25" customHeight="1">
      <c r="A2091" s="9"/>
      <c r="B2091" s="8"/>
      <c r="C2091" s="8"/>
      <c r="D2091" s="8"/>
      <c r="E2091" s="8"/>
      <c r="F2091" s="8"/>
      <c r="G2091" s="8"/>
      <c r="H2091" s="8"/>
      <c r="I2091" s="10"/>
      <c r="J2091" s="10"/>
      <c r="K2091" s="18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</row>
    <row r="2092" ht="14.25" customHeight="1">
      <c r="A2092" s="9"/>
      <c r="B2092" s="8"/>
      <c r="C2092" s="8"/>
      <c r="D2092" s="8"/>
      <c r="E2092" s="8"/>
      <c r="F2092" s="8"/>
      <c r="G2092" s="8"/>
      <c r="H2092" s="8"/>
      <c r="I2092" s="10"/>
      <c r="J2092" s="10"/>
      <c r="K2092" s="18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</row>
    <row r="2093" ht="14.25" customHeight="1">
      <c r="A2093" s="9"/>
      <c r="B2093" s="8"/>
      <c r="C2093" s="8"/>
      <c r="D2093" s="8"/>
      <c r="E2093" s="8"/>
      <c r="F2093" s="8"/>
      <c r="G2093" s="8"/>
      <c r="H2093" s="8"/>
      <c r="I2093" s="10"/>
      <c r="J2093" s="10"/>
      <c r="K2093" s="18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</row>
    <row r="2094" ht="14.25" customHeight="1">
      <c r="A2094" s="9"/>
      <c r="B2094" s="8"/>
      <c r="C2094" s="8"/>
      <c r="D2094" s="8"/>
      <c r="E2094" s="8"/>
      <c r="F2094" s="8"/>
      <c r="G2094" s="8"/>
      <c r="H2094" s="8"/>
      <c r="I2094" s="10"/>
      <c r="J2094" s="10"/>
      <c r="K2094" s="18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</row>
    <row r="2095" ht="14.25" customHeight="1">
      <c r="A2095" s="9"/>
      <c r="B2095" s="8"/>
      <c r="C2095" s="8"/>
      <c r="D2095" s="8"/>
      <c r="E2095" s="8"/>
      <c r="F2095" s="8"/>
      <c r="G2095" s="8"/>
      <c r="H2095" s="8"/>
      <c r="I2095" s="10"/>
      <c r="J2095" s="10"/>
      <c r="K2095" s="18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</row>
    <row r="2096" ht="14.25" customHeight="1">
      <c r="A2096" s="9"/>
      <c r="B2096" s="8"/>
      <c r="C2096" s="8"/>
      <c r="D2096" s="8"/>
      <c r="E2096" s="8"/>
      <c r="F2096" s="8"/>
      <c r="G2096" s="8"/>
      <c r="H2096" s="8"/>
      <c r="I2096" s="10"/>
      <c r="J2096" s="10"/>
      <c r="K2096" s="18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</row>
    <row r="2097" ht="14.25" customHeight="1">
      <c r="A2097" s="9"/>
      <c r="B2097" s="8"/>
      <c r="C2097" s="8"/>
      <c r="D2097" s="8"/>
      <c r="E2097" s="8"/>
      <c r="F2097" s="8"/>
      <c r="G2097" s="8"/>
      <c r="H2097" s="8"/>
      <c r="I2097" s="10"/>
      <c r="J2097" s="10"/>
      <c r="K2097" s="18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</row>
    <row r="2098" ht="14.25" customHeight="1">
      <c r="A2098" s="9"/>
      <c r="B2098" s="8"/>
      <c r="C2098" s="8"/>
      <c r="D2098" s="8"/>
      <c r="E2098" s="8"/>
      <c r="F2098" s="8"/>
      <c r="G2098" s="8"/>
      <c r="H2098" s="8"/>
      <c r="I2098" s="10"/>
      <c r="J2098" s="10"/>
      <c r="K2098" s="18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</row>
    <row r="2099" ht="14.25" customHeight="1">
      <c r="A2099" s="9"/>
      <c r="B2099" s="8"/>
      <c r="C2099" s="8"/>
      <c r="D2099" s="8"/>
      <c r="E2099" s="8"/>
      <c r="F2099" s="8"/>
      <c r="G2099" s="8"/>
      <c r="H2099" s="8"/>
      <c r="I2099" s="10"/>
      <c r="J2099" s="10"/>
      <c r="K2099" s="18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</row>
    <row r="2100" ht="14.25" customHeight="1">
      <c r="A2100" s="9"/>
      <c r="B2100" s="8"/>
      <c r="C2100" s="8"/>
      <c r="D2100" s="8"/>
      <c r="E2100" s="8"/>
      <c r="F2100" s="8"/>
      <c r="G2100" s="8"/>
      <c r="H2100" s="8"/>
      <c r="I2100" s="10"/>
      <c r="J2100" s="10"/>
      <c r="K2100" s="18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</row>
    <row r="2101" ht="14.25" customHeight="1">
      <c r="A2101" s="9"/>
      <c r="B2101" s="8"/>
      <c r="C2101" s="8"/>
      <c r="D2101" s="8"/>
      <c r="E2101" s="8"/>
      <c r="F2101" s="8"/>
      <c r="G2101" s="8"/>
      <c r="H2101" s="8"/>
      <c r="I2101" s="10"/>
      <c r="J2101" s="10"/>
      <c r="K2101" s="18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</row>
    <row r="2102" ht="14.25" customHeight="1">
      <c r="A2102" s="9"/>
      <c r="B2102" s="8"/>
      <c r="C2102" s="8"/>
      <c r="D2102" s="8"/>
      <c r="E2102" s="8"/>
      <c r="F2102" s="8"/>
      <c r="G2102" s="8"/>
      <c r="H2102" s="8"/>
      <c r="I2102" s="10"/>
      <c r="J2102" s="10"/>
      <c r="K2102" s="18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</row>
    <row r="2103" ht="14.25" customHeight="1">
      <c r="A2103" s="9"/>
      <c r="B2103" s="8"/>
      <c r="C2103" s="8"/>
      <c r="D2103" s="8"/>
      <c r="E2103" s="8"/>
      <c r="F2103" s="8"/>
      <c r="G2103" s="8"/>
      <c r="H2103" s="8"/>
      <c r="I2103" s="10"/>
      <c r="J2103" s="10"/>
      <c r="K2103" s="18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</row>
    <row r="2104" ht="14.25" customHeight="1">
      <c r="A2104" s="9"/>
      <c r="B2104" s="8"/>
      <c r="C2104" s="8"/>
      <c r="D2104" s="8"/>
      <c r="E2104" s="8"/>
      <c r="F2104" s="8"/>
      <c r="G2104" s="8"/>
      <c r="H2104" s="8"/>
      <c r="I2104" s="10"/>
      <c r="J2104" s="10"/>
      <c r="K2104" s="18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</row>
    <row r="2105" ht="14.25" customHeight="1">
      <c r="A2105" s="9"/>
      <c r="B2105" s="8"/>
      <c r="C2105" s="8"/>
      <c r="D2105" s="8"/>
      <c r="E2105" s="8"/>
      <c r="F2105" s="8"/>
      <c r="G2105" s="8"/>
      <c r="H2105" s="8"/>
      <c r="I2105" s="10"/>
      <c r="J2105" s="10"/>
      <c r="K2105" s="18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</row>
    <row r="2106" ht="14.25" customHeight="1">
      <c r="A2106" s="9"/>
      <c r="B2106" s="8"/>
      <c r="C2106" s="8"/>
      <c r="D2106" s="8"/>
      <c r="E2106" s="8"/>
      <c r="F2106" s="8"/>
      <c r="G2106" s="8"/>
      <c r="H2106" s="8"/>
      <c r="I2106" s="10"/>
      <c r="J2106" s="10"/>
      <c r="K2106" s="18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</row>
    <row r="2107" ht="14.25" customHeight="1">
      <c r="A2107" s="9"/>
      <c r="B2107" s="8"/>
      <c r="C2107" s="8"/>
      <c r="D2107" s="8"/>
      <c r="E2107" s="8"/>
      <c r="F2107" s="8"/>
      <c r="G2107" s="8"/>
      <c r="H2107" s="8"/>
      <c r="I2107" s="10"/>
      <c r="J2107" s="10"/>
      <c r="K2107" s="18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</row>
    <row r="2108" ht="14.25" customHeight="1">
      <c r="A2108" s="9"/>
      <c r="B2108" s="8"/>
      <c r="C2108" s="8"/>
      <c r="D2108" s="8"/>
      <c r="E2108" s="8"/>
      <c r="F2108" s="8"/>
      <c r="G2108" s="8"/>
      <c r="H2108" s="8"/>
      <c r="I2108" s="10"/>
      <c r="J2108" s="10"/>
      <c r="K2108" s="18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</row>
    <row r="2109" ht="14.25" customHeight="1">
      <c r="A2109" s="9"/>
      <c r="B2109" s="8"/>
      <c r="C2109" s="8"/>
      <c r="D2109" s="8"/>
      <c r="E2109" s="8"/>
      <c r="F2109" s="8"/>
      <c r="G2109" s="8"/>
      <c r="H2109" s="8"/>
      <c r="I2109" s="10"/>
      <c r="J2109" s="10"/>
      <c r="K2109" s="18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</row>
    <row r="2110" ht="14.25" customHeight="1">
      <c r="A2110" s="9"/>
      <c r="B2110" s="8"/>
      <c r="C2110" s="8"/>
      <c r="D2110" s="8"/>
      <c r="E2110" s="8"/>
      <c r="F2110" s="8"/>
      <c r="G2110" s="8"/>
      <c r="H2110" s="8"/>
      <c r="I2110" s="10"/>
      <c r="J2110" s="10"/>
      <c r="K2110" s="18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</row>
    <row r="2111" ht="14.25" customHeight="1">
      <c r="A2111" s="9"/>
      <c r="B2111" s="8"/>
      <c r="C2111" s="8"/>
      <c r="D2111" s="8"/>
      <c r="E2111" s="8"/>
      <c r="F2111" s="8"/>
      <c r="G2111" s="8"/>
      <c r="H2111" s="8"/>
      <c r="I2111" s="10"/>
      <c r="J2111" s="10"/>
      <c r="K2111" s="18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</row>
    <row r="2112" ht="14.25" customHeight="1">
      <c r="A2112" s="9"/>
      <c r="B2112" s="8"/>
      <c r="C2112" s="8"/>
      <c r="D2112" s="8"/>
      <c r="E2112" s="8"/>
      <c r="F2112" s="8"/>
      <c r="G2112" s="8"/>
      <c r="H2112" s="8"/>
      <c r="I2112" s="10"/>
      <c r="J2112" s="10"/>
      <c r="K2112" s="18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</row>
    <row r="2113" ht="14.25" customHeight="1">
      <c r="A2113" s="9"/>
      <c r="B2113" s="8"/>
      <c r="C2113" s="8"/>
      <c r="D2113" s="8"/>
      <c r="E2113" s="8"/>
      <c r="F2113" s="8"/>
      <c r="G2113" s="8"/>
      <c r="H2113" s="8"/>
      <c r="I2113" s="10"/>
      <c r="J2113" s="10"/>
      <c r="K2113" s="18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</row>
    <row r="2114" ht="14.25" customHeight="1">
      <c r="A2114" s="9"/>
      <c r="B2114" s="8"/>
      <c r="C2114" s="8"/>
      <c r="D2114" s="8"/>
      <c r="E2114" s="8"/>
      <c r="F2114" s="8"/>
      <c r="G2114" s="8"/>
      <c r="H2114" s="8"/>
      <c r="I2114" s="10"/>
      <c r="J2114" s="10"/>
      <c r="K2114" s="18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</row>
    <row r="2115" ht="14.25" customHeight="1">
      <c r="A2115" s="9"/>
      <c r="B2115" s="8"/>
      <c r="C2115" s="8"/>
      <c r="D2115" s="8"/>
      <c r="E2115" s="8"/>
      <c r="F2115" s="8"/>
      <c r="G2115" s="8"/>
      <c r="H2115" s="8"/>
      <c r="I2115" s="10"/>
      <c r="J2115" s="10"/>
      <c r="K2115" s="18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</row>
    <row r="2116" ht="14.25" customHeight="1">
      <c r="A2116" s="9"/>
      <c r="B2116" s="8"/>
      <c r="C2116" s="8"/>
      <c r="D2116" s="8"/>
      <c r="E2116" s="8"/>
      <c r="F2116" s="8"/>
      <c r="G2116" s="8"/>
      <c r="H2116" s="8"/>
      <c r="I2116" s="10"/>
      <c r="J2116" s="10"/>
      <c r="K2116" s="18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</row>
    <row r="2117" ht="14.25" customHeight="1">
      <c r="A2117" s="9"/>
      <c r="B2117" s="8"/>
      <c r="C2117" s="8"/>
      <c r="D2117" s="8"/>
      <c r="E2117" s="8"/>
      <c r="F2117" s="8"/>
      <c r="G2117" s="8"/>
      <c r="H2117" s="8"/>
      <c r="I2117" s="10"/>
      <c r="J2117" s="10"/>
      <c r="K2117" s="18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</row>
    <row r="2118" ht="14.25" customHeight="1">
      <c r="A2118" s="9"/>
      <c r="B2118" s="8"/>
      <c r="C2118" s="8"/>
      <c r="D2118" s="8"/>
      <c r="E2118" s="8"/>
      <c r="F2118" s="8"/>
      <c r="G2118" s="8"/>
      <c r="H2118" s="8"/>
      <c r="I2118" s="10"/>
      <c r="J2118" s="10"/>
      <c r="K2118" s="18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</row>
    <row r="2119" ht="14.25" customHeight="1">
      <c r="A2119" s="9"/>
      <c r="B2119" s="8"/>
      <c r="C2119" s="8"/>
      <c r="D2119" s="8"/>
      <c r="E2119" s="8"/>
      <c r="F2119" s="8"/>
      <c r="G2119" s="8"/>
      <c r="H2119" s="8"/>
      <c r="I2119" s="10"/>
      <c r="J2119" s="10"/>
      <c r="K2119" s="18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</row>
    <row r="2120" ht="14.25" customHeight="1">
      <c r="A2120" s="9"/>
      <c r="B2120" s="8"/>
      <c r="C2120" s="8"/>
      <c r="D2120" s="8"/>
      <c r="E2120" s="8"/>
      <c r="F2120" s="8"/>
      <c r="G2120" s="8"/>
      <c r="H2120" s="8"/>
      <c r="I2120" s="10"/>
      <c r="J2120" s="10"/>
      <c r="K2120" s="18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</row>
    <row r="2121" ht="14.25" customHeight="1">
      <c r="A2121" s="9"/>
      <c r="B2121" s="8"/>
      <c r="C2121" s="8"/>
      <c r="D2121" s="8"/>
      <c r="E2121" s="8"/>
      <c r="F2121" s="8"/>
      <c r="G2121" s="8"/>
      <c r="H2121" s="8"/>
      <c r="I2121" s="10"/>
      <c r="J2121" s="10"/>
      <c r="K2121" s="18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</row>
    <row r="2122" ht="14.25" customHeight="1">
      <c r="A2122" s="9"/>
      <c r="B2122" s="8"/>
      <c r="C2122" s="8"/>
      <c r="D2122" s="8"/>
      <c r="E2122" s="8"/>
      <c r="F2122" s="8"/>
      <c r="G2122" s="8"/>
      <c r="H2122" s="8"/>
      <c r="I2122" s="10"/>
      <c r="J2122" s="10"/>
      <c r="K2122" s="18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</row>
    <row r="2123" ht="14.25" customHeight="1">
      <c r="A2123" s="9"/>
      <c r="B2123" s="8"/>
      <c r="C2123" s="8"/>
      <c r="D2123" s="8"/>
      <c r="E2123" s="8"/>
      <c r="F2123" s="8"/>
      <c r="G2123" s="8"/>
      <c r="H2123" s="8"/>
      <c r="I2123" s="10"/>
      <c r="J2123" s="10"/>
      <c r="K2123" s="18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</row>
    <row r="2124" ht="14.25" customHeight="1">
      <c r="A2124" s="9"/>
      <c r="B2124" s="8"/>
      <c r="C2124" s="8"/>
      <c r="D2124" s="8"/>
      <c r="E2124" s="8"/>
      <c r="F2124" s="8"/>
      <c r="G2124" s="8"/>
      <c r="H2124" s="8"/>
      <c r="I2124" s="10"/>
      <c r="J2124" s="10"/>
      <c r="K2124" s="18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</row>
    <row r="2125" ht="14.25" customHeight="1">
      <c r="A2125" s="9"/>
      <c r="B2125" s="8"/>
      <c r="C2125" s="8"/>
      <c r="D2125" s="8"/>
      <c r="E2125" s="8"/>
      <c r="F2125" s="8"/>
      <c r="G2125" s="8"/>
      <c r="H2125" s="8"/>
      <c r="I2125" s="10"/>
      <c r="J2125" s="10"/>
      <c r="K2125" s="18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</row>
    <row r="2126" ht="14.25" customHeight="1">
      <c r="A2126" s="9"/>
      <c r="B2126" s="8"/>
      <c r="C2126" s="8"/>
      <c r="D2126" s="8"/>
      <c r="E2126" s="8"/>
      <c r="F2126" s="8"/>
      <c r="G2126" s="8"/>
      <c r="H2126" s="8"/>
      <c r="I2126" s="10"/>
      <c r="J2126" s="10"/>
      <c r="K2126" s="18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</row>
    <row r="2127" ht="14.25" customHeight="1">
      <c r="A2127" s="9"/>
      <c r="B2127" s="8"/>
      <c r="C2127" s="8"/>
      <c r="D2127" s="8"/>
      <c r="E2127" s="8"/>
      <c r="F2127" s="8"/>
      <c r="G2127" s="8"/>
      <c r="H2127" s="8"/>
      <c r="I2127" s="10"/>
      <c r="J2127" s="10"/>
      <c r="K2127" s="18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</row>
    <row r="2128" ht="14.25" customHeight="1">
      <c r="A2128" s="9"/>
      <c r="B2128" s="8"/>
      <c r="C2128" s="8"/>
      <c r="D2128" s="8"/>
      <c r="E2128" s="8"/>
      <c r="F2128" s="8"/>
      <c r="G2128" s="8"/>
      <c r="H2128" s="8"/>
      <c r="I2128" s="10"/>
      <c r="J2128" s="10"/>
      <c r="K2128" s="18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</row>
    <row r="2129" ht="14.25" customHeight="1">
      <c r="A2129" s="9"/>
      <c r="B2129" s="8"/>
      <c r="C2129" s="8"/>
      <c r="D2129" s="8"/>
      <c r="E2129" s="8"/>
      <c r="F2129" s="8"/>
      <c r="G2129" s="8"/>
      <c r="H2129" s="8"/>
      <c r="I2129" s="10"/>
      <c r="J2129" s="10"/>
      <c r="K2129" s="18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</row>
    <row r="2130" ht="14.25" customHeight="1">
      <c r="A2130" s="9"/>
      <c r="B2130" s="8"/>
      <c r="C2130" s="8"/>
      <c r="D2130" s="8"/>
      <c r="E2130" s="8"/>
      <c r="F2130" s="8"/>
      <c r="G2130" s="8"/>
      <c r="H2130" s="8"/>
      <c r="I2130" s="10"/>
      <c r="J2130" s="10"/>
      <c r="K2130" s="18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</row>
    <row r="2131" ht="14.25" customHeight="1">
      <c r="A2131" s="9"/>
      <c r="B2131" s="8"/>
      <c r="C2131" s="8"/>
      <c r="D2131" s="8"/>
      <c r="E2131" s="8"/>
      <c r="F2131" s="8"/>
      <c r="G2131" s="8"/>
      <c r="H2131" s="8"/>
      <c r="I2131" s="10"/>
      <c r="J2131" s="10"/>
      <c r="K2131" s="18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</row>
    <row r="2132" ht="14.25" customHeight="1">
      <c r="A2132" s="9"/>
      <c r="B2132" s="8"/>
      <c r="C2132" s="8"/>
      <c r="D2132" s="8"/>
      <c r="E2132" s="8"/>
      <c r="F2132" s="8"/>
      <c r="G2132" s="8"/>
      <c r="H2132" s="8"/>
      <c r="I2132" s="10"/>
      <c r="J2132" s="10"/>
      <c r="K2132" s="18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</row>
    <row r="2133" ht="14.25" customHeight="1">
      <c r="A2133" s="9"/>
      <c r="B2133" s="8"/>
      <c r="C2133" s="8"/>
      <c r="D2133" s="8"/>
      <c r="E2133" s="8"/>
      <c r="F2133" s="8"/>
      <c r="G2133" s="8"/>
      <c r="H2133" s="8"/>
      <c r="I2133" s="10"/>
      <c r="J2133" s="10"/>
      <c r="K2133" s="18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</row>
    <row r="2134" ht="14.25" customHeight="1">
      <c r="A2134" s="9"/>
      <c r="B2134" s="8"/>
      <c r="C2134" s="8"/>
      <c r="D2134" s="8"/>
      <c r="E2134" s="8"/>
      <c r="F2134" s="8"/>
      <c r="G2134" s="8"/>
      <c r="H2134" s="8"/>
      <c r="I2134" s="10"/>
      <c r="J2134" s="10"/>
      <c r="K2134" s="18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</row>
    <row r="2135" ht="14.25" customHeight="1">
      <c r="A2135" s="9"/>
      <c r="B2135" s="8"/>
      <c r="C2135" s="8"/>
      <c r="D2135" s="8"/>
      <c r="E2135" s="8"/>
      <c r="F2135" s="8"/>
      <c r="G2135" s="8"/>
      <c r="H2135" s="8"/>
      <c r="I2135" s="10"/>
      <c r="J2135" s="10"/>
      <c r="K2135" s="18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</row>
    <row r="2136" ht="14.25" customHeight="1">
      <c r="A2136" s="9"/>
      <c r="B2136" s="8"/>
      <c r="C2136" s="8"/>
      <c r="D2136" s="8"/>
      <c r="E2136" s="8"/>
      <c r="F2136" s="8"/>
      <c r="G2136" s="8"/>
      <c r="H2136" s="8"/>
      <c r="I2136" s="10"/>
      <c r="J2136" s="10"/>
      <c r="K2136" s="18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</row>
    <row r="2137" ht="14.25" customHeight="1">
      <c r="A2137" s="9"/>
      <c r="B2137" s="8"/>
      <c r="C2137" s="8"/>
      <c r="D2137" s="8"/>
      <c r="E2137" s="8"/>
      <c r="F2137" s="8"/>
      <c r="G2137" s="8"/>
      <c r="H2137" s="8"/>
      <c r="I2137" s="10"/>
      <c r="J2137" s="10"/>
      <c r="K2137" s="18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</row>
    <row r="2138" ht="14.25" customHeight="1">
      <c r="A2138" s="9"/>
      <c r="B2138" s="8"/>
      <c r="C2138" s="8"/>
      <c r="D2138" s="8"/>
      <c r="E2138" s="8"/>
      <c r="F2138" s="8"/>
      <c r="G2138" s="8"/>
      <c r="H2138" s="8"/>
      <c r="I2138" s="10"/>
      <c r="J2138" s="10"/>
      <c r="K2138" s="18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</row>
    <row r="2139" ht="14.25" customHeight="1">
      <c r="A2139" s="9"/>
      <c r="B2139" s="8"/>
      <c r="C2139" s="8"/>
      <c r="D2139" s="8"/>
      <c r="E2139" s="8"/>
      <c r="F2139" s="8"/>
      <c r="G2139" s="8"/>
      <c r="H2139" s="8"/>
      <c r="I2139" s="10"/>
      <c r="J2139" s="10"/>
      <c r="K2139" s="18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</row>
    <row r="2140" ht="14.25" customHeight="1">
      <c r="A2140" s="9"/>
      <c r="B2140" s="8"/>
      <c r="C2140" s="8"/>
      <c r="D2140" s="8"/>
      <c r="E2140" s="8"/>
      <c r="F2140" s="8"/>
      <c r="G2140" s="8"/>
      <c r="H2140" s="8"/>
      <c r="I2140" s="10"/>
      <c r="J2140" s="10"/>
      <c r="K2140" s="18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</row>
    <row r="2141" ht="14.25" customHeight="1">
      <c r="A2141" s="9"/>
      <c r="B2141" s="8"/>
      <c r="C2141" s="8"/>
      <c r="D2141" s="8"/>
      <c r="E2141" s="8"/>
      <c r="F2141" s="8"/>
      <c r="G2141" s="8"/>
      <c r="H2141" s="8"/>
      <c r="I2141" s="10"/>
      <c r="J2141" s="10"/>
      <c r="K2141" s="18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</row>
    <row r="2142" ht="14.25" customHeight="1">
      <c r="A2142" s="9"/>
      <c r="B2142" s="8"/>
      <c r="C2142" s="8"/>
      <c r="D2142" s="8"/>
      <c r="E2142" s="8"/>
      <c r="F2142" s="8"/>
      <c r="G2142" s="8"/>
      <c r="H2142" s="8"/>
      <c r="I2142" s="10"/>
      <c r="J2142" s="10"/>
      <c r="K2142" s="18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</row>
    <row r="2143" ht="14.25" customHeight="1">
      <c r="A2143" s="9"/>
      <c r="B2143" s="8"/>
      <c r="C2143" s="8"/>
      <c r="D2143" s="8"/>
      <c r="E2143" s="8"/>
      <c r="F2143" s="8"/>
      <c r="G2143" s="8"/>
      <c r="H2143" s="8"/>
      <c r="I2143" s="10"/>
      <c r="J2143" s="10"/>
      <c r="K2143" s="18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</row>
    <row r="2144" ht="14.25" customHeight="1">
      <c r="A2144" s="9"/>
      <c r="B2144" s="8"/>
      <c r="C2144" s="8"/>
      <c r="D2144" s="8"/>
      <c r="E2144" s="8"/>
      <c r="F2144" s="8"/>
      <c r="G2144" s="8"/>
      <c r="H2144" s="8"/>
      <c r="I2144" s="10"/>
      <c r="J2144" s="10"/>
      <c r="K2144" s="18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</row>
    <row r="2145" ht="14.25" customHeight="1">
      <c r="A2145" s="9"/>
      <c r="B2145" s="8"/>
      <c r="C2145" s="8"/>
      <c r="D2145" s="8"/>
      <c r="E2145" s="8"/>
      <c r="F2145" s="8"/>
      <c r="G2145" s="8"/>
      <c r="H2145" s="8"/>
      <c r="I2145" s="10"/>
      <c r="J2145" s="10"/>
      <c r="K2145" s="18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</row>
    <row r="2146" ht="14.25" customHeight="1">
      <c r="A2146" s="9"/>
      <c r="B2146" s="8"/>
      <c r="C2146" s="8"/>
      <c r="D2146" s="8"/>
      <c r="E2146" s="8"/>
      <c r="F2146" s="8"/>
      <c r="G2146" s="8"/>
      <c r="H2146" s="8"/>
      <c r="I2146" s="10"/>
      <c r="J2146" s="10"/>
      <c r="K2146" s="18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</row>
    <row r="2147" ht="14.25" customHeight="1">
      <c r="A2147" s="9"/>
      <c r="B2147" s="8"/>
      <c r="C2147" s="8"/>
      <c r="D2147" s="8"/>
      <c r="E2147" s="8"/>
      <c r="F2147" s="8"/>
      <c r="G2147" s="8"/>
      <c r="H2147" s="8"/>
      <c r="I2147" s="10"/>
      <c r="J2147" s="10"/>
      <c r="K2147" s="18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</row>
    <row r="2148" ht="14.25" customHeight="1">
      <c r="A2148" s="9"/>
      <c r="B2148" s="8"/>
      <c r="C2148" s="8"/>
      <c r="D2148" s="8"/>
      <c r="E2148" s="8"/>
      <c r="F2148" s="8"/>
      <c r="G2148" s="8"/>
      <c r="H2148" s="8"/>
      <c r="I2148" s="10"/>
      <c r="J2148" s="10"/>
      <c r="K2148" s="18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</row>
    <row r="2149" ht="14.25" customHeight="1">
      <c r="A2149" s="9"/>
      <c r="B2149" s="8"/>
      <c r="C2149" s="8"/>
      <c r="D2149" s="8"/>
      <c r="E2149" s="8"/>
      <c r="F2149" s="8"/>
      <c r="G2149" s="8"/>
      <c r="H2149" s="8"/>
      <c r="I2149" s="10"/>
      <c r="J2149" s="10"/>
      <c r="K2149" s="18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</row>
    <row r="2150" ht="14.25" customHeight="1">
      <c r="A2150" s="9"/>
      <c r="B2150" s="8"/>
      <c r="C2150" s="8"/>
      <c r="D2150" s="8"/>
      <c r="E2150" s="8"/>
      <c r="F2150" s="8"/>
      <c r="G2150" s="8"/>
      <c r="H2150" s="8"/>
      <c r="I2150" s="10"/>
      <c r="J2150" s="10"/>
      <c r="K2150" s="18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</row>
    <row r="2151" ht="14.25" customHeight="1">
      <c r="A2151" s="9"/>
      <c r="B2151" s="8"/>
      <c r="C2151" s="8"/>
      <c r="D2151" s="8"/>
      <c r="E2151" s="8"/>
      <c r="F2151" s="8"/>
      <c r="G2151" s="8"/>
      <c r="H2151" s="8"/>
      <c r="I2151" s="10"/>
      <c r="J2151" s="10"/>
      <c r="K2151" s="18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</row>
    <row r="2152" ht="14.25" customHeight="1">
      <c r="A2152" s="9"/>
      <c r="B2152" s="8"/>
      <c r="C2152" s="8"/>
      <c r="D2152" s="8"/>
      <c r="E2152" s="8"/>
      <c r="F2152" s="8"/>
      <c r="G2152" s="8"/>
      <c r="H2152" s="8"/>
      <c r="I2152" s="10"/>
      <c r="J2152" s="10"/>
      <c r="K2152" s="18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</row>
    <row r="2153" ht="14.25" customHeight="1">
      <c r="A2153" s="9"/>
      <c r="B2153" s="8"/>
      <c r="C2153" s="8"/>
      <c r="D2153" s="8"/>
      <c r="E2153" s="8"/>
      <c r="F2153" s="8"/>
      <c r="G2153" s="8"/>
      <c r="H2153" s="8"/>
      <c r="I2153" s="10"/>
      <c r="J2153" s="10"/>
      <c r="K2153" s="18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</row>
    <row r="2154" ht="14.25" customHeight="1">
      <c r="A2154" s="9"/>
      <c r="B2154" s="8"/>
      <c r="C2154" s="8"/>
      <c r="D2154" s="8"/>
      <c r="E2154" s="8"/>
      <c r="F2154" s="8"/>
      <c r="G2154" s="8"/>
      <c r="H2154" s="8"/>
      <c r="I2154" s="10"/>
      <c r="J2154" s="10"/>
      <c r="K2154" s="18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</row>
    <row r="2155" ht="14.25" customHeight="1">
      <c r="A2155" s="9"/>
      <c r="B2155" s="8"/>
      <c r="C2155" s="8"/>
      <c r="D2155" s="8"/>
      <c r="E2155" s="8"/>
      <c r="F2155" s="8"/>
      <c r="G2155" s="8"/>
      <c r="H2155" s="8"/>
      <c r="I2155" s="10"/>
      <c r="J2155" s="10"/>
      <c r="K2155" s="18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</row>
    <row r="2156" ht="14.25" customHeight="1">
      <c r="A2156" s="9"/>
      <c r="B2156" s="8"/>
      <c r="C2156" s="8"/>
      <c r="D2156" s="8"/>
      <c r="E2156" s="8"/>
      <c r="F2156" s="8"/>
      <c r="G2156" s="8"/>
      <c r="H2156" s="8"/>
      <c r="I2156" s="10"/>
      <c r="J2156" s="10"/>
      <c r="K2156" s="18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</row>
    <row r="2157" ht="14.25" customHeight="1">
      <c r="A2157" s="9"/>
      <c r="B2157" s="8"/>
      <c r="C2157" s="8"/>
      <c r="D2157" s="8"/>
      <c r="E2157" s="8"/>
      <c r="F2157" s="8"/>
      <c r="G2157" s="8"/>
      <c r="H2157" s="8"/>
      <c r="I2157" s="10"/>
      <c r="J2157" s="10"/>
      <c r="K2157" s="18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</row>
    <row r="2158" ht="14.25" customHeight="1">
      <c r="A2158" s="9"/>
      <c r="B2158" s="8"/>
      <c r="C2158" s="8"/>
      <c r="D2158" s="8"/>
      <c r="E2158" s="8"/>
      <c r="F2158" s="8"/>
      <c r="G2158" s="8"/>
      <c r="H2158" s="8"/>
      <c r="I2158" s="10"/>
      <c r="J2158" s="10"/>
      <c r="K2158" s="18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</row>
    <row r="2159" ht="14.25" customHeight="1">
      <c r="A2159" s="9"/>
      <c r="B2159" s="8"/>
      <c r="C2159" s="8"/>
      <c r="D2159" s="8"/>
      <c r="E2159" s="8"/>
      <c r="F2159" s="8"/>
      <c r="G2159" s="8"/>
      <c r="H2159" s="8"/>
      <c r="I2159" s="10"/>
      <c r="J2159" s="10"/>
      <c r="K2159" s="18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</row>
    <row r="2160" ht="14.25" customHeight="1">
      <c r="A2160" s="9"/>
      <c r="B2160" s="8"/>
      <c r="C2160" s="8"/>
      <c r="D2160" s="8"/>
      <c r="E2160" s="8"/>
      <c r="F2160" s="8"/>
      <c r="G2160" s="8"/>
      <c r="H2160" s="8"/>
      <c r="I2160" s="10"/>
      <c r="J2160" s="10"/>
      <c r="K2160" s="18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</row>
    <row r="2161" ht="14.25" customHeight="1">
      <c r="A2161" s="9"/>
      <c r="B2161" s="8"/>
      <c r="C2161" s="8"/>
      <c r="D2161" s="8"/>
      <c r="E2161" s="8"/>
      <c r="F2161" s="8"/>
      <c r="G2161" s="8"/>
      <c r="H2161" s="8"/>
      <c r="I2161" s="10"/>
      <c r="J2161" s="10"/>
      <c r="K2161" s="18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</row>
    <row r="2162" ht="14.25" customHeight="1">
      <c r="A2162" s="9"/>
      <c r="B2162" s="8"/>
      <c r="C2162" s="8"/>
      <c r="D2162" s="8"/>
      <c r="E2162" s="8"/>
      <c r="F2162" s="8"/>
      <c r="G2162" s="8"/>
      <c r="H2162" s="8"/>
      <c r="I2162" s="10"/>
      <c r="J2162" s="10"/>
      <c r="K2162" s="18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</row>
    <row r="2163" ht="14.25" customHeight="1">
      <c r="A2163" s="9"/>
      <c r="B2163" s="8"/>
      <c r="C2163" s="8"/>
      <c r="D2163" s="8"/>
      <c r="E2163" s="8"/>
      <c r="F2163" s="8"/>
      <c r="G2163" s="8"/>
      <c r="H2163" s="8"/>
      <c r="I2163" s="10"/>
      <c r="J2163" s="10"/>
      <c r="K2163" s="18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</row>
    <row r="2164" ht="14.25" customHeight="1">
      <c r="A2164" s="9"/>
      <c r="B2164" s="8"/>
      <c r="C2164" s="8"/>
      <c r="D2164" s="8"/>
      <c r="E2164" s="8"/>
      <c r="F2164" s="8"/>
      <c r="G2164" s="8"/>
      <c r="H2164" s="8"/>
      <c r="I2164" s="10"/>
      <c r="J2164" s="10"/>
      <c r="K2164" s="18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</row>
    <row r="2165" ht="14.25" customHeight="1">
      <c r="A2165" s="9"/>
      <c r="B2165" s="8"/>
      <c r="C2165" s="8"/>
      <c r="D2165" s="8"/>
      <c r="E2165" s="8"/>
      <c r="F2165" s="8"/>
      <c r="G2165" s="8"/>
      <c r="H2165" s="8"/>
      <c r="I2165" s="10"/>
      <c r="J2165" s="10"/>
      <c r="K2165" s="18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</row>
    <row r="2166" ht="14.25" customHeight="1">
      <c r="A2166" s="9"/>
      <c r="B2166" s="8"/>
      <c r="C2166" s="8"/>
      <c r="D2166" s="8"/>
      <c r="E2166" s="8"/>
      <c r="F2166" s="8"/>
      <c r="G2166" s="8"/>
      <c r="H2166" s="8"/>
      <c r="I2166" s="10"/>
      <c r="J2166" s="10"/>
      <c r="K2166" s="18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</row>
    <row r="2167" ht="14.25" customHeight="1">
      <c r="A2167" s="9"/>
      <c r="B2167" s="8"/>
      <c r="C2167" s="8"/>
      <c r="D2167" s="8"/>
      <c r="E2167" s="8"/>
      <c r="F2167" s="8"/>
      <c r="G2167" s="8"/>
      <c r="H2167" s="8"/>
      <c r="I2167" s="10"/>
      <c r="J2167" s="10"/>
      <c r="K2167" s="18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</row>
    <row r="2168" ht="14.25" customHeight="1">
      <c r="A2168" s="9"/>
      <c r="B2168" s="8"/>
      <c r="C2168" s="8"/>
      <c r="D2168" s="8"/>
      <c r="E2168" s="8"/>
      <c r="F2168" s="8"/>
      <c r="G2168" s="8"/>
      <c r="H2168" s="8"/>
      <c r="I2168" s="10"/>
      <c r="J2168" s="10"/>
      <c r="K2168" s="18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</row>
    <row r="2169" ht="14.25" customHeight="1">
      <c r="A2169" s="9"/>
      <c r="B2169" s="8"/>
      <c r="C2169" s="8"/>
      <c r="D2169" s="8"/>
      <c r="E2169" s="8"/>
      <c r="F2169" s="8"/>
      <c r="G2169" s="8"/>
      <c r="H2169" s="8"/>
      <c r="I2169" s="10"/>
      <c r="J2169" s="10"/>
      <c r="K2169" s="18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</row>
    <row r="2170" ht="14.25" customHeight="1">
      <c r="A2170" s="9"/>
      <c r="B2170" s="8"/>
      <c r="C2170" s="8"/>
      <c r="D2170" s="8"/>
      <c r="E2170" s="8"/>
      <c r="F2170" s="8"/>
      <c r="G2170" s="8"/>
      <c r="H2170" s="8"/>
      <c r="I2170" s="10"/>
      <c r="J2170" s="10"/>
      <c r="K2170" s="18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</row>
    <row r="2171" ht="14.25" customHeight="1">
      <c r="A2171" s="9"/>
      <c r="B2171" s="8"/>
      <c r="C2171" s="8"/>
      <c r="D2171" s="8"/>
      <c r="E2171" s="8"/>
      <c r="F2171" s="8"/>
      <c r="G2171" s="8"/>
      <c r="H2171" s="8"/>
      <c r="I2171" s="10"/>
      <c r="J2171" s="10"/>
      <c r="K2171" s="18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</row>
    <row r="2172" ht="14.25" customHeight="1">
      <c r="A2172" s="9"/>
      <c r="B2172" s="8"/>
      <c r="C2172" s="8"/>
      <c r="D2172" s="8"/>
      <c r="E2172" s="8"/>
      <c r="F2172" s="8"/>
      <c r="G2172" s="8"/>
      <c r="H2172" s="8"/>
      <c r="I2172" s="10"/>
      <c r="J2172" s="10"/>
      <c r="K2172" s="18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</row>
    <row r="2173" ht="14.25" customHeight="1">
      <c r="A2173" s="9"/>
      <c r="B2173" s="8"/>
      <c r="C2173" s="8"/>
      <c r="D2173" s="8"/>
      <c r="E2173" s="8"/>
      <c r="F2173" s="8"/>
      <c r="G2173" s="8"/>
      <c r="H2173" s="8"/>
      <c r="I2173" s="10"/>
      <c r="J2173" s="10"/>
      <c r="K2173" s="18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</row>
    <row r="2174" ht="14.25" customHeight="1">
      <c r="A2174" s="9"/>
      <c r="B2174" s="8"/>
      <c r="C2174" s="8"/>
      <c r="D2174" s="8"/>
      <c r="E2174" s="8"/>
      <c r="F2174" s="8"/>
      <c r="G2174" s="8"/>
      <c r="H2174" s="8"/>
      <c r="I2174" s="10"/>
      <c r="J2174" s="10"/>
      <c r="K2174" s="18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</row>
    <row r="2175" ht="14.25" customHeight="1">
      <c r="A2175" s="9"/>
      <c r="B2175" s="8"/>
      <c r="C2175" s="8"/>
      <c r="D2175" s="8"/>
      <c r="E2175" s="8"/>
      <c r="F2175" s="8"/>
      <c r="G2175" s="8"/>
      <c r="H2175" s="8"/>
      <c r="I2175" s="10"/>
      <c r="J2175" s="10"/>
      <c r="K2175" s="18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</row>
    <row r="2176" ht="14.25" customHeight="1">
      <c r="A2176" s="9"/>
      <c r="B2176" s="8"/>
      <c r="C2176" s="8"/>
      <c r="D2176" s="8"/>
      <c r="E2176" s="8"/>
      <c r="F2176" s="8"/>
      <c r="G2176" s="8"/>
      <c r="H2176" s="8"/>
      <c r="I2176" s="10"/>
      <c r="J2176" s="10"/>
      <c r="K2176" s="18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</row>
    <row r="2177" ht="14.25" customHeight="1">
      <c r="A2177" s="9"/>
      <c r="B2177" s="8"/>
      <c r="C2177" s="8"/>
      <c r="D2177" s="8"/>
      <c r="E2177" s="8"/>
      <c r="F2177" s="8"/>
      <c r="G2177" s="8"/>
      <c r="H2177" s="8"/>
      <c r="I2177" s="10"/>
      <c r="J2177" s="10"/>
      <c r="K2177" s="18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</row>
    <row r="2178" ht="14.25" customHeight="1">
      <c r="A2178" s="9"/>
      <c r="B2178" s="8"/>
      <c r="C2178" s="8"/>
      <c r="D2178" s="8"/>
      <c r="E2178" s="8"/>
      <c r="F2178" s="8"/>
      <c r="G2178" s="8"/>
      <c r="H2178" s="8"/>
      <c r="I2178" s="10"/>
      <c r="J2178" s="10"/>
      <c r="K2178" s="18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</row>
    <row r="2179" ht="14.25" customHeight="1">
      <c r="A2179" s="9"/>
      <c r="B2179" s="8"/>
      <c r="C2179" s="8"/>
      <c r="D2179" s="8"/>
      <c r="E2179" s="8"/>
      <c r="F2179" s="8"/>
      <c r="G2179" s="8"/>
      <c r="H2179" s="8"/>
      <c r="I2179" s="10"/>
      <c r="J2179" s="10"/>
      <c r="K2179" s="18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</row>
    <row r="2180" ht="14.25" customHeight="1">
      <c r="A2180" s="9"/>
      <c r="B2180" s="8"/>
      <c r="C2180" s="8"/>
      <c r="D2180" s="8"/>
      <c r="E2180" s="8"/>
      <c r="F2180" s="8"/>
      <c r="G2180" s="8"/>
      <c r="H2180" s="8"/>
      <c r="I2180" s="10"/>
      <c r="J2180" s="10"/>
      <c r="K2180" s="18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</row>
    <row r="2181" ht="14.25" customHeight="1">
      <c r="A2181" s="9"/>
      <c r="B2181" s="8"/>
      <c r="C2181" s="8"/>
      <c r="D2181" s="8"/>
      <c r="E2181" s="8"/>
      <c r="F2181" s="8"/>
      <c r="G2181" s="8"/>
      <c r="H2181" s="8"/>
      <c r="I2181" s="10"/>
      <c r="J2181" s="10"/>
      <c r="K2181" s="18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</row>
    <row r="2182" ht="14.25" customHeight="1">
      <c r="A2182" s="9"/>
      <c r="B2182" s="8"/>
      <c r="C2182" s="8"/>
      <c r="D2182" s="8"/>
      <c r="E2182" s="8"/>
      <c r="F2182" s="8"/>
      <c r="G2182" s="8"/>
      <c r="H2182" s="8"/>
      <c r="I2182" s="10"/>
      <c r="J2182" s="10"/>
      <c r="K2182" s="18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</row>
    <row r="2183" ht="14.25" customHeight="1">
      <c r="A2183" s="9"/>
      <c r="B2183" s="8"/>
      <c r="C2183" s="8"/>
      <c r="D2183" s="8"/>
      <c r="E2183" s="8"/>
      <c r="F2183" s="8"/>
      <c r="G2183" s="8"/>
      <c r="H2183" s="8"/>
      <c r="I2183" s="10"/>
      <c r="J2183" s="10"/>
      <c r="K2183" s="18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</row>
    <row r="2184" ht="14.25" customHeight="1">
      <c r="A2184" s="9"/>
      <c r="B2184" s="8"/>
      <c r="C2184" s="8"/>
      <c r="D2184" s="8"/>
      <c r="E2184" s="8"/>
      <c r="F2184" s="8"/>
      <c r="G2184" s="8"/>
      <c r="H2184" s="8"/>
      <c r="I2184" s="10"/>
      <c r="J2184" s="10"/>
      <c r="K2184" s="18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</row>
    <row r="2185" ht="14.25" customHeight="1">
      <c r="A2185" s="9"/>
      <c r="B2185" s="8"/>
      <c r="C2185" s="8"/>
      <c r="D2185" s="8"/>
      <c r="E2185" s="8"/>
      <c r="F2185" s="8"/>
      <c r="G2185" s="8"/>
      <c r="H2185" s="8"/>
      <c r="I2185" s="10"/>
      <c r="J2185" s="10"/>
      <c r="K2185" s="18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</row>
    <row r="2186" ht="14.25" customHeight="1">
      <c r="A2186" s="9"/>
      <c r="B2186" s="8"/>
      <c r="C2186" s="8"/>
      <c r="D2186" s="8"/>
      <c r="E2186" s="8"/>
      <c r="F2186" s="8"/>
      <c r="G2186" s="8"/>
      <c r="H2186" s="8"/>
      <c r="I2186" s="10"/>
      <c r="J2186" s="10"/>
      <c r="K2186" s="18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</row>
    <row r="2187" ht="14.25" customHeight="1">
      <c r="A2187" s="9"/>
      <c r="B2187" s="8"/>
      <c r="C2187" s="8"/>
      <c r="D2187" s="8"/>
      <c r="E2187" s="8"/>
      <c r="F2187" s="8"/>
      <c r="G2187" s="8"/>
      <c r="H2187" s="8"/>
      <c r="I2187" s="10"/>
      <c r="J2187" s="10"/>
      <c r="K2187" s="18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</row>
    <row r="2188" ht="14.25" customHeight="1">
      <c r="A2188" s="9"/>
      <c r="B2188" s="8"/>
      <c r="C2188" s="8"/>
      <c r="D2188" s="8"/>
      <c r="E2188" s="8"/>
      <c r="F2188" s="8"/>
      <c r="G2188" s="8"/>
      <c r="H2188" s="8"/>
      <c r="I2188" s="10"/>
      <c r="J2188" s="10"/>
      <c r="K2188" s="18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</row>
    <row r="2189" ht="14.25" customHeight="1">
      <c r="A2189" s="9"/>
      <c r="B2189" s="8"/>
      <c r="C2189" s="8"/>
      <c r="D2189" s="8"/>
      <c r="E2189" s="8"/>
      <c r="F2189" s="8"/>
      <c r="G2189" s="8"/>
      <c r="H2189" s="8"/>
      <c r="I2189" s="10"/>
      <c r="J2189" s="10"/>
      <c r="K2189" s="18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</row>
    <row r="2190" ht="14.25" customHeight="1">
      <c r="A2190" s="9"/>
      <c r="B2190" s="8"/>
      <c r="C2190" s="8"/>
      <c r="D2190" s="8"/>
      <c r="E2190" s="8"/>
      <c r="F2190" s="8"/>
      <c r="G2190" s="8"/>
      <c r="H2190" s="8"/>
      <c r="I2190" s="10"/>
      <c r="J2190" s="10"/>
      <c r="K2190" s="18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</row>
    <row r="2191" ht="14.25" customHeight="1">
      <c r="A2191" s="9"/>
      <c r="B2191" s="8"/>
      <c r="C2191" s="8"/>
      <c r="D2191" s="8"/>
      <c r="E2191" s="8"/>
      <c r="F2191" s="8"/>
      <c r="G2191" s="8"/>
      <c r="H2191" s="8"/>
      <c r="I2191" s="10"/>
      <c r="J2191" s="10"/>
      <c r="K2191" s="18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</row>
    <row r="2192" ht="14.25" customHeight="1">
      <c r="A2192" s="9"/>
      <c r="B2192" s="8"/>
      <c r="C2192" s="8"/>
      <c r="D2192" s="8"/>
      <c r="E2192" s="8"/>
      <c r="F2192" s="8"/>
      <c r="G2192" s="8"/>
      <c r="H2192" s="8"/>
      <c r="I2192" s="10"/>
      <c r="J2192" s="10"/>
      <c r="K2192" s="18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</row>
    <row r="2193" ht="14.25" customHeight="1">
      <c r="A2193" s="9"/>
      <c r="B2193" s="8"/>
      <c r="C2193" s="8"/>
      <c r="D2193" s="8"/>
      <c r="E2193" s="8"/>
      <c r="F2193" s="8"/>
      <c r="G2193" s="8"/>
      <c r="H2193" s="8"/>
      <c r="I2193" s="10"/>
      <c r="J2193" s="10"/>
      <c r="K2193" s="18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</row>
    <row r="2194" ht="14.25" customHeight="1">
      <c r="A2194" s="9"/>
      <c r="B2194" s="8"/>
      <c r="C2194" s="8"/>
      <c r="D2194" s="8"/>
      <c r="E2194" s="8"/>
      <c r="F2194" s="8"/>
      <c r="G2194" s="8"/>
      <c r="H2194" s="8"/>
      <c r="I2194" s="10"/>
      <c r="J2194" s="10"/>
      <c r="K2194" s="18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</row>
    <row r="2195" ht="14.25" customHeight="1">
      <c r="A2195" s="9"/>
      <c r="B2195" s="8"/>
      <c r="C2195" s="8"/>
      <c r="D2195" s="8"/>
      <c r="E2195" s="8"/>
      <c r="F2195" s="8"/>
      <c r="G2195" s="8"/>
      <c r="H2195" s="8"/>
      <c r="I2195" s="10"/>
      <c r="J2195" s="10"/>
      <c r="K2195" s="18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</row>
    <row r="2196" ht="14.25" customHeight="1">
      <c r="A2196" s="9"/>
      <c r="B2196" s="8"/>
      <c r="C2196" s="8"/>
      <c r="D2196" s="8"/>
      <c r="E2196" s="8"/>
      <c r="F2196" s="8"/>
      <c r="G2196" s="8"/>
      <c r="H2196" s="8"/>
      <c r="I2196" s="10"/>
      <c r="J2196" s="10"/>
      <c r="K2196" s="18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</row>
    <row r="2197" ht="14.25" customHeight="1">
      <c r="A2197" s="9"/>
      <c r="B2197" s="8"/>
      <c r="C2197" s="8"/>
      <c r="D2197" s="8"/>
      <c r="E2197" s="8"/>
      <c r="F2197" s="8"/>
      <c r="G2197" s="8"/>
      <c r="H2197" s="8"/>
      <c r="I2197" s="10"/>
      <c r="J2197" s="10"/>
      <c r="K2197" s="18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</row>
    <row r="2198" ht="14.25" customHeight="1">
      <c r="A2198" s="9"/>
      <c r="B2198" s="8"/>
      <c r="C2198" s="8"/>
      <c r="D2198" s="8"/>
      <c r="E2198" s="8"/>
      <c r="F2198" s="8"/>
      <c r="G2198" s="8"/>
      <c r="H2198" s="8"/>
      <c r="I2198" s="10"/>
      <c r="J2198" s="10"/>
      <c r="K2198" s="18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</row>
    <row r="2199" ht="14.25" customHeight="1">
      <c r="A2199" s="9"/>
      <c r="B2199" s="8"/>
      <c r="C2199" s="8"/>
      <c r="D2199" s="8"/>
      <c r="E2199" s="8"/>
      <c r="F2199" s="8"/>
      <c r="G2199" s="8"/>
      <c r="H2199" s="8"/>
      <c r="I2199" s="10"/>
      <c r="J2199" s="10"/>
      <c r="K2199" s="18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</row>
    <row r="2200" ht="14.25" customHeight="1">
      <c r="A2200" s="9"/>
      <c r="B2200" s="8"/>
      <c r="C2200" s="8"/>
      <c r="D2200" s="8"/>
      <c r="E2200" s="8"/>
      <c r="F2200" s="8"/>
      <c r="G2200" s="8"/>
      <c r="H2200" s="8"/>
      <c r="I2200" s="10"/>
      <c r="J2200" s="10"/>
      <c r="K2200" s="18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</row>
    <row r="2201" ht="14.25" customHeight="1">
      <c r="A2201" s="9"/>
      <c r="B2201" s="8"/>
      <c r="C2201" s="8"/>
      <c r="D2201" s="8"/>
      <c r="E2201" s="8"/>
      <c r="F2201" s="8"/>
      <c r="G2201" s="8"/>
      <c r="H2201" s="8"/>
      <c r="I2201" s="10"/>
      <c r="J2201" s="10"/>
      <c r="K2201" s="18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</row>
    <row r="2202" ht="14.25" customHeight="1">
      <c r="A2202" s="9"/>
      <c r="B2202" s="8"/>
      <c r="C2202" s="8"/>
      <c r="D2202" s="8"/>
      <c r="E2202" s="8"/>
      <c r="F2202" s="8"/>
      <c r="G2202" s="8"/>
      <c r="H2202" s="8"/>
      <c r="I2202" s="10"/>
      <c r="J2202" s="10"/>
      <c r="K2202" s="18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</row>
    <row r="2203" ht="14.25" customHeight="1">
      <c r="A2203" s="9"/>
      <c r="B2203" s="8"/>
      <c r="C2203" s="8"/>
      <c r="D2203" s="8"/>
      <c r="E2203" s="8"/>
      <c r="F2203" s="8"/>
      <c r="G2203" s="8"/>
      <c r="H2203" s="8"/>
      <c r="I2203" s="10"/>
      <c r="J2203" s="10"/>
      <c r="K2203" s="18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</row>
    <row r="2204" ht="14.25" customHeight="1">
      <c r="A2204" s="9"/>
      <c r="B2204" s="8"/>
      <c r="C2204" s="8"/>
      <c r="D2204" s="8"/>
      <c r="E2204" s="8"/>
      <c r="F2204" s="8"/>
      <c r="G2204" s="8"/>
      <c r="H2204" s="8"/>
      <c r="I2204" s="10"/>
      <c r="J2204" s="10"/>
      <c r="K2204" s="18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</row>
    <row r="2205" ht="14.25" customHeight="1">
      <c r="A2205" s="9"/>
      <c r="B2205" s="8"/>
      <c r="C2205" s="8"/>
      <c r="D2205" s="8"/>
      <c r="E2205" s="8"/>
      <c r="F2205" s="8"/>
      <c r="G2205" s="8"/>
      <c r="H2205" s="8"/>
      <c r="I2205" s="10"/>
      <c r="J2205" s="10"/>
      <c r="K2205" s="18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</row>
    <row r="2206" ht="14.25" customHeight="1">
      <c r="A2206" s="9"/>
      <c r="B2206" s="8"/>
      <c r="C2206" s="8"/>
      <c r="D2206" s="8"/>
      <c r="E2206" s="8"/>
      <c r="F2206" s="8"/>
      <c r="G2206" s="8"/>
      <c r="H2206" s="8"/>
      <c r="I2206" s="10"/>
      <c r="J2206" s="10"/>
      <c r="K2206" s="18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</row>
    <row r="2207" ht="14.25" customHeight="1">
      <c r="A2207" s="9"/>
      <c r="B2207" s="8"/>
      <c r="C2207" s="8"/>
      <c r="D2207" s="8"/>
      <c r="E2207" s="8"/>
      <c r="F2207" s="8"/>
      <c r="G2207" s="8"/>
      <c r="H2207" s="8"/>
      <c r="I2207" s="10"/>
      <c r="J2207" s="10"/>
      <c r="K2207" s="18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</row>
    <row r="2208" ht="14.25" customHeight="1">
      <c r="A2208" s="9"/>
      <c r="B2208" s="8"/>
      <c r="C2208" s="8"/>
      <c r="D2208" s="8"/>
      <c r="E2208" s="8"/>
      <c r="F2208" s="8"/>
      <c r="G2208" s="8"/>
      <c r="H2208" s="8"/>
      <c r="I2208" s="10"/>
      <c r="J2208" s="10"/>
      <c r="K2208" s="18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</row>
    <row r="2209" ht="14.25" customHeight="1">
      <c r="A2209" s="9"/>
      <c r="B2209" s="8"/>
      <c r="C2209" s="8"/>
      <c r="D2209" s="8"/>
      <c r="E2209" s="8"/>
      <c r="F2209" s="8"/>
      <c r="G2209" s="8"/>
      <c r="H2209" s="8"/>
      <c r="I2209" s="10"/>
      <c r="J2209" s="10"/>
      <c r="K2209" s="18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</row>
    <row r="2210" ht="14.25" customHeight="1">
      <c r="A2210" s="9"/>
      <c r="B2210" s="8"/>
      <c r="C2210" s="8"/>
      <c r="D2210" s="8"/>
      <c r="E2210" s="8"/>
      <c r="F2210" s="8"/>
      <c r="G2210" s="8"/>
      <c r="H2210" s="8"/>
      <c r="I2210" s="10"/>
      <c r="J2210" s="10"/>
      <c r="K2210" s="18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</row>
    <row r="2211" ht="14.25" customHeight="1">
      <c r="A2211" s="9"/>
      <c r="B2211" s="8"/>
      <c r="C2211" s="8"/>
      <c r="D2211" s="8"/>
      <c r="E2211" s="8"/>
      <c r="F2211" s="8"/>
      <c r="G2211" s="8"/>
      <c r="H2211" s="8"/>
      <c r="I2211" s="10"/>
      <c r="J2211" s="10"/>
      <c r="K2211" s="18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</row>
    <row r="2212" ht="14.25" customHeight="1">
      <c r="A2212" s="9"/>
      <c r="B2212" s="8"/>
      <c r="C2212" s="8"/>
      <c r="D2212" s="8"/>
      <c r="E2212" s="8"/>
      <c r="F2212" s="8"/>
      <c r="G2212" s="8"/>
      <c r="H2212" s="8"/>
      <c r="I2212" s="10"/>
      <c r="J2212" s="10"/>
      <c r="K2212" s="18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</row>
    <row r="2213" ht="14.25" customHeight="1">
      <c r="A2213" s="9"/>
      <c r="B2213" s="8"/>
      <c r="C2213" s="8"/>
      <c r="D2213" s="8"/>
      <c r="E2213" s="8"/>
      <c r="F2213" s="8"/>
      <c r="G2213" s="8"/>
      <c r="H2213" s="8"/>
      <c r="I2213" s="10"/>
      <c r="J2213" s="10"/>
      <c r="K2213" s="18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</row>
    <row r="2214" ht="14.25" customHeight="1">
      <c r="A2214" s="9"/>
      <c r="B2214" s="8"/>
      <c r="C2214" s="8"/>
      <c r="D2214" s="8"/>
      <c r="E2214" s="8"/>
      <c r="F2214" s="8"/>
      <c r="G2214" s="8"/>
      <c r="H2214" s="8"/>
      <c r="I2214" s="10"/>
      <c r="J2214" s="10"/>
      <c r="K2214" s="18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</row>
    <row r="2215" ht="14.25" customHeight="1">
      <c r="A2215" s="9"/>
      <c r="B2215" s="8"/>
      <c r="C2215" s="8"/>
      <c r="D2215" s="8"/>
      <c r="E2215" s="8"/>
      <c r="F2215" s="8"/>
      <c r="G2215" s="8"/>
      <c r="H2215" s="8"/>
      <c r="I2215" s="10"/>
      <c r="J2215" s="10"/>
      <c r="K2215" s="18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</row>
    <row r="2216" ht="14.25" customHeight="1">
      <c r="A2216" s="9"/>
      <c r="B2216" s="8"/>
      <c r="C2216" s="8"/>
      <c r="D2216" s="8"/>
      <c r="E2216" s="8"/>
      <c r="F2216" s="8"/>
      <c r="G2216" s="8"/>
      <c r="H2216" s="8"/>
      <c r="I2216" s="10"/>
      <c r="J2216" s="10"/>
      <c r="K2216" s="18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</row>
    <row r="2217" ht="14.25" customHeight="1">
      <c r="A2217" s="9"/>
      <c r="B2217" s="8"/>
      <c r="C2217" s="8"/>
      <c r="D2217" s="8"/>
      <c r="E2217" s="8"/>
      <c r="F2217" s="8"/>
      <c r="G2217" s="8"/>
      <c r="H2217" s="8"/>
      <c r="I2217" s="10"/>
      <c r="J2217" s="10"/>
      <c r="K2217" s="18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</row>
    <row r="2218" ht="14.25" customHeight="1">
      <c r="A2218" s="9"/>
      <c r="B2218" s="8"/>
      <c r="C2218" s="8"/>
      <c r="D2218" s="8"/>
      <c r="E2218" s="8"/>
      <c r="F2218" s="8"/>
      <c r="G2218" s="8"/>
      <c r="H2218" s="8"/>
      <c r="I2218" s="10"/>
      <c r="J2218" s="10"/>
      <c r="K2218" s="18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</row>
    <row r="2219" ht="14.25" customHeight="1">
      <c r="A2219" s="9"/>
      <c r="B2219" s="8"/>
      <c r="C2219" s="8"/>
      <c r="D2219" s="8"/>
      <c r="E2219" s="8"/>
      <c r="F2219" s="8"/>
      <c r="G2219" s="8"/>
      <c r="H2219" s="8"/>
      <c r="I2219" s="10"/>
      <c r="J2219" s="10"/>
      <c r="K2219" s="18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</row>
    <row r="2220" ht="14.25" customHeight="1">
      <c r="A2220" s="9"/>
      <c r="B2220" s="8"/>
      <c r="C2220" s="8"/>
      <c r="D2220" s="8"/>
      <c r="E2220" s="8"/>
      <c r="F2220" s="8"/>
      <c r="G2220" s="8"/>
      <c r="H2220" s="8"/>
      <c r="I2220" s="10"/>
      <c r="J2220" s="10"/>
      <c r="K2220" s="18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</row>
    <row r="2221" ht="14.25" customHeight="1">
      <c r="A2221" s="9"/>
      <c r="B2221" s="8"/>
      <c r="C2221" s="8"/>
      <c r="D2221" s="8"/>
      <c r="E2221" s="8"/>
      <c r="F2221" s="8"/>
      <c r="G2221" s="8"/>
      <c r="H2221" s="8"/>
      <c r="I2221" s="10"/>
      <c r="J2221" s="10"/>
      <c r="K2221" s="18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</row>
    <row r="2222" ht="14.25" customHeight="1">
      <c r="A2222" s="9"/>
      <c r="B2222" s="8"/>
      <c r="C2222" s="8"/>
      <c r="D2222" s="8"/>
      <c r="E2222" s="8"/>
      <c r="F2222" s="8"/>
      <c r="G2222" s="8"/>
      <c r="H2222" s="8"/>
      <c r="I2222" s="10"/>
      <c r="J2222" s="10"/>
      <c r="K2222" s="18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</row>
    <row r="2223" ht="14.25" customHeight="1">
      <c r="A2223" s="9"/>
      <c r="B2223" s="8"/>
      <c r="C2223" s="8"/>
      <c r="D2223" s="8"/>
      <c r="E2223" s="8"/>
      <c r="F2223" s="8"/>
      <c r="G2223" s="8"/>
      <c r="H2223" s="8"/>
      <c r="I2223" s="10"/>
      <c r="J2223" s="10"/>
      <c r="K2223" s="18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</row>
    <row r="2224" ht="14.25" customHeight="1">
      <c r="A2224" s="9"/>
      <c r="B2224" s="8"/>
      <c r="C2224" s="8"/>
      <c r="D2224" s="8"/>
      <c r="E2224" s="8"/>
      <c r="F2224" s="8"/>
      <c r="G2224" s="8"/>
      <c r="H2224" s="8"/>
      <c r="I2224" s="10"/>
      <c r="J2224" s="10"/>
      <c r="K2224" s="18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</row>
    <row r="2225" ht="14.25" customHeight="1">
      <c r="A2225" s="9"/>
      <c r="B2225" s="8"/>
      <c r="C2225" s="8"/>
      <c r="D2225" s="8"/>
      <c r="E2225" s="8"/>
      <c r="F2225" s="8"/>
      <c r="G2225" s="8"/>
      <c r="H2225" s="8"/>
      <c r="I2225" s="10"/>
      <c r="J2225" s="10"/>
      <c r="K2225" s="18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</row>
    <row r="2226" ht="14.25" customHeight="1">
      <c r="A2226" s="9"/>
      <c r="B2226" s="8"/>
      <c r="C2226" s="8"/>
      <c r="D2226" s="8"/>
      <c r="E2226" s="8"/>
      <c r="F2226" s="8"/>
      <c r="G2226" s="8"/>
      <c r="H2226" s="8"/>
      <c r="I2226" s="10"/>
      <c r="J2226" s="10"/>
      <c r="K2226" s="18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</row>
    <row r="2227" ht="14.25" customHeight="1">
      <c r="A2227" s="9"/>
      <c r="B2227" s="8"/>
      <c r="C2227" s="8"/>
      <c r="D2227" s="8"/>
      <c r="E2227" s="8"/>
      <c r="F2227" s="8"/>
      <c r="G2227" s="8"/>
      <c r="H2227" s="8"/>
      <c r="I2227" s="10"/>
      <c r="J2227" s="10"/>
      <c r="K2227" s="18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</row>
    <row r="2228" ht="14.25" customHeight="1">
      <c r="A2228" s="9"/>
      <c r="B2228" s="8"/>
      <c r="C2228" s="8"/>
      <c r="D2228" s="8"/>
      <c r="E2228" s="8"/>
      <c r="F2228" s="8"/>
      <c r="G2228" s="8"/>
      <c r="H2228" s="8"/>
      <c r="I2228" s="10"/>
      <c r="J2228" s="10"/>
      <c r="K2228" s="18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</row>
    <row r="2229" ht="14.25" customHeight="1">
      <c r="A2229" s="9"/>
      <c r="B2229" s="8"/>
      <c r="C2229" s="8"/>
      <c r="D2229" s="8"/>
      <c r="E2229" s="8"/>
      <c r="F2229" s="8"/>
      <c r="G2229" s="8"/>
      <c r="H2229" s="8"/>
      <c r="I2229" s="10"/>
      <c r="J2229" s="10"/>
      <c r="K2229" s="18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</row>
    <row r="2230" ht="14.25" customHeight="1">
      <c r="A2230" s="9"/>
      <c r="B2230" s="8"/>
      <c r="C2230" s="8"/>
      <c r="D2230" s="8"/>
      <c r="E2230" s="8"/>
      <c r="F2230" s="8"/>
      <c r="G2230" s="8"/>
      <c r="H2230" s="8"/>
      <c r="I2230" s="10"/>
      <c r="J2230" s="10"/>
      <c r="K2230" s="18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</row>
    <row r="2231" ht="14.25" customHeight="1">
      <c r="A2231" s="9"/>
      <c r="B2231" s="8"/>
      <c r="C2231" s="8"/>
      <c r="D2231" s="8"/>
      <c r="E2231" s="8"/>
      <c r="F2231" s="8"/>
      <c r="G2231" s="8"/>
      <c r="H2231" s="8"/>
      <c r="I2231" s="10"/>
      <c r="J2231" s="10"/>
      <c r="K2231" s="18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</row>
    <row r="2232" ht="14.25" customHeight="1">
      <c r="A2232" s="9"/>
      <c r="B2232" s="8"/>
      <c r="C2232" s="8"/>
      <c r="D2232" s="8"/>
      <c r="E2232" s="8"/>
      <c r="F2232" s="8"/>
      <c r="G2232" s="8"/>
      <c r="H2232" s="8"/>
      <c r="I2232" s="10"/>
      <c r="J2232" s="10"/>
      <c r="K2232" s="18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</row>
    <row r="2233" ht="14.25" customHeight="1">
      <c r="A2233" s="9"/>
      <c r="B2233" s="8"/>
      <c r="C2233" s="8"/>
      <c r="D2233" s="8"/>
      <c r="E2233" s="8"/>
      <c r="F2233" s="8"/>
      <c r="G2233" s="8"/>
      <c r="H2233" s="8"/>
      <c r="I2233" s="10"/>
      <c r="J2233" s="10"/>
      <c r="K2233" s="18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</row>
    <row r="2234" ht="14.25" customHeight="1">
      <c r="A2234" s="9"/>
      <c r="B2234" s="8"/>
      <c r="C2234" s="8"/>
      <c r="D2234" s="8"/>
      <c r="E2234" s="8"/>
      <c r="F2234" s="8"/>
      <c r="G2234" s="8"/>
      <c r="H2234" s="8"/>
      <c r="I2234" s="10"/>
      <c r="J2234" s="10"/>
      <c r="K2234" s="18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</row>
    <row r="2235" ht="14.25" customHeight="1">
      <c r="A2235" s="9"/>
      <c r="B2235" s="8"/>
      <c r="C2235" s="8"/>
      <c r="D2235" s="8"/>
      <c r="E2235" s="8"/>
      <c r="F2235" s="8"/>
      <c r="G2235" s="8"/>
      <c r="H2235" s="8"/>
      <c r="I2235" s="10"/>
      <c r="J2235" s="10"/>
      <c r="K2235" s="18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</row>
    <row r="2236" ht="14.25" customHeight="1">
      <c r="A2236" s="9"/>
      <c r="B2236" s="8"/>
      <c r="C2236" s="8"/>
      <c r="D2236" s="8"/>
      <c r="E2236" s="8"/>
      <c r="F2236" s="8"/>
      <c r="G2236" s="8"/>
      <c r="H2236" s="8"/>
      <c r="I2236" s="10"/>
      <c r="J2236" s="10"/>
      <c r="K2236" s="18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</row>
    <row r="2237" ht="14.25" customHeight="1">
      <c r="A2237" s="9"/>
      <c r="B2237" s="8"/>
      <c r="C2237" s="8"/>
      <c r="D2237" s="8"/>
      <c r="E2237" s="8"/>
      <c r="F2237" s="8"/>
      <c r="G2237" s="8"/>
      <c r="H2237" s="8"/>
      <c r="I2237" s="10"/>
      <c r="J2237" s="10"/>
      <c r="K2237" s="18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</row>
    <row r="2238" ht="14.25" customHeight="1">
      <c r="A2238" s="9"/>
      <c r="B2238" s="8"/>
      <c r="C2238" s="8"/>
      <c r="D2238" s="8"/>
      <c r="E2238" s="8"/>
      <c r="F2238" s="8"/>
      <c r="G2238" s="8"/>
      <c r="H2238" s="8"/>
      <c r="I2238" s="10"/>
      <c r="J2238" s="10"/>
      <c r="K2238" s="18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</row>
    <row r="2239" ht="14.25" customHeight="1">
      <c r="A2239" s="9"/>
      <c r="B2239" s="8"/>
      <c r="C2239" s="8"/>
      <c r="D2239" s="8"/>
      <c r="E2239" s="8"/>
      <c r="F2239" s="8"/>
      <c r="G2239" s="8"/>
      <c r="H2239" s="8"/>
      <c r="I2239" s="10"/>
      <c r="J2239" s="10"/>
      <c r="K2239" s="18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</row>
    <row r="2240" ht="14.25" customHeight="1">
      <c r="A2240" s="9"/>
      <c r="B2240" s="8"/>
      <c r="C2240" s="8"/>
      <c r="D2240" s="8"/>
      <c r="E2240" s="8"/>
      <c r="F2240" s="8"/>
      <c r="G2240" s="8"/>
      <c r="H2240" s="8"/>
      <c r="I2240" s="10"/>
      <c r="J2240" s="10"/>
      <c r="K2240" s="18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</row>
    <row r="2241" ht="14.25" customHeight="1">
      <c r="A2241" s="9"/>
      <c r="B2241" s="8"/>
      <c r="C2241" s="8"/>
      <c r="D2241" s="8"/>
      <c r="E2241" s="8"/>
      <c r="F2241" s="8"/>
      <c r="G2241" s="8"/>
      <c r="H2241" s="8"/>
      <c r="I2241" s="10"/>
      <c r="J2241" s="10"/>
      <c r="K2241" s="18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</row>
    <row r="2242" ht="14.25" customHeight="1">
      <c r="A2242" s="9"/>
      <c r="B2242" s="8"/>
      <c r="C2242" s="8"/>
      <c r="D2242" s="8"/>
      <c r="E2242" s="8"/>
      <c r="F2242" s="8"/>
      <c r="G2242" s="8"/>
      <c r="H2242" s="8"/>
      <c r="I2242" s="10"/>
      <c r="J2242" s="10"/>
      <c r="K2242" s="18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</row>
    <row r="2243" ht="14.25" customHeight="1">
      <c r="A2243" s="9"/>
      <c r="B2243" s="8"/>
      <c r="C2243" s="8"/>
      <c r="D2243" s="8"/>
      <c r="E2243" s="8"/>
      <c r="F2243" s="8"/>
      <c r="G2243" s="8"/>
      <c r="H2243" s="8"/>
      <c r="I2243" s="10"/>
      <c r="J2243" s="10"/>
      <c r="K2243" s="18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</row>
    <row r="2244" ht="14.25" customHeight="1">
      <c r="A2244" s="9"/>
      <c r="B2244" s="8"/>
      <c r="C2244" s="8"/>
      <c r="D2244" s="8"/>
      <c r="E2244" s="8"/>
      <c r="F2244" s="8"/>
      <c r="G2244" s="8"/>
      <c r="H2244" s="8"/>
      <c r="I2244" s="10"/>
      <c r="J2244" s="10"/>
      <c r="K2244" s="18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</row>
    <row r="2245" ht="14.25" customHeight="1">
      <c r="A2245" s="9"/>
      <c r="B2245" s="8"/>
      <c r="C2245" s="8"/>
      <c r="D2245" s="8"/>
      <c r="E2245" s="8"/>
      <c r="F2245" s="8"/>
      <c r="G2245" s="8"/>
      <c r="H2245" s="8"/>
      <c r="I2245" s="10"/>
      <c r="J2245" s="10"/>
      <c r="K2245" s="18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</row>
    <row r="2246" ht="14.25" customHeight="1">
      <c r="A2246" s="9"/>
      <c r="B2246" s="8"/>
      <c r="C2246" s="8"/>
      <c r="D2246" s="8"/>
      <c r="E2246" s="8"/>
      <c r="F2246" s="8"/>
      <c r="G2246" s="8"/>
      <c r="H2246" s="8"/>
      <c r="I2246" s="10"/>
      <c r="J2246" s="10"/>
      <c r="K2246" s="18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</row>
    <row r="2247" ht="14.25" customHeight="1">
      <c r="A2247" s="9"/>
      <c r="B2247" s="8"/>
      <c r="C2247" s="8"/>
      <c r="D2247" s="8"/>
      <c r="E2247" s="8"/>
      <c r="F2247" s="8"/>
      <c r="G2247" s="8"/>
      <c r="H2247" s="8"/>
      <c r="I2247" s="10"/>
      <c r="J2247" s="10"/>
      <c r="K2247" s="18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</row>
    <row r="2248" ht="14.25" customHeight="1">
      <c r="A2248" s="9"/>
      <c r="B2248" s="8"/>
      <c r="C2248" s="8"/>
      <c r="D2248" s="8"/>
      <c r="E2248" s="8"/>
      <c r="F2248" s="8"/>
      <c r="G2248" s="8"/>
      <c r="H2248" s="8"/>
      <c r="I2248" s="10"/>
      <c r="J2248" s="10"/>
      <c r="K2248" s="18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</row>
  </sheetData>
  <mergeCells count="1">
    <mergeCell ref="A1:J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3" width="21.57"/>
    <col customWidth="1" min="4" max="5" width="14.43"/>
    <col customWidth="1" min="6" max="6" width="35.86"/>
    <col customWidth="1" min="7" max="7" width="14.43"/>
    <col customWidth="1" min="8" max="8" width="25.86"/>
    <col customWidth="1" min="9" max="11" width="14.43"/>
    <col customWidth="1" min="12" max="26" width="8.71"/>
  </cols>
  <sheetData>
    <row r="1" ht="37.5" customHeight="1">
      <c r="A1" s="1" t="s">
        <v>1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4" t="str">
        <f>IFERROR(__xludf.DUMMYFUNCTION("query('MENS PRO  AA'!A2:L1298,""select A, B, C, D, E, F, G, H, I, J, K WHERE L = 2 ORDER BY A ASC"",1)"),"LAST")</f>
        <v>LAST</v>
      </c>
      <c r="B2" s="5" t="str">
        <f>IFERROR(__xludf.DUMMYFUNCTION("""COMPUTED_VALUE"""),"FIRST")</f>
        <v>FIRST</v>
      </c>
      <c r="C2" s="5" t="str">
        <f>IFERROR(__xludf.DUMMYFUNCTION("""COMPUTED_VALUE"""),"CITY")</f>
        <v>CITY</v>
      </c>
      <c r="D2" s="5" t="str">
        <f>IFERROR(__xludf.DUMMYFUNCTION("""COMPUTED_VALUE"""),"STATE")</f>
        <v>STATE</v>
      </c>
      <c r="E2" s="5" t="str">
        <f>IFERROR(__xludf.DUMMYFUNCTION("""COMPUTED_VALUE"""),"COUNTRY")</f>
        <v>COUNTRY</v>
      </c>
      <c r="F2" s="5" t="str">
        <f>IFERROR(__xludf.DUMMYFUNCTION("""COMPUTED_VALUE"""),"EVENT")</f>
        <v>EVENT</v>
      </c>
      <c r="G2" s="5" t="str">
        <f>IFERROR(__xludf.DUMMYFUNCTION("""COMPUTED_VALUE"""),"PLACE")</f>
        <v>PLACE</v>
      </c>
      <c r="H2" s="5" t="str">
        <f>IFERROR(__xludf.DUMMYFUNCTION("""COMPUTED_VALUE"""),"LOCATION")</f>
        <v>LOCATION</v>
      </c>
      <c r="I2" s="5" t="str">
        <f>IFERROR(__xludf.DUMMYFUNCTION("""COMPUTED_VALUE"""),"ON LIST")</f>
        <v>ON LIST</v>
      </c>
      <c r="J2" s="5" t="str">
        <f>IFERROR(__xludf.DUMMYFUNCTION("""COMPUTED_VALUE"""),"OFF AA LIST")</f>
        <v>OFF AA LIST</v>
      </c>
      <c r="K2" s="5" t="str">
        <f>IFERROR(__xludf.DUMMYFUNCTION("""COMPUTED_VALUE"""),"OFF PRO LIST")</f>
        <v>OFF PRO LIST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7" t="str">
        <f>IFERROR(__xludf.DUMMYFUNCTION("""COMPUTED_VALUE"""),"Agcaoili")</f>
        <v>Agcaoili</v>
      </c>
      <c r="B3" s="8" t="str">
        <f>IFERROR(__xludf.DUMMYFUNCTION("""COMPUTED_VALUE"""),"Reyn")</f>
        <v>Reyn</v>
      </c>
      <c r="C3" s="8" t="str">
        <f>IFERROR(__xludf.DUMMYFUNCTION("""COMPUTED_VALUE"""),"")</f>
        <v/>
      </c>
      <c r="D3" s="8" t="str">
        <f>IFERROR(__xludf.DUMMYFUNCTION("""COMPUTED_VALUE"""),"UNK")</f>
        <v>UNK</v>
      </c>
      <c r="E3" s="8" t="str">
        <f>IFERROR(__xludf.DUMMYFUNCTION("""COMPUTED_VALUE"""),"USA")</f>
        <v>USA</v>
      </c>
      <c r="F3" s="8" t="str">
        <f>IFERROR(__xludf.DUMMYFUNCTION("""COMPUTED_VALUE"""),"DL")</f>
        <v>DL</v>
      </c>
      <c r="G3" s="8" t="str">
        <f>IFERROR(__xludf.DUMMYFUNCTION("""COMPUTED_VALUE"""),"44th")</f>
        <v>44th</v>
      </c>
      <c r="H3" s="8" t="str">
        <f>IFERROR(__xludf.DUMMYFUNCTION("""COMPUTED_VALUE"""),"Dl 2018")</f>
        <v>Dl 2018</v>
      </c>
      <c r="I3" s="10">
        <f>IFERROR(__xludf.DUMMYFUNCTION("""COMPUTED_VALUE"""),43136.0)</f>
        <v>43136</v>
      </c>
      <c r="J3" s="10">
        <f>IFERROR(__xludf.DUMMYFUNCTION("""COMPUTED_VALUE"""),44348.0)</f>
        <v>44348</v>
      </c>
      <c r="K3" s="15">
        <f>IFERROR(__xludf.DUMMYFUNCTION("""COMPUTED_VALUE"""),45444.0)</f>
        <v>45444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9" t="str">
        <f>IFERROR(__xludf.DUMMYFUNCTION("""COMPUTED_VALUE"""),"Aizono")</f>
        <v>Aizono</v>
      </c>
      <c r="B4" s="8" t="str">
        <f>IFERROR(__xludf.DUMMYFUNCTION("""COMPUTED_VALUE"""),"Hideki")</f>
        <v>Hideki</v>
      </c>
      <c r="C4" s="8" t="str">
        <f>IFERROR(__xludf.DUMMYFUNCTION("""COMPUTED_VALUE"""),"")</f>
        <v/>
      </c>
      <c r="D4" s="8" t="str">
        <f>IFERROR(__xludf.DUMMYFUNCTION("""COMPUTED_VALUE"""),"UNK")</f>
        <v>UNK</v>
      </c>
      <c r="E4" s="8" t="str">
        <f>IFERROR(__xludf.DUMMYFUNCTION("""COMPUTED_VALUE"""),"Japan")</f>
        <v>Japan</v>
      </c>
      <c r="F4" s="8" t="str">
        <f>IFERROR(__xludf.DUMMYFUNCTION("""COMPUTED_VALUE"""),"DL")</f>
        <v>DL</v>
      </c>
      <c r="G4" s="8" t="str">
        <f>IFERROR(__xludf.DUMMYFUNCTION("""COMPUTED_VALUE"""),"25th")</f>
        <v>25th</v>
      </c>
      <c r="H4" s="8" t="str">
        <f>IFERROR(__xludf.DUMMYFUNCTION("""COMPUTED_VALUE"""),"DL 2018")</f>
        <v>DL 2018</v>
      </c>
      <c r="I4" s="10">
        <f>IFERROR(__xludf.DUMMYFUNCTION("""COMPUTED_VALUE"""),43136.0)</f>
        <v>43136</v>
      </c>
      <c r="J4" s="10">
        <f>IFERROR(__xludf.DUMMYFUNCTION("""COMPUTED_VALUE"""),44348.0)</f>
        <v>44348</v>
      </c>
      <c r="K4" s="15">
        <f>IFERROR(__xludf.DUMMYFUNCTION("""COMPUTED_VALUE"""),45444.0)</f>
        <v>45444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12" t="str">
        <f>IFERROR(__xludf.DUMMYFUNCTION("""COMPUTED_VALUE"""),"Ajiki")</f>
        <v>Ajiki</v>
      </c>
      <c r="B5" s="13" t="str">
        <f>IFERROR(__xludf.DUMMYFUNCTION("""COMPUTED_VALUE"""),"Kenichi")</f>
        <v>Kenichi</v>
      </c>
      <c r="C5" s="13" t="str">
        <f>IFERROR(__xludf.DUMMYFUNCTION("""COMPUTED_VALUE"""),"")</f>
        <v/>
      </c>
      <c r="D5" s="13" t="str">
        <f>IFERROR(__xludf.DUMMYFUNCTION("""COMPUTED_VALUE"""),"UNK")</f>
        <v>UNK</v>
      </c>
      <c r="E5" s="13" t="str">
        <f>IFERROR(__xludf.DUMMYFUNCTION("""COMPUTED_VALUE"""),"Japan")</f>
        <v>Japan</v>
      </c>
      <c r="F5" s="13" t="str">
        <f>IFERROR(__xludf.DUMMYFUNCTION("""COMPUTED_VALUE"""),"DL")</f>
        <v>DL</v>
      </c>
      <c r="G5" s="13" t="str">
        <f>IFERROR(__xludf.DUMMYFUNCTION("""COMPUTED_VALUE"""),"30th")</f>
        <v>30th</v>
      </c>
      <c r="H5" s="13" t="str">
        <f>IFERROR(__xludf.DUMMYFUNCTION("""COMPUTED_VALUE"""),"DL 2018")</f>
        <v>DL 2018</v>
      </c>
      <c r="I5" s="14">
        <f>IFERROR(__xludf.DUMMYFUNCTION("""COMPUTED_VALUE"""),43136.0)</f>
        <v>43136</v>
      </c>
      <c r="J5" s="14">
        <f>IFERROR(__xludf.DUMMYFUNCTION("""COMPUTED_VALUE"""),44348.0)</f>
        <v>44348</v>
      </c>
      <c r="K5" s="15">
        <f>IFERROR(__xludf.DUMMYFUNCTION("""COMPUTED_VALUE"""),45444.0)</f>
        <v>45444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9" t="str">
        <f>IFERROR(__xludf.DUMMYFUNCTION("""COMPUTED_VALUE"""),"Akamatsu")</f>
        <v>Akamatsu</v>
      </c>
      <c r="B6" s="8" t="str">
        <f>IFERROR(__xludf.DUMMYFUNCTION("""COMPUTED_VALUE"""),"Daisuke")</f>
        <v>Daisuke</v>
      </c>
      <c r="C6" s="8" t="str">
        <f>IFERROR(__xludf.DUMMYFUNCTION("""COMPUTED_VALUE"""),"")</f>
        <v/>
      </c>
      <c r="D6" s="8" t="str">
        <f>IFERROR(__xludf.DUMMYFUNCTION("""COMPUTED_VALUE"""),"UNK")</f>
        <v>UNK</v>
      </c>
      <c r="E6" s="8" t="str">
        <f>IFERROR(__xludf.DUMMYFUNCTION("""COMPUTED_VALUE"""),"Japan")</f>
        <v>Japan</v>
      </c>
      <c r="F6" s="8" t="str">
        <f>IFERROR(__xludf.DUMMYFUNCTION("""COMPUTED_VALUE"""),"DL")</f>
        <v>DL</v>
      </c>
      <c r="G6" s="8" t="str">
        <f>IFERROR(__xludf.DUMMYFUNCTION("""COMPUTED_VALUE"""),"30th")</f>
        <v>30th</v>
      </c>
      <c r="H6" s="8" t="str">
        <f>IFERROR(__xludf.DUMMYFUNCTION("""COMPUTED_VALUE"""),"DL 2018")</f>
        <v>DL 2018</v>
      </c>
      <c r="I6" s="10">
        <f>IFERROR(__xludf.DUMMYFUNCTION("""COMPUTED_VALUE"""),43136.0)</f>
        <v>43136</v>
      </c>
      <c r="J6" s="10">
        <f>IFERROR(__xludf.DUMMYFUNCTION("""COMPUTED_VALUE"""),44348.0)</f>
        <v>44348</v>
      </c>
      <c r="K6" s="15">
        <f>IFERROR(__xludf.DUMMYFUNCTION("""COMPUTED_VALUE"""),45444.0)</f>
        <v>45444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A7" s="9" t="str">
        <f>IFERROR(__xludf.DUMMYFUNCTION("""COMPUTED_VALUE"""),"Anderson")</f>
        <v>Anderson</v>
      </c>
      <c r="B7" s="8" t="str">
        <f>IFERROR(__xludf.DUMMYFUNCTION("""COMPUTED_VALUE"""),"Gary")</f>
        <v>Gary</v>
      </c>
      <c r="C7" s="8" t="str">
        <f>IFERROR(__xludf.DUMMYFUNCTION("""COMPUTED_VALUE"""),"")</f>
        <v/>
      </c>
      <c r="D7" s="8" t="str">
        <f>IFERROR(__xludf.DUMMYFUNCTION("""COMPUTED_VALUE"""),"UNK")</f>
        <v>UNK</v>
      </c>
      <c r="E7" s="8" t="str">
        <f>IFERROR(__xludf.DUMMYFUNCTION("""COMPUTED_VALUE"""),"Scotland")</f>
        <v>Scotland</v>
      </c>
      <c r="F7" s="8" t="str">
        <f>IFERROR(__xludf.DUMMYFUNCTION("""COMPUTED_VALUE"""),"PDC Merit Ranking")</f>
        <v>PDC Merit Ranking</v>
      </c>
      <c r="G7" s="8" t="str">
        <f>IFERROR(__xludf.DUMMYFUNCTION("""COMPUTED_VALUE"""),"4th")</f>
        <v>4th</v>
      </c>
      <c r="H7" s="8" t="str">
        <f>IFERROR(__xludf.DUMMYFUNCTION("""COMPUTED_VALUE"""),"PDC Merit Ranking")</f>
        <v>PDC Merit Ranking</v>
      </c>
      <c r="I7" s="10">
        <f>IFERROR(__xludf.DUMMYFUNCTION("""COMPUTED_VALUE"""),43132.0)</f>
        <v>43132</v>
      </c>
      <c r="J7" s="10">
        <f>IFERROR(__xludf.DUMMYFUNCTION("""COMPUTED_VALUE"""),44348.0)</f>
        <v>44348</v>
      </c>
      <c r="K7" s="15">
        <f>IFERROR(__xludf.DUMMYFUNCTION("""COMPUTED_VALUE"""),45444.0)</f>
        <v>45444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9" t="str">
        <f>IFERROR(__xludf.DUMMYFUNCTION("""COMPUTED_VALUE"""),"Anderson")</f>
        <v>Anderson</v>
      </c>
      <c r="B8" s="8" t="str">
        <f>IFERROR(__xludf.DUMMYFUNCTION("""COMPUTED_VALUE"""),"Kyle")</f>
        <v>Kyle</v>
      </c>
      <c r="C8" s="8" t="str">
        <f>IFERROR(__xludf.DUMMYFUNCTION("""COMPUTED_VALUE"""),"")</f>
        <v/>
      </c>
      <c r="D8" s="8" t="str">
        <f>IFERROR(__xludf.DUMMYFUNCTION("""COMPUTED_VALUE"""),"UNK")</f>
        <v>UNK</v>
      </c>
      <c r="E8" s="8" t="str">
        <f>IFERROR(__xludf.DUMMYFUNCTION("""COMPUTED_VALUE"""),"Australia")</f>
        <v>Australia</v>
      </c>
      <c r="F8" s="8" t="str">
        <f>IFERROR(__xludf.DUMMYFUNCTION("""COMPUTED_VALUE"""),"PDC Merit Ranking")</f>
        <v>PDC Merit Ranking</v>
      </c>
      <c r="G8" s="8" t="str">
        <f>IFERROR(__xludf.DUMMYFUNCTION("""COMPUTED_VALUE"""),"22th")</f>
        <v>22th</v>
      </c>
      <c r="H8" s="8" t="str">
        <f>IFERROR(__xludf.DUMMYFUNCTION("""COMPUTED_VALUE"""),"PDC Merit Ranking")</f>
        <v>PDC Merit Ranking</v>
      </c>
      <c r="I8" s="10">
        <f>IFERROR(__xludf.DUMMYFUNCTION("""COMPUTED_VALUE"""),43132.0)</f>
        <v>43132</v>
      </c>
      <c r="J8" s="10">
        <f>IFERROR(__xludf.DUMMYFUNCTION("""COMPUTED_VALUE"""),44348.0)</f>
        <v>44348</v>
      </c>
      <c r="K8" s="15">
        <f>IFERROR(__xludf.DUMMYFUNCTION("""COMPUTED_VALUE"""),45444.0)</f>
        <v>45444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4.25" customHeight="1">
      <c r="A9" s="9" t="str">
        <f>IFERROR(__xludf.DUMMYFUNCTION("""COMPUTED_VALUE"""),"Anderson, Jr.")</f>
        <v>Anderson, Jr.</v>
      </c>
      <c r="B9" s="8" t="str">
        <f>IFERROR(__xludf.DUMMYFUNCTION("""COMPUTED_VALUE"""),"William")</f>
        <v>William</v>
      </c>
      <c r="C9" s="8" t="str">
        <f>IFERROR(__xludf.DUMMYFUNCTION("""COMPUTED_VALUE"""),"")</f>
        <v/>
      </c>
      <c r="D9" s="8" t="str">
        <f>IFERROR(__xludf.DUMMYFUNCTION("""COMPUTED_VALUE"""),"UNK")</f>
        <v>UNK</v>
      </c>
      <c r="E9" s="8" t="str">
        <f>IFERROR(__xludf.DUMMYFUNCTION("""COMPUTED_VALUE"""),"USA")</f>
        <v>USA</v>
      </c>
      <c r="F9" s="8" t="str">
        <f>IFERROR(__xludf.DUMMYFUNCTION("""COMPUTED_VALUE"""),"ADO 2018")</f>
        <v>ADO 2018</v>
      </c>
      <c r="G9" s="8" t="str">
        <f>IFERROR(__xludf.DUMMYFUNCTION("""COMPUTED_VALUE"""),"20th")</f>
        <v>20th</v>
      </c>
      <c r="H9" s="8" t="str">
        <f>IFERROR(__xludf.DUMMYFUNCTION("""COMPUTED_VALUE"""),"ADO 2018")</f>
        <v>ADO 2018</v>
      </c>
      <c r="I9" s="10">
        <f>IFERROR(__xludf.DUMMYFUNCTION("""COMPUTED_VALUE"""),43132.0)</f>
        <v>43132</v>
      </c>
      <c r="J9" s="10">
        <f>IFERROR(__xludf.DUMMYFUNCTION("""COMPUTED_VALUE"""),44348.0)</f>
        <v>44348</v>
      </c>
      <c r="K9" s="15">
        <f>IFERROR(__xludf.DUMMYFUNCTION("""COMPUTED_VALUE"""),45444.0)</f>
        <v>45444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customHeight="1">
      <c r="A10" s="9" t="str">
        <f>IFERROR(__xludf.DUMMYFUNCTION("""COMPUTED_VALUE"""),"Arceno")</f>
        <v>Arceno</v>
      </c>
      <c r="B10" s="8" t="str">
        <f>IFERROR(__xludf.DUMMYFUNCTION("""COMPUTED_VALUE"""),"Prussian")</f>
        <v>Prussian</v>
      </c>
      <c r="C10" s="8" t="str">
        <f>IFERROR(__xludf.DUMMYFUNCTION("""COMPUTED_VALUE"""),"")</f>
        <v/>
      </c>
      <c r="D10" s="8" t="str">
        <f>IFERROR(__xludf.DUMMYFUNCTION("""COMPUTED_VALUE"""),"UNK")</f>
        <v>UNK</v>
      </c>
      <c r="E10" s="8" t="str">
        <f>IFERROR(__xludf.DUMMYFUNCTION("""COMPUTED_VALUE"""),"Philippines")</f>
        <v>Philippines</v>
      </c>
      <c r="F10" s="8" t="str">
        <f>IFERROR(__xludf.DUMMYFUNCTION("""COMPUTED_VALUE"""),"DL")</f>
        <v>DL</v>
      </c>
      <c r="G10" s="8" t="str">
        <f>IFERROR(__xludf.DUMMYFUNCTION("""COMPUTED_VALUE"""),"10th")</f>
        <v>10th</v>
      </c>
      <c r="H10" s="8" t="str">
        <f>IFERROR(__xludf.DUMMYFUNCTION("""COMPUTED_VALUE"""),"DL 2018")</f>
        <v>DL 2018</v>
      </c>
      <c r="I10" s="10">
        <f>IFERROR(__xludf.DUMMYFUNCTION("""COMPUTED_VALUE"""),43136.0)</f>
        <v>43136</v>
      </c>
      <c r="J10" s="10">
        <f>IFERROR(__xludf.DUMMYFUNCTION("""COMPUTED_VALUE"""),44348.0)</f>
        <v>44348</v>
      </c>
      <c r="K10" s="15">
        <f>IFERROR(__xludf.DUMMYFUNCTION("""COMPUTED_VALUE"""),45444.0)</f>
        <v>45444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4.25" customHeight="1">
      <c r="A11" s="12" t="str">
        <f>IFERROR(__xludf.DUMMYFUNCTION("""COMPUTED_VALUE"""),"Arimany")</f>
        <v>Arimany</v>
      </c>
      <c r="B11" s="13" t="str">
        <f>IFERROR(__xludf.DUMMYFUNCTION("""COMPUTED_VALUE"""),"Josef")</f>
        <v>Josef</v>
      </c>
      <c r="C11" s="13" t="str">
        <f>IFERROR(__xludf.DUMMYFUNCTION("""COMPUTED_VALUE"""),"")</f>
        <v/>
      </c>
      <c r="D11" s="13" t="str">
        <f>IFERROR(__xludf.DUMMYFUNCTION("""COMPUTED_VALUE"""),"")</f>
        <v/>
      </c>
      <c r="E11" s="13" t="str">
        <f>IFERROR(__xludf.DUMMYFUNCTION("""COMPUTED_VALUE"""),"Spain")</f>
        <v>Spain</v>
      </c>
      <c r="F11" s="13" t="str">
        <f>IFERROR(__xludf.DUMMYFUNCTION("""COMPUTED_VALUE"""),"Top Gun AA Singles")</f>
        <v>Top Gun AA Singles</v>
      </c>
      <c r="G11" s="13" t="str">
        <f>IFERROR(__xludf.DUMMYFUNCTION("""COMPUTED_VALUE"""),"3rd")</f>
        <v>3rd</v>
      </c>
      <c r="H11" s="13" t="str">
        <f>IFERROR(__xludf.DUMMYFUNCTION("""COMPUTED_VALUE"""),"BS 33 Finals")</f>
        <v>BS 33 Finals</v>
      </c>
      <c r="I11" s="14">
        <f>IFERROR(__xludf.DUMMYFUNCTION("""COMPUTED_VALUE"""),43252.0)</f>
        <v>43252</v>
      </c>
      <c r="J11" s="14">
        <f>IFERROR(__xludf.DUMMYFUNCTION("""COMPUTED_VALUE"""),44348.0)</f>
        <v>44348</v>
      </c>
      <c r="K11" s="15">
        <f>IFERROR(__xludf.DUMMYFUNCTION("""COMPUTED_VALUE"""),45444.0)</f>
        <v>45444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4.25" customHeight="1">
      <c r="A12" s="9" t="str">
        <f>IFERROR(__xludf.DUMMYFUNCTION("""COMPUTED_VALUE"""),"Asato")</f>
        <v>Asato</v>
      </c>
      <c r="B12" s="8" t="str">
        <f>IFERROR(__xludf.DUMMYFUNCTION("""COMPUTED_VALUE"""),"Brandon")</f>
        <v>Brandon</v>
      </c>
      <c r="C12" s="8" t="str">
        <f>IFERROR(__xludf.DUMMYFUNCTION("""COMPUTED_VALUE"""),"Jacksonville")</f>
        <v>Jacksonville</v>
      </c>
      <c r="D12" s="8" t="str">
        <f>IFERROR(__xludf.DUMMYFUNCTION("""COMPUTED_VALUE"""),"FL")</f>
        <v>FL</v>
      </c>
      <c r="E12" s="8" t="str">
        <f>IFERROR(__xludf.DUMMYFUNCTION("""COMPUTED_VALUE"""),"USA")</f>
        <v>USA</v>
      </c>
      <c r="F12" s="8" t="str">
        <f>IFERROR(__xludf.DUMMYFUNCTION("""COMPUTED_VALUE"""),"TopGun A/AA Triples")</f>
        <v>TopGun A/AA Triples</v>
      </c>
      <c r="G12" s="8" t="str">
        <f>IFERROR(__xludf.DUMMYFUNCTION("""COMPUTED_VALUE"""),"2nd")</f>
        <v>2nd</v>
      </c>
      <c r="H12" s="8" t="str">
        <f>IFERROR(__xludf.DUMMYFUNCTION("""COMPUTED_VALUE"""),"BullShooter 34 Finals")</f>
        <v>BullShooter 34 Finals</v>
      </c>
      <c r="I12" s="10">
        <f>IFERROR(__xludf.DUMMYFUNCTION("""COMPUTED_VALUE"""),43617.0)</f>
        <v>43617</v>
      </c>
      <c r="J12" s="10">
        <f>IFERROR(__xludf.DUMMYFUNCTION("""COMPUTED_VALUE"""),44713.0)</f>
        <v>44713</v>
      </c>
      <c r="K12" s="15">
        <f>IFERROR(__xludf.DUMMYFUNCTION("""COMPUTED_VALUE"""),45809.0)</f>
        <v>45809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4.25" customHeight="1">
      <c r="A13" s="9" t="str">
        <f>IFERROR(__xludf.DUMMYFUNCTION("""COMPUTED_VALUE"""),"Baggish")</f>
        <v>Baggish</v>
      </c>
      <c r="B13" s="8" t="str">
        <f>IFERROR(__xludf.DUMMYFUNCTION("""COMPUTED_VALUE"""),"Daniel")</f>
        <v>Daniel</v>
      </c>
      <c r="C13" s="8" t="str">
        <f>IFERROR(__xludf.DUMMYFUNCTION("""COMPUTED_VALUE"""),"Lakeland")</f>
        <v>Lakeland</v>
      </c>
      <c r="D13" s="8" t="str">
        <f>IFERROR(__xludf.DUMMYFUNCTION("""COMPUTED_VALUE"""),"FL")</f>
        <v>FL</v>
      </c>
      <c r="E13" s="8" t="str">
        <f>IFERROR(__xludf.DUMMYFUNCTION("""COMPUTED_VALUE"""),"USA")</f>
        <v>USA</v>
      </c>
      <c r="F13" s="8" t="str">
        <f>IFERROR(__xludf.DUMMYFUNCTION("""COMPUTED_VALUE"""),"TopGun A/AA Triples")</f>
        <v>TopGun A/AA Triples</v>
      </c>
      <c r="G13" s="8" t="str">
        <f>IFERROR(__xludf.DUMMYFUNCTION("""COMPUTED_VALUE"""),"2nd")</f>
        <v>2nd</v>
      </c>
      <c r="H13" s="8" t="str">
        <f>IFERROR(__xludf.DUMMYFUNCTION("""COMPUTED_VALUE"""),"BullShooter 34 Finals")</f>
        <v>BullShooter 34 Finals</v>
      </c>
      <c r="I13" s="10">
        <f>IFERROR(__xludf.DUMMYFUNCTION("""COMPUTED_VALUE"""),43617.0)</f>
        <v>43617</v>
      </c>
      <c r="J13" s="10">
        <f>IFERROR(__xludf.DUMMYFUNCTION("""COMPUTED_VALUE"""),44713.0)</f>
        <v>44713</v>
      </c>
      <c r="K13" s="15">
        <f>IFERROR(__xludf.DUMMYFUNCTION("""COMPUTED_VALUE"""),45809.0)</f>
        <v>45809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4.25" customHeight="1">
      <c r="A14" s="9" t="str">
        <f>IFERROR(__xludf.DUMMYFUNCTION("""COMPUTED_VALUE"""),"Barlow")</f>
        <v>Barlow</v>
      </c>
      <c r="B14" s="8" t="str">
        <f>IFERROR(__xludf.DUMMYFUNCTION("""COMPUTED_VALUE"""),"Jayson")</f>
        <v>Jayson</v>
      </c>
      <c r="C14" s="8" t="str">
        <f>IFERROR(__xludf.DUMMYFUNCTION("""COMPUTED_VALUE"""),"")</f>
        <v/>
      </c>
      <c r="D14" s="8" t="str">
        <f>IFERROR(__xludf.DUMMYFUNCTION("""COMPUTED_VALUE"""),"")</f>
        <v/>
      </c>
      <c r="E14" s="8" t="str">
        <f>IFERROR(__xludf.DUMMYFUNCTION("""COMPUTED_VALUE"""),"CANADA")</f>
        <v>CANADA</v>
      </c>
      <c r="F14" s="8" t="str">
        <f>IFERROR(__xludf.DUMMYFUNCTION("""COMPUTED_VALUE"""),"Pro Doubles 501")</f>
        <v>Pro Doubles 501</v>
      </c>
      <c r="G14" s="8" t="str">
        <f>IFERROR(__xludf.DUMMYFUNCTION("""COMPUTED_VALUE"""),"1st")</f>
        <v>1st</v>
      </c>
      <c r="H14" s="8" t="str">
        <f>IFERROR(__xludf.DUMMYFUNCTION("""COMPUTED_VALUE"""),"Ohio BS 34")</f>
        <v>Ohio BS 34</v>
      </c>
      <c r="I14" s="10">
        <f>IFERROR(__xludf.DUMMYFUNCTION("""COMPUTED_VALUE"""),43252.0)</f>
        <v>43252</v>
      </c>
      <c r="J14" s="10">
        <f>IFERROR(__xludf.DUMMYFUNCTION("""COMPUTED_VALUE"""),44348.0)</f>
        <v>44348</v>
      </c>
      <c r="K14" s="15">
        <f>IFERROR(__xludf.DUMMYFUNCTION("""COMPUTED_VALUE"""),45444.0)</f>
        <v>45444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customHeight="1">
      <c r="A15" s="9" t="str">
        <f>IFERROR(__xludf.DUMMYFUNCTION("""COMPUTED_VALUE"""),"Barry")</f>
        <v>Barry</v>
      </c>
      <c r="B15" s="8" t="str">
        <f>IFERROR(__xludf.DUMMYFUNCTION("""COMPUTED_VALUE"""),"Avery")</f>
        <v>Avery</v>
      </c>
      <c r="C15" s="8" t="str">
        <f>IFERROR(__xludf.DUMMYFUNCTION("""COMPUTED_VALUE"""),"")</f>
        <v/>
      </c>
      <c r="D15" s="8" t="str">
        <f>IFERROR(__xludf.DUMMYFUNCTION("""COMPUTED_VALUE"""),"UNK")</f>
        <v>UNK</v>
      </c>
      <c r="E15" s="8" t="str">
        <f>IFERROR(__xludf.DUMMYFUNCTION("""COMPUTED_VALUE"""),"USA")</f>
        <v>USA</v>
      </c>
      <c r="F15" s="8" t="str">
        <f>IFERROR(__xludf.DUMMYFUNCTION("""COMPUTED_VALUE"""),"ADO 2018")</f>
        <v>ADO 2018</v>
      </c>
      <c r="G15" s="8" t="str">
        <f>IFERROR(__xludf.DUMMYFUNCTION("""COMPUTED_VALUE"""),"11th")</f>
        <v>11th</v>
      </c>
      <c r="H15" s="8" t="str">
        <f>IFERROR(__xludf.DUMMYFUNCTION("""COMPUTED_VALUE"""),"ADO 2018")</f>
        <v>ADO 2018</v>
      </c>
      <c r="I15" s="10">
        <f>IFERROR(__xludf.DUMMYFUNCTION("""COMPUTED_VALUE"""),43132.0)</f>
        <v>43132</v>
      </c>
      <c r="J15" s="10">
        <f>IFERROR(__xludf.DUMMYFUNCTION("""COMPUTED_VALUE"""),44348.0)</f>
        <v>44348</v>
      </c>
      <c r="K15" s="15">
        <f>IFERROR(__xludf.DUMMYFUNCTION("""COMPUTED_VALUE"""),45444.0)</f>
        <v>45444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9" t="str">
        <f>IFERROR(__xludf.DUMMYFUNCTION("""COMPUTED_VALUE"""),"Beaton")</f>
        <v>Beaton</v>
      </c>
      <c r="B16" s="8" t="str">
        <f>IFERROR(__xludf.DUMMYFUNCTION("""COMPUTED_VALUE"""),"Steve")</f>
        <v>Steve</v>
      </c>
      <c r="C16" s="8" t="str">
        <f>IFERROR(__xludf.DUMMYFUNCTION("""COMPUTED_VALUE"""),"")</f>
        <v/>
      </c>
      <c r="D16" s="8" t="str">
        <f>IFERROR(__xludf.DUMMYFUNCTION("""COMPUTED_VALUE"""),"UNK")</f>
        <v>UNK</v>
      </c>
      <c r="E16" s="8" t="str">
        <f>IFERROR(__xludf.DUMMYFUNCTION("""COMPUTED_VALUE"""),"England")</f>
        <v>England</v>
      </c>
      <c r="F16" s="8" t="str">
        <f>IFERROR(__xludf.DUMMYFUNCTION("""COMPUTED_VALUE"""),"PDC Merit Ranking")</f>
        <v>PDC Merit Ranking</v>
      </c>
      <c r="G16" s="8" t="str">
        <f>IFERROR(__xludf.DUMMYFUNCTION("""COMPUTED_VALUE"""),"24th")</f>
        <v>24th</v>
      </c>
      <c r="H16" s="8" t="str">
        <f>IFERROR(__xludf.DUMMYFUNCTION("""COMPUTED_VALUE"""),"PDC Merit Ranking")</f>
        <v>PDC Merit Ranking</v>
      </c>
      <c r="I16" s="10">
        <f>IFERROR(__xludf.DUMMYFUNCTION("""COMPUTED_VALUE"""),43132.0)</f>
        <v>43132</v>
      </c>
      <c r="J16" s="10">
        <f>IFERROR(__xludf.DUMMYFUNCTION("""COMPUTED_VALUE"""),44348.0)</f>
        <v>44348</v>
      </c>
      <c r="K16" s="15">
        <f>IFERROR(__xludf.DUMMYFUNCTION("""COMPUTED_VALUE"""),45444.0)</f>
        <v>45444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>
      <c r="A17" s="9" t="str">
        <f>IFERROR(__xludf.DUMMYFUNCTION("""COMPUTED_VALUE"""),"Bernard")</f>
        <v>Bernard</v>
      </c>
      <c r="B17" s="8" t="str">
        <f>IFERROR(__xludf.DUMMYFUNCTION("""COMPUTED_VALUE"""),"Robert")</f>
        <v>Robert</v>
      </c>
      <c r="C17" s="8" t="str">
        <f>IFERROR(__xludf.DUMMYFUNCTION("""COMPUTED_VALUE"""),"Loves Park")</f>
        <v>Loves Park</v>
      </c>
      <c r="D17" s="8" t="str">
        <f>IFERROR(__xludf.DUMMYFUNCTION("""COMPUTED_VALUE"""),"IL")</f>
        <v>IL</v>
      </c>
      <c r="E17" s="8" t="str">
        <f>IFERROR(__xludf.DUMMYFUNCTION("""COMPUTED_VALUE"""),"USA")</f>
        <v>USA</v>
      </c>
      <c r="F17" s="8" t="str">
        <f>IFERROR(__xludf.DUMMYFUNCTION("""COMPUTED_VALUE"""),"Pro 501 Singles")</f>
        <v>Pro 501 Singles</v>
      </c>
      <c r="G17" s="8" t="str">
        <f>IFERROR(__xludf.DUMMYFUNCTION("""COMPUTED_VALUE"""),"2nd")</f>
        <v>2nd</v>
      </c>
      <c r="H17" s="8" t="str">
        <f>IFERROR(__xludf.DUMMYFUNCTION("""COMPUTED_VALUE"""),"BullShooter 34 Finals")</f>
        <v>BullShooter 34 Finals</v>
      </c>
      <c r="I17" s="10">
        <f>IFERROR(__xludf.DUMMYFUNCTION("""COMPUTED_VALUE"""),43617.0)</f>
        <v>43617</v>
      </c>
      <c r="J17" s="10">
        <f>IFERROR(__xludf.DUMMYFUNCTION("""COMPUTED_VALUE"""),44713.0)</f>
        <v>44713</v>
      </c>
      <c r="K17" s="15">
        <f>IFERROR(__xludf.DUMMYFUNCTION("""COMPUTED_VALUE"""),45809.0)</f>
        <v>45809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9" t="str">
        <f>IFERROR(__xludf.DUMMYFUNCTION("""COMPUTED_VALUE"""),"Bolduc")</f>
        <v>Bolduc</v>
      </c>
      <c r="B18" s="8" t="str">
        <f>IFERROR(__xludf.DUMMYFUNCTION("""COMPUTED_VALUE"""),"Paul")</f>
        <v>Paul</v>
      </c>
      <c r="C18" s="8" t="str">
        <f>IFERROR(__xludf.DUMMYFUNCTION("""COMPUTED_VALUE"""),"")</f>
        <v/>
      </c>
      <c r="D18" s="8" t="str">
        <f>IFERROR(__xludf.DUMMYFUNCTION("""COMPUTED_VALUE"""),"CA")</f>
        <v>CA</v>
      </c>
      <c r="E18" s="8" t="str">
        <f>IFERROR(__xludf.DUMMYFUNCTION("""COMPUTED_VALUE"""),"USA")</f>
        <v>USA</v>
      </c>
      <c r="F18" s="8" t="str">
        <f>IFERROR(__xludf.DUMMYFUNCTION("""COMPUTED_VALUE"""),"NAPDA 2018")</f>
        <v>NAPDA 2018</v>
      </c>
      <c r="G18" s="8" t="str">
        <f>IFERROR(__xludf.DUMMYFUNCTION("""COMPUTED_VALUE"""),"20th")</f>
        <v>20th</v>
      </c>
      <c r="H18" s="8" t="str">
        <f>IFERROR(__xludf.DUMMYFUNCTION("""COMPUTED_VALUE"""),"NAPDA 2018")</f>
        <v>NAPDA 2018</v>
      </c>
      <c r="I18" s="10">
        <f>IFERROR(__xludf.DUMMYFUNCTION("""COMPUTED_VALUE"""),43132.0)</f>
        <v>43132</v>
      </c>
      <c r="J18" s="10">
        <f>IFERROR(__xludf.DUMMYFUNCTION("""COMPUTED_VALUE"""),44348.0)</f>
        <v>44348</v>
      </c>
      <c r="K18" s="15">
        <f>IFERROR(__xludf.DUMMYFUNCTION("""COMPUTED_VALUE"""),45444.0)</f>
        <v>45444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9" t="str">
        <f>IFERROR(__xludf.DUMMYFUNCTION("""COMPUTED_VALUE"""),"Brandon")</f>
        <v>Brandon</v>
      </c>
      <c r="B19" s="8" t="str">
        <f>IFERROR(__xludf.DUMMYFUNCTION("""COMPUTED_VALUE"""),"Jason")</f>
        <v>Jason</v>
      </c>
      <c r="C19" s="8" t="str">
        <f>IFERROR(__xludf.DUMMYFUNCTION("""COMPUTED_VALUE"""),"")</f>
        <v/>
      </c>
      <c r="D19" s="8" t="str">
        <f>IFERROR(__xludf.DUMMYFUNCTION("""COMPUTED_VALUE"""),"UNK")</f>
        <v>UNK</v>
      </c>
      <c r="E19" s="8" t="str">
        <f>IFERROR(__xludf.DUMMYFUNCTION("""COMPUTED_VALUE"""),"USA")</f>
        <v>USA</v>
      </c>
      <c r="F19" s="8" t="str">
        <f>IFERROR(__xludf.DUMMYFUNCTION("""COMPUTED_VALUE"""),"NAPDA 2017")</f>
        <v>NAPDA 2017</v>
      </c>
      <c r="G19" s="8" t="str">
        <f>IFERROR(__xludf.DUMMYFUNCTION("""COMPUTED_VALUE"""),"13th")</f>
        <v>13th</v>
      </c>
      <c r="H19" s="8" t="str">
        <f>IFERROR(__xludf.DUMMYFUNCTION("""COMPUTED_VALUE"""),"NAPDA 2017")</f>
        <v>NAPDA 2017</v>
      </c>
      <c r="I19" s="10">
        <f>IFERROR(__xludf.DUMMYFUNCTION("""COMPUTED_VALUE"""),42772.0)</f>
        <v>42772</v>
      </c>
      <c r="J19" s="10">
        <f>IFERROR(__xludf.DUMMYFUNCTION("""COMPUTED_VALUE"""),43983.0)</f>
        <v>43983</v>
      </c>
      <c r="K19" s="15">
        <f>IFERROR(__xludf.DUMMYFUNCTION("""COMPUTED_VALUE"""),45078.0)</f>
        <v>45078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9" t="str">
        <f>IFERROR(__xludf.DUMMYFUNCTION("""COMPUTED_VALUE"""),"Brenneman")</f>
        <v>Brenneman</v>
      </c>
      <c r="B20" s="8" t="str">
        <f>IFERROR(__xludf.DUMMYFUNCTION("""COMPUTED_VALUE"""),"Shawn")</f>
        <v>Shawn</v>
      </c>
      <c r="C20" s="8" t="str">
        <f>IFERROR(__xludf.DUMMYFUNCTION("""COMPUTED_VALUE"""),"Canada")</f>
        <v>Canada</v>
      </c>
      <c r="D20" s="8" t="str">
        <f>IFERROR(__xludf.DUMMYFUNCTION("""COMPUTED_VALUE"""),"UNK")</f>
        <v>UNK</v>
      </c>
      <c r="E20" s="8" t="str">
        <f>IFERROR(__xludf.DUMMYFUNCTION("""COMPUTED_VALUE"""),"Canada")</f>
        <v>Canada</v>
      </c>
      <c r="F20" s="8" t="str">
        <f>IFERROR(__xludf.DUMMYFUNCTION("""COMPUTED_VALUE"""),"NAPDA 2018")</f>
        <v>NAPDA 2018</v>
      </c>
      <c r="G20" s="8" t="str">
        <f>IFERROR(__xludf.DUMMYFUNCTION("""COMPUTED_VALUE"""),"22nd")</f>
        <v>22nd</v>
      </c>
      <c r="H20" s="8" t="str">
        <f>IFERROR(__xludf.DUMMYFUNCTION("""COMPUTED_VALUE"""),"Known Ability")</f>
        <v>Known Ability</v>
      </c>
      <c r="I20" s="10">
        <f>IFERROR(__xludf.DUMMYFUNCTION("""COMPUTED_VALUE"""),43132.0)</f>
        <v>43132</v>
      </c>
      <c r="J20" s="10">
        <f>IFERROR(__xludf.DUMMYFUNCTION("""COMPUTED_VALUE"""),44348.0)</f>
        <v>44348</v>
      </c>
      <c r="K20" s="15">
        <f>IFERROR(__xludf.DUMMYFUNCTION("""COMPUTED_VALUE"""),45809.0)</f>
        <v>45809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9" t="str">
        <f>IFERROR(__xludf.DUMMYFUNCTION("""COMPUTED_VALUE"""),"Broomhead")</f>
        <v>Broomhead</v>
      </c>
      <c r="B21" s="8" t="str">
        <f>IFERROR(__xludf.DUMMYFUNCTION("""COMPUTED_VALUE"""),"Gary")</f>
        <v>Gary</v>
      </c>
      <c r="C21" s="8" t="str">
        <f>IFERROR(__xludf.DUMMYFUNCTION("""COMPUTED_VALUE"""),"")</f>
        <v/>
      </c>
      <c r="D21" s="8" t="str">
        <f>IFERROR(__xludf.DUMMYFUNCTION("""COMPUTED_VALUE"""),"CA")</f>
        <v>CA</v>
      </c>
      <c r="E21" s="8" t="str">
        <f>IFERROR(__xludf.DUMMYFUNCTION("""COMPUTED_VALUE"""),"USA")</f>
        <v>USA</v>
      </c>
      <c r="F21" s="8" t="str">
        <f>IFERROR(__xludf.DUMMYFUNCTION("""COMPUTED_VALUE"""),"NAPDA 2017")</f>
        <v>NAPDA 2017</v>
      </c>
      <c r="G21" s="8" t="str">
        <f>IFERROR(__xludf.DUMMYFUNCTION("""COMPUTED_VALUE"""),"34th")</f>
        <v>34th</v>
      </c>
      <c r="H21" s="8" t="str">
        <f>IFERROR(__xludf.DUMMYFUNCTION("""COMPUTED_VALUE"""),"NAPDA 2017")</f>
        <v>NAPDA 2017</v>
      </c>
      <c r="I21" s="10">
        <f>IFERROR(__xludf.DUMMYFUNCTION("""COMPUTED_VALUE"""),42772.0)</f>
        <v>42772</v>
      </c>
      <c r="J21" s="10">
        <f>IFERROR(__xludf.DUMMYFUNCTION("""COMPUTED_VALUE"""),43983.0)</f>
        <v>43983</v>
      </c>
      <c r="K21" s="15">
        <f>IFERROR(__xludf.DUMMYFUNCTION("""COMPUTED_VALUE"""),45078.0)</f>
        <v>45078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9" t="str">
        <f>IFERROR(__xludf.DUMMYFUNCTION("""COMPUTED_VALUE"""),"Brown")</f>
        <v>Brown</v>
      </c>
      <c r="B22" s="8" t="str">
        <f>IFERROR(__xludf.DUMMYFUNCTION("""COMPUTED_VALUE"""),"Keegan")</f>
        <v>Keegan</v>
      </c>
      <c r="C22" s="8" t="str">
        <f>IFERROR(__xludf.DUMMYFUNCTION("""COMPUTED_VALUE"""),"")</f>
        <v/>
      </c>
      <c r="D22" s="8" t="str">
        <f>IFERROR(__xludf.DUMMYFUNCTION("""COMPUTED_VALUE"""),"UNK")</f>
        <v>UNK</v>
      </c>
      <c r="E22" s="8" t="str">
        <f>IFERROR(__xludf.DUMMYFUNCTION("""COMPUTED_VALUE"""),"UNK")</f>
        <v>UNK</v>
      </c>
      <c r="F22" s="8" t="str">
        <f>IFERROR(__xludf.DUMMYFUNCTION("""COMPUTED_VALUE"""),"PDC Merit Ranking")</f>
        <v>PDC Merit Ranking</v>
      </c>
      <c r="G22" s="8" t="str">
        <f>IFERROR(__xludf.DUMMYFUNCTION("""COMPUTED_VALUE"""),"47th")</f>
        <v>47th</v>
      </c>
      <c r="H22" s="8" t="str">
        <f>IFERROR(__xludf.DUMMYFUNCTION("""COMPUTED_VALUE"""),"PDC Merit Ranking")</f>
        <v>PDC Merit Ranking</v>
      </c>
      <c r="I22" s="10">
        <f>IFERROR(__xludf.DUMMYFUNCTION("""COMPUTED_VALUE"""),43132.0)</f>
        <v>43132</v>
      </c>
      <c r="J22" s="10">
        <f>IFERROR(__xludf.DUMMYFUNCTION("""COMPUTED_VALUE"""),44348.0)</f>
        <v>44348</v>
      </c>
      <c r="K22" s="15">
        <f>IFERROR(__xludf.DUMMYFUNCTION("""COMPUTED_VALUE"""),45444.0)</f>
        <v>45444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9" t="str">
        <f>IFERROR(__xludf.DUMMYFUNCTION("""COMPUTED_VALUE"""),"Bruguier")</f>
        <v>Bruguier</v>
      </c>
      <c r="B23" s="8" t="str">
        <f>IFERROR(__xludf.DUMMYFUNCTION("""COMPUTED_VALUE"""),"Willard")</f>
        <v>Willard</v>
      </c>
      <c r="C23" s="8" t="str">
        <f>IFERROR(__xludf.DUMMYFUNCTION("""COMPUTED_VALUE"""),"Wagner")</f>
        <v>Wagner</v>
      </c>
      <c r="D23" s="8" t="str">
        <f>IFERROR(__xludf.DUMMYFUNCTION("""COMPUTED_VALUE"""),"SD")</f>
        <v>SD</v>
      </c>
      <c r="E23" s="8" t="str">
        <f>IFERROR(__xludf.DUMMYFUNCTION("""COMPUTED_VALUE"""),"USA")</f>
        <v>USA</v>
      </c>
      <c r="F23" s="8" t="str">
        <f>IFERROR(__xludf.DUMMYFUNCTION("""COMPUTED_VALUE"""),"")</f>
        <v/>
      </c>
      <c r="G23" s="8" t="str">
        <f>IFERROR(__xludf.DUMMYFUNCTION("""COMPUTED_VALUE"""),"")</f>
        <v/>
      </c>
      <c r="H23" s="8" t="str">
        <f>IFERROR(__xludf.DUMMYFUNCTION("""COMPUTED_VALUE"""),"ADO 2017")</f>
        <v>ADO 2017</v>
      </c>
      <c r="I23" s="10">
        <f>IFERROR(__xludf.DUMMYFUNCTION("""COMPUTED_VALUE"""),42887.0)</f>
        <v>42887</v>
      </c>
      <c r="J23" s="10">
        <f>IFERROR(__xludf.DUMMYFUNCTION("""COMPUTED_VALUE"""),43983.0)</f>
        <v>43983</v>
      </c>
      <c r="K23" s="15">
        <f>IFERROR(__xludf.DUMMYFUNCTION("""COMPUTED_VALUE"""),45078.0)</f>
        <v>45078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9" t="str">
        <f>IFERROR(__xludf.DUMMYFUNCTION("""COMPUTED_VALUE"""),"Brunello")</f>
        <v>Brunello</v>
      </c>
      <c r="B24" s="8" t="str">
        <f>IFERROR(__xludf.DUMMYFUNCTION("""COMPUTED_VALUE"""),"Cody")</f>
        <v>Cody</v>
      </c>
      <c r="C24" s="8" t="str">
        <f>IFERROR(__xludf.DUMMYFUNCTION("""COMPUTED_VALUE"""),"Kenosha")</f>
        <v>Kenosha</v>
      </c>
      <c r="D24" s="8" t="str">
        <f>IFERROR(__xludf.DUMMYFUNCTION("""COMPUTED_VALUE"""),"WI")</f>
        <v>WI</v>
      </c>
      <c r="E24" s="8" t="str">
        <f>IFERROR(__xludf.DUMMYFUNCTION("""COMPUTED_VALUE"""),"USA")</f>
        <v>USA</v>
      </c>
      <c r="F24" s="8" t="str">
        <f>IFERROR(__xludf.DUMMYFUNCTION("""COMPUTED_VALUE"""),"Pro Cricket Doubles")</f>
        <v>Pro Cricket Doubles</v>
      </c>
      <c r="G24" s="8" t="str">
        <f>IFERROR(__xludf.DUMMYFUNCTION("""COMPUTED_VALUE"""),"2nd")</f>
        <v>2nd</v>
      </c>
      <c r="H24" s="8" t="str">
        <f>IFERROR(__xludf.DUMMYFUNCTION("""COMPUTED_VALUE"""),"BullShooter 34 Finals")</f>
        <v>BullShooter 34 Finals</v>
      </c>
      <c r="I24" s="10">
        <f>IFERROR(__xludf.DUMMYFUNCTION("""COMPUTED_VALUE"""),43617.0)</f>
        <v>43617</v>
      </c>
      <c r="J24" s="10">
        <f>IFERROR(__xludf.DUMMYFUNCTION("""COMPUTED_VALUE"""),44713.0)</f>
        <v>44713</v>
      </c>
      <c r="K24" s="15">
        <f>IFERROR(__xludf.DUMMYFUNCTION("""COMPUTED_VALUE"""),45809.0)</f>
        <v>45809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12" t="str">
        <f>IFERROR(__xludf.DUMMYFUNCTION("""COMPUTED_VALUE"""),"Bunting")</f>
        <v>Bunting</v>
      </c>
      <c r="B25" s="13" t="str">
        <f>IFERROR(__xludf.DUMMYFUNCTION("""COMPUTED_VALUE"""),"Stephen")</f>
        <v>Stephen</v>
      </c>
      <c r="C25" s="13" t="str">
        <f>IFERROR(__xludf.DUMMYFUNCTION("""COMPUTED_VALUE"""),"")</f>
        <v/>
      </c>
      <c r="D25" s="13" t="str">
        <f>IFERROR(__xludf.DUMMYFUNCTION("""COMPUTED_VALUE"""),"UNK")</f>
        <v>UNK</v>
      </c>
      <c r="E25" s="13" t="str">
        <f>IFERROR(__xludf.DUMMYFUNCTION("""COMPUTED_VALUE"""),"England")</f>
        <v>England</v>
      </c>
      <c r="F25" s="13" t="str">
        <f>IFERROR(__xludf.DUMMYFUNCTION("""COMPUTED_VALUE"""),"PDC Merit Ranking")</f>
        <v>PDC Merit Ranking</v>
      </c>
      <c r="G25" s="13" t="str">
        <f>IFERROR(__xludf.DUMMYFUNCTION("""COMPUTED_VALUE"""),"21th")</f>
        <v>21th</v>
      </c>
      <c r="H25" s="13" t="str">
        <f>IFERROR(__xludf.DUMMYFUNCTION("""COMPUTED_VALUE"""),"PDC Merit Ranking")</f>
        <v>PDC Merit Ranking</v>
      </c>
      <c r="I25" s="14">
        <f>IFERROR(__xludf.DUMMYFUNCTION("""COMPUTED_VALUE"""),43132.0)</f>
        <v>43132</v>
      </c>
      <c r="J25" s="14">
        <f>IFERROR(__xludf.DUMMYFUNCTION("""COMPUTED_VALUE"""),44348.0)</f>
        <v>44348</v>
      </c>
      <c r="K25" s="15">
        <f>IFERROR(__xludf.DUMMYFUNCTION("""COMPUTED_VALUE"""),45444.0)</f>
        <v>45444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9" t="str">
        <f>IFERROR(__xludf.DUMMYFUNCTION("""COMPUTED_VALUE"""),"Buntrock")</f>
        <v>Buntrock</v>
      </c>
      <c r="B26" s="8" t="str">
        <f>IFERROR(__xludf.DUMMYFUNCTION("""COMPUTED_VALUE"""),"Bryan")</f>
        <v>Bryan</v>
      </c>
      <c r="C26" s="8" t="str">
        <f>IFERROR(__xludf.DUMMYFUNCTION("""COMPUTED_VALUE"""),"Fort Atkinson")</f>
        <v>Fort Atkinson</v>
      </c>
      <c r="D26" s="8" t="str">
        <f>IFERROR(__xludf.DUMMYFUNCTION("""COMPUTED_VALUE"""),"WI")</f>
        <v>WI</v>
      </c>
      <c r="E26" s="8" t="str">
        <f>IFERROR(__xludf.DUMMYFUNCTION("""COMPUTED_VALUE"""),"USA")</f>
        <v>USA</v>
      </c>
      <c r="F26" s="8" t="str">
        <f>IFERROR(__xludf.DUMMYFUNCTION("""COMPUTED_VALUE"""),"Top Gun A/AA Triples")</f>
        <v>Top Gun A/AA Triples</v>
      </c>
      <c r="G26" s="8" t="str">
        <f>IFERROR(__xludf.DUMMYFUNCTION("""COMPUTED_VALUE"""),"2nd")</f>
        <v>2nd</v>
      </c>
      <c r="H26" s="8" t="str">
        <f>IFERROR(__xludf.DUMMYFUNCTION("""COMPUTED_VALUE"""),"BS 33 Finals")</f>
        <v>BS 33 Finals</v>
      </c>
      <c r="I26" s="10">
        <f>IFERROR(__xludf.DUMMYFUNCTION("""COMPUTED_VALUE"""),42887.0)</f>
        <v>42887</v>
      </c>
      <c r="J26" s="10">
        <f>IFERROR(__xludf.DUMMYFUNCTION("""COMPUTED_VALUE"""),44348.0)</f>
        <v>44348</v>
      </c>
      <c r="K26" s="15">
        <f>IFERROR(__xludf.DUMMYFUNCTION("""COMPUTED_VALUE"""),45444.0)</f>
        <v>45444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9" t="str">
        <f>IFERROR(__xludf.DUMMYFUNCTION("""COMPUTED_VALUE"""),"Burk")</f>
        <v>Burk</v>
      </c>
      <c r="B27" s="8" t="str">
        <f>IFERROR(__xludf.DUMMYFUNCTION("""COMPUTED_VALUE"""),"Daniel")</f>
        <v>Daniel</v>
      </c>
      <c r="C27" s="8" t="str">
        <f>IFERROR(__xludf.DUMMYFUNCTION("""COMPUTED_VALUE"""),"Battle Creek")</f>
        <v>Battle Creek</v>
      </c>
      <c r="D27" s="8" t="str">
        <f>IFERROR(__xludf.DUMMYFUNCTION("""COMPUTED_VALUE"""),"MI")</f>
        <v>MI</v>
      </c>
      <c r="E27" s="8" t="str">
        <f>IFERROR(__xludf.DUMMYFUNCTION("""COMPUTED_VALUE"""),"USA")</f>
        <v>USA</v>
      </c>
      <c r="F27" s="8" t="str">
        <f>IFERROR(__xludf.DUMMYFUNCTION("""COMPUTED_VALUE"""),"Pro 501 Singles")</f>
        <v>Pro 501 Singles</v>
      </c>
      <c r="G27" s="8" t="str">
        <f>IFERROR(__xludf.DUMMYFUNCTION("""COMPUTED_VALUE"""),"1st")</f>
        <v>1st</v>
      </c>
      <c r="H27" s="8" t="str">
        <f>IFERROR(__xludf.DUMMYFUNCTION("""COMPUTED_VALUE"""),"BullShooter 34 Finals")</f>
        <v>BullShooter 34 Finals</v>
      </c>
      <c r="I27" s="10">
        <f>IFERROR(__xludf.DUMMYFUNCTION("""COMPUTED_VALUE"""),43617.0)</f>
        <v>43617</v>
      </c>
      <c r="J27" s="10">
        <f>IFERROR(__xludf.DUMMYFUNCTION("""COMPUTED_VALUE"""),44713.0)</f>
        <v>44713</v>
      </c>
      <c r="K27" s="15">
        <f>IFERROR(__xludf.DUMMYFUNCTION("""COMPUTED_VALUE"""),45809.0)</f>
        <v>45809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9" t="str">
        <f>IFERROR(__xludf.DUMMYFUNCTION("""COMPUTED_VALUE"""),"Burke")</f>
        <v>Burke</v>
      </c>
      <c r="B28" s="8" t="str">
        <f>IFERROR(__xludf.DUMMYFUNCTION("""COMPUTED_VALUE"""),"Corey")</f>
        <v>Corey</v>
      </c>
      <c r="C28" s="8" t="str">
        <f>IFERROR(__xludf.DUMMYFUNCTION("""COMPUTED_VALUE"""),"Oswego")</f>
        <v>Oswego</v>
      </c>
      <c r="D28" s="8" t="str">
        <f>IFERROR(__xludf.DUMMYFUNCTION("""COMPUTED_VALUE"""),"IL")</f>
        <v>IL</v>
      </c>
      <c r="E28" s="8" t="str">
        <f>IFERROR(__xludf.DUMMYFUNCTION("""COMPUTED_VALUE"""),"USA")</f>
        <v>USA</v>
      </c>
      <c r="F28" s="8" t="str">
        <f>IFERROR(__xludf.DUMMYFUNCTION("""COMPUTED_VALUE"""),"Pro/AA Cricket Luck")</f>
        <v>Pro/AA Cricket Luck</v>
      </c>
      <c r="G28" s="8" t="str">
        <f>IFERROR(__xludf.DUMMYFUNCTION("""COMPUTED_VALUE"""),"2nd")</f>
        <v>2nd</v>
      </c>
      <c r="H28" s="8" t="str">
        <f>IFERROR(__xludf.DUMMYFUNCTION("""COMPUTED_VALUE"""),"BullShooter 32")</f>
        <v>BullShooter 32</v>
      </c>
      <c r="I28" s="10">
        <f>IFERROR(__xludf.DUMMYFUNCTION("""COMPUTED_VALUE"""),42887.0)</f>
        <v>42887</v>
      </c>
      <c r="J28" s="10">
        <f>IFERROR(__xludf.DUMMYFUNCTION("""COMPUTED_VALUE"""),43983.0)</f>
        <v>43983</v>
      </c>
      <c r="K28" s="15">
        <f>IFERROR(__xludf.DUMMYFUNCTION("""COMPUTED_VALUE"""),45078.0)</f>
        <v>45078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9" t="str">
        <f>IFERROR(__xludf.DUMMYFUNCTION("""COMPUTED_VALUE"""),"Burt")</f>
        <v>Burt</v>
      </c>
      <c r="B29" s="8" t="str">
        <f>IFERROR(__xludf.DUMMYFUNCTION("""COMPUTED_VALUE"""),"Shawn")</f>
        <v>Shawn</v>
      </c>
      <c r="C29" s="8" t="str">
        <f>IFERROR(__xludf.DUMMYFUNCTION("""COMPUTED_VALUE"""),"")</f>
        <v/>
      </c>
      <c r="D29" s="8" t="str">
        <f>IFERROR(__xludf.DUMMYFUNCTION("""COMPUTED_VALUE"""),"UNK")</f>
        <v>UNK</v>
      </c>
      <c r="E29" s="8" t="str">
        <f>IFERROR(__xludf.DUMMYFUNCTION("""COMPUTED_VALUE"""),"Canada")</f>
        <v>Canada</v>
      </c>
      <c r="F29" s="8" t="str">
        <f>IFERROR(__xludf.DUMMYFUNCTION("""COMPUTED_VALUE"""),"NAPDA 2017")</f>
        <v>NAPDA 2017</v>
      </c>
      <c r="G29" s="8" t="str">
        <f>IFERROR(__xludf.DUMMYFUNCTION("""COMPUTED_VALUE"""),"29th")</f>
        <v>29th</v>
      </c>
      <c r="H29" s="8" t="str">
        <f>IFERROR(__xludf.DUMMYFUNCTION("""COMPUTED_VALUE"""),"NAPDA 2017")</f>
        <v>NAPDA 2017</v>
      </c>
      <c r="I29" s="10">
        <f>IFERROR(__xludf.DUMMYFUNCTION("""COMPUTED_VALUE"""),42772.0)</f>
        <v>42772</v>
      </c>
      <c r="J29" s="10">
        <f>IFERROR(__xludf.DUMMYFUNCTION("""COMPUTED_VALUE"""),43983.0)</f>
        <v>43983</v>
      </c>
      <c r="K29" s="15">
        <f>IFERROR(__xludf.DUMMYFUNCTION("""COMPUTED_VALUE"""),45078.0)</f>
        <v>45078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9" t="str">
        <f>IFERROR(__xludf.DUMMYFUNCTION("""COMPUTED_VALUE"""),"Butler")</f>
        <v>Butler</v>
      </c>
      <c r="B30" s="8" t="str">
        <f>IFERROR(__xludf.DUMMYFUNCTION("""COMPUTED_VALUE"""),"Larry")</f>
        <v>Larry</v>
      </c>
      <c r="C30" s="8" t="str">
        <f>IFERROR(__xludf.DUMMYFUNCTION("""COMPUTED_VALUE"""),"Fairborn")</f>
        <v>Fairborn</v>
      </c>
      <c r="D30" s="8" t="str">
        <f>IFERROR(__xludf.DUMMYFUNCTION("""COMPUTED_VALUE"""),"OH")</f>
        <v>OH</v>
      </c>
      <c r="E30" s="8" t="str">
        <f>IFERROR(__xludf.DUMMYFUNCTION("""COMPUTED_VALUE"""),"USA")</f>
        <v>USA</v>
      </c>
      <c r="F30" s="8" t="str">
        <f>IFERROR(__xludf.DUMMYFUNCTION("""COMPUTED_VALUE"""),"ADO 2018")</f>
        <v>ADO 2018</v>
      </c>
      <c r="G30" s="8" t="str">
        <f>IFERROR(__xludf.DUMMYFUNCTION("""COMPUTED_VALUE"""),"2nd")</f>
        <v>2nd</v>
      </c>
      <c r="H30" s="8" t="str">
        <f>IFERROR(__xludf.DUMMYFUNCTION("""COMPUTED_VALUE"""),"Known Ability")</f>
        <v>Known Ability</v>
      </c>
      <c r="I30" s="10">
        <f>IFERROR(__xludf.DUMMYFUNCTION("""COMPUTED_VALUE"""),43132.0)</f>
        <v>43132</v>
      </c>
      <c r="J30" s="10">
        <f>IFERROR(__xludf.DUMMYFUNCTION("""COMPUTED_VALUE"""),44348.0)</f>
        <v>44348</v>
      </c>
      <c r="K30" s="15">
        <f>IFERROR(__xludf.DUMMYFUNCTION("""COMPUTED_VALUE"""),45809.0)</f>
        <v>45809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12" t="str">
        <f>IFERROR(__xludf.DUMMYFUNCTION("""COMPUTED_VALUE"""),"Cabrera")</f>
        <v>Cabrera</v>
      </c>
      <c r="B31" s="13" t="str">
        <f>IFERROR(__xludf.DUMMYFUNCTION("""COMPUTED_VALUE"""),"Salvador")</f>
        <v>Salvador</v>
      </c>
      <c r="C31" s="13" t="str">
        <f>IFERROR(__xludf.DUMMYFUNCTION("""COMPUTED_VALUE"""),"")</f>
        <v/>
      </c>
      <c r="D31" s="13" t="str">
        <f>IFERROR(__xludf.DUMMYFUNCTION("""COMPUTED_VALUE"""),"UNK")</f>
        <v>UNK</v>
      </c>
      <c r="E31" s="13" t="str">
        <f>IFERROR(__xludf.DUMMYFUNCTION("""COMPUTED_VALUE"""),"Spain")</f>
        <v>Spain</v>
      </c>
      <c r="F31" s="13" t="str">
        <f>IFERROR(__xludf.DUMMYFUNCTION("""COMPUTED_VALUE"""),"Pro Doubles 501")</f>
        <v>Pro Doubles 501</v>
      </c>
      <c r="G31" s="13" t="str">
        <f>IFERROR(__xludf.DUMMYFUNCTION("""COMPUTED_VALUE"""),"3rd")</f>
        <v>3rd</v>
      </c>
      <c r="H31" s="13" t="str">
        <f>IFERROR(__xludf.DUMMYFUNCTION("""COMPUTED_VALUE"""),"European Bullshooter XXV")</f>
        <v>European Bullshooter XXV</v>
      </c>
      <c r="I31" s="14">
        <f>IFERROR(__xludf.DUMMYFUNCTION("""COMPUTED_VALUE"""),42828.0)</f>
        <v>42828</v>
      </c>
      <c r="J31" s="14">
        <f>IFERROR(__xludf.DUMMYFUNCTION("""COMPUTED_VALUE"""),43983.0)</f>
        <v>43983</v>
      </c>
      <c r="K31" s="15">
        <f>IFERROR(__xludf.DUMMYFUNCTION("""COMPUTED_VALUE"""),45078.0)</f>
        <v>45078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9" t="str">
        <f>IFERROR(__xludf.DUMMYFUNCTION("""COMPUTED_VALUE"""),"Cameron")</f>
        <v>Cameron</v>
      </c>
      <c r="B32" s="8" t="str">
        <f>IFERROR(__xludf.DUMMYFUNCTION("""COMPUTED_VALUE"""),"David")</f>
        <v>David</v>
      </c>
      <c r="C32" s="8" t="str">
        <f>IFERROR(__xludf.DUMMYFUNCTION("""COMPUTED_VALUE"""),"")</f>
        <v/>
      </c>
      <c r="D32" s="8" t="str">
        <f>IFERROR(__xludf.DUMMYFUNCTION("""COMPUTED_VALUE"""),"")</f>
        <v/>
      </c>
      <c r="E32" s="8" t="str">
        <f>IFERROR(__xludf.DUMMYFUNCTION("""COMPUTED_VALUE"""),"Canada")</f>
        <v>Canada</v>
      </c>
      <c r="F32" s="8" t="str">
        <f>IFERROR(__xludf.DUMMYFUNCTION("""COMPUTED_VALUE"""),"Top Gun AA Singles")</f>
        <v>Top Gun AA Singles</v>
      </c>
      <c r="G32" s="8" t="str">
        <f>IFERROR(__xludf.DUMMYFUNCTION("""COMPUTED_VALUE"""),"3rd")</f>
        <v>3rd</v>
      </c>
      <c r="H32" s="8" t="str">
        <f>IFERROR(__xludf.DUMMYFUNCTION("""COMPUTED_VALUE"""),"BS 33 Finals")</f>
        <v>BS 33 Finals</v>
      </c>
      <c r="I32" s="10">
        <f>IFERROR(__xludf.DUMMYFUNCTION("""COMPUTED_VALUE"""),43252.0)</f>
        <v>43252</v>
      </c>
      <c r="J32" s="10">
        <f>IFERROR(__xludf.DUMMYFUNCTION("""COMPUTED_VALUE"""),44348.0)</f>
        <v>44348</v>
      </c>
      <c r="K32" s="15">
        <f>IFERROR(__xludf.DUMMYFUNCTION("""COMPUTED_VALUE"""),45444.0)</f>
        <v>45444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9" t="str">
        <f>IFERROR(__xludf.DUMMYFUNCTION("""COMPUTED_VALUE"""),"Caven")</f>
        <v>Caven</v>
      </c>
      <c r="B33" s="8" t="str">
        <f>IFERROR(__xludf.DUMMYFUNCTION("""COMPUTED_VALUE"""),"Jamie")</f>
        <v>Jamie</v>
      </c>
      <c r="C33" s="8" t="str">
        <f>IFERROR(__xludf.DUMMYFUNCTION("""COMPUTED_VALUE"""),"")</f>
        <v/>
      </c>
      <c r="D33" s="8" t="str">
        <f>IFERROR(__xludf.DUMMYFUNCTION("""COMPUTED_VALUE"""),"UNK")</f>
        <v>UNK</v>
      </c>
      <c r="E33" s="8" t="str">
        <f>IFERROR(__xludf.DUMMYFUNCTION("""COMPUTED_VALUE"""),"England")</f>
        <v>England</v>
      </c>
      <c r="F33" s="8" t="str">
        <f>IFERROR(__xludf.DUMMYFUNCTION("""COMPUTED_VALUE"""),"PDC Merit Ranking")</f>
        <v>PDC Merit Ranking</v>
      </c>
      <c r="G33" s="8" t="str">
        <f>IFERROR(__xludf.DUMMYFUNCTION("""COMPUTED_VALUE"""),"45th")</f>
        <v>45th</v>
      </c>
      <c r="H33" s="8" t="str">
        <f>IFERROR(__xludf.DUMMYFUNCTION("""COMPUTED_VALUE"""),"PDC Merit Ranking")</f>
        <v>PDC Merit Ranking</v>
      </c>
      <c r="I33" s="10">
        <f>IFERROR(__xludf.DUMMYFUNCTION("""COMPUTED_VALUE"""),43132.0)</f>
        <v>43132</v>
      </c>
      <c r="J33" s="10">
        <f>IFERROR(__xludf.DUMMYFUNCTION("""COMPUTED_VALUE"""),44348.0)</f>
        <v>44348</v>
      </c>
      <c r="K33" s="15">
        <f>IFERROR(__xludf.DUMMYFUNCTION("""COMPUTED_VALUE"""),45444.0)</f>
        <v>45444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9" t="str">
        <f>IFERROR(__xludf.DUMMYFUNCTION("""COMPUTED_VALUE"""),"Chaney")</f>
        <v>Chaney</v>
      </c>
      <c r="B34" s="8" t="str">
        <f>IFERROR(__xludf.DUMMYFUNCTION("""COMPUTED_VALUE"""),"Joe")</f>
        <v>Joe</v>
      </c>
      <c r="C34" s="8" t="str">
        <f>IFERROR(__xludf.DUMMYFUNCTION("""COMPUTED_VALUE"""),"Harrison")</f>
        <v>Harrison</v>
      </c>
      <c r="D34" s="8" t="str">
        <f>IFERROR(__xludf.DUMMYFUNCTION("""COMPUTED_VALUE"""),"TN")</f>
        <v>TN</v>
      </c>
      <c r="E34" s="8" t="str">
        <f>IFERROR(__xludf.DUMMYFUNCTION("""COMPUTED_VALUE"""),"USA")</f>
        <v>USA</v>
      </c>
      <c r="F34" s="8" t="str">
        <f>IFERROR(__xludf.DUMMYFUNCTION("""COMPUTED_VALUE"""),"Pro AA Luck")</f>
        <v>Pro AA Luck</v>
      </c>
      <c r="G34" s="8" t="str">
        <f>IFERROR(__xludf.DUMMYFUNCTION("""COMPUTED_VALUE"""),"4th")</f>
        <v>4th</v>
      </c>
      <c r="H34" s="8" t="str">
        <f>IFERROR(__xludf.DUMMYFUNCTION("""COMPUTED_VALUE"""),"BullShooter 34 Finals")</f>
        <v>BullShooter 34 Finals</v>
      </c>
      <c r="I34" s="10">
        <f>IFERROR(__xludf.DUMMYFUNCTION("""COMPUTED_VALUE"""),43617.0)</f>
        <v>43617</v>
      </c>
      <c r="J34" s="10">
        <f>IFERROR(__xludf.DUMMYFUNCTION("""COMPUTED_VALUE"""),44713.0)</f>
        <v>44713</v>
      </c>
      <c r="K34" s="15">
        <f>IFERROR(__xludf.DUMMYFUNCTION("""COMPUTED_VALUE"""),45809.0)</f>
        <v>45809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9" t="str">
        <f>IFERROR(__xludf.DUMMYFUNCTION("""COMPUTED_VALUE"""),"Cheng")</f>
        <v>Cheng</v>
      </c>
      <c r="B35" s="8" t="str">
        <f>IFERROR(__xludf.DUMMYFUNCTION("""COMPUTED_VALUE"""),"Weikun")</f>
        <v>Weikun</v>
      </c>
      <c r="C35" s="8" t="str">
        <f>IFERROR(__xludf.DUMMYFUNCTION("""COMPUTED_VALUE"""),"")</f>
        <v/>
      </c>
      <c r="D35" s="8" t="str">
        <f>IFERROR(__xludf.DUMMYFUNCTION("""COMPUTED_VALUE"""),"UNK")</f>
        <v>UNK</v>
      </c>
      <c r="E35" s="8" t="str">
        <f>IFERROR(__xludf.DUMMYFUNCTION("""COMPUTED_VALUE"""),"TAIWAN")</f>
        <v>TAIWAN</v>
      </c>
      <c r="F35" s="8" t="str">
        <f>IFERROR(__xludf.DUMMYFUNCTION("""COMPUTED_VALUE"""),"DL")</f>
        <v>DL</v>
      </c>
      <c r="G35" s="8" t="str">
        <f>IFERROR(__xludf.DUMMYFUNCTION("""COMPUTED_VALUE"""),"60th")</f>
        <v>60th</v>
      </c>
      <c r="H35" s="8" t="str">
        <f>IFERROR(__xludf.DUMMYFUNCTION("""COMPUTED_VALUE"""),"DL 2018")</f>
        <v>DL 2018</v>
      </c>
      <c r="I35" s="10">
        <f>IFERROR(__xludf.DUMMYFUNCTION("""COMPUTED_VALUE"""),43136.0)</f>
        <v>43136</v>
      </c>
      <c r="J35" s="10">
        <f>IFERROR(__xludf.DUMMYFUNCTION("""COMPUTED_VALUE"""),44348.0)</f>
        <v>44348</v>
      </c>
      <c r="K35" s="15">
        <f>IFERROR(__xludf.DUMMYFUNCTION("""COMPUTED_VALUE"""),45444.0)</f>
        <v>45444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9" t="str">
        <f>IFERROR(__xludf.DUMMYFUNCTION("""COMPUTED_VALUE"""),"Chisnall")</f>
        <v>Chisnall</v>
      </c>
      <c r="B36" s="8" t="str">
        <f>IFERROR(__xludf.DUMMYFUNCTION("""COMPUTED_VALUE"""),"Dave")</f>
        <v>Dave</v>
      </c>
      <c r="C36" s="8" t="str">
        <f>IFERROR(__xludf.DUMMYFUNCTION("""COMPUTED_VALUE"""),"")</f>
        <v/>
      </c>
      <c r="D36" s="8" t="str">
        <f>IFERROR(__xludf.DUMMYFUNCTION("""COMPUTED_VALUE"""),"UNK")</f>
        <v>UNK</v>
      </c>
      <c r="E36" s="8" t="str">
        <f>IFERROR(__xludf.DUMMYFUNCTION("""COMPUTED_VALUE"""),"England")</f>
        <v>England</v>
      </c>
      <c r="F36" s="8" t="str">
        <f>IFERROR(__xludf.DUMMYFUNCTION("""COMPUTED_VALUE"""),"PDC Merit Ranking")</f>
        <v>PDC Merit Ranking</v>
      </c>
      <c r="G36" s="8" t="str">
        <f>IFERROR(__xludf.DUMMYFUNCTION("""COMPUTED_VALUE"""),"7th")</f>
        <v>7th</v>
      </c>
      <c r="H36" s="8" t="str">
        <f>IFERROR(__xludf.DUMMYFUNCTION("""COMPUTED_VALUE"""),"PDC Merit Ranking")</f>
        <v>PDC Merit Ranking</v>
      </c>
      <c r="I36" s="10">
        <f>IFERROR(__xludf.DUMMYFUNCTION("""COMPUTED_VALUE"""),43132.0)</f>
        <v>43132</v>
      </c>
      <c r="J36" s="10">
        <f>IFERROR(__xludf.DUMMYFUNCTION("""COMPUTED_VALUE"""),44348.0)</f>
        <v>44348</v>
      </c>
      <c r="K36" s="15">
        <f>IFERROR(__xludf.DUMMYFUNCTION("""COMPUTED_VALUE"""),45444.0)</f>
        <v>45444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9" t="str">
        <f>IFERROR(__xludf.DUMMYFUNCTION("""COMPUTED_VALUE"""),"Chmielak")</f>
        <v>Chmielak</v>
      </c>
      <c r="B37" s="8" t="str">
        <f>IFERROR(__xludf.DUMMYFUNCTION("""COMPUTED_VALUE"""),"Joel")</f>
        <v>Joel</v>
      </c>
      <c r="C37" s="8" t="str">
        <f>IFERROR(__xludf.DUMMYFUNCTION("""COMPUTED_VALUE"""),"Streamwood")</f>
        <v>Streamwood</v>
      </c>
      <c r="D37" s="8" t="str">
        <f>IFERROR(__xludf.DUMMYFUNCTION("""COMPUTED_VALUE"""),"IL")</f>
        <v>IL</v>
      </c>
      <c r="E37" s="8" t="str">
        <f>IFERROR(__xludf.DUMMYFUNCTION("""COMPUTED_VALUE"""),"USA")</f>
        <v>USA</v>
      </c>
      <c r="F37" s="8" t="str">
        <f>IFERROR(__xludf.DUMMYFUNCTION("""COMPUTED_VALUE"""),"Pro 501 Singles")</f>
        <v>Pro 501 Singles</v>
      </c>
      <c r="G37" s="8" t="str">
        <f>IFERROR(__xludf.DUMMYFUNCTION("""COMPUTED_VALUE"""),"4th")</f>
        <v>4th</v>
      </c>
      <c r="H37" s="8" t="str">
        <f>IFERROR(__xludf.DUMMYFUNCTION("""COMPUTED_VALUE"""),"BullShooter 32")</f>
        <v>BullShooter 32</v>
      </c>
      <c r="I37" s="10">
        <f>IFERROR(__xludf.DUMMYFUNCTION("""COMPUTED_VALUE"""),42887.0)</f>
        <v>42887</v>
      </c>
      <c r="J37" s="10">
        <f>IFERROR(__xludf.DUMMYFUNCTION("""COMPUTED_VALUE"""),43983.0)</f>
        <v>43983</v>
      </c>
      <c r="K37" s="15">
        <f>IFERROR(__xludf.DUMMYFUNCTION("""COMPUTED_VALUE"""),45078.0)</f>
        <v>45078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9" t="str">
        <f>IFERROR(__xludf.DUMMYFUNCTION("""COMPUTED_VALUE"""),"Chorba")</f>
        <v>Chorba</v>
      </c>
      <c r="B38" s="8" t="str">
        <f>IFERROR(__xludf.DUMMYFUNCTION("""COMPUTED_VALUE"""),"Steve")</f>
        <v>Steve</v>
      </c>
      <c r="C38" s="8" t="str">
        <f>IFERROR(__xludf.DUMMYFUNCTION("""COMPUTED_VALUE"""),"")</f>
        <v/>
      </c>
      <c r="D38" s="8" t="str">
        <f>IFERROR(__xludf.DUMMYFUNCTION("""COMPUTED_VALUE"""),"UNK")</f>
        <v>UNK</v>
      </c>
      <c r="E38" s="8" t="str">
        <f>IFERROR(__xludf.DUMMYFUNCTION("""COMPUTED_VALUE"""),"")</f>
        <v/>
      </c>
      <c r="F38" s="8" t="str">
        <f>IFERROR(__xludf.DUMMYFUNCTION("""COMPUTED_VALUE"""),"ADO 2018")</f>
        <v>ADO 2018</v>
      </c>
      <c r="G38" s="8" t="str">
        <f>IFERROR(__xludf.DUMMYFUNCTION("""COMPUTED_VALUE"""),"35th")</f>
        <v>35th</v>
      </c>
      <c r="H38" s="8" t="str">
        <f>IFERROR(__xludf.DUMMYFUNCTION("""COMPUTED_VALUE"""),"ADO 2018")</f>
        <v>ADO 2018</v>
      </c>
      <c r="I38" s="10">
        <f>IFERROR(__xludf.DUMMYFUNCTION("""COMPUTED_VALUE"""),43132.0)</f>
        <v>43132</v>
      </c>
      <c r="J38" s="10">
        <f>IFERROR(__xludf.DUMMYFUNCTION("""COMPUTED_VALUE"""),44348.0)</f>
        <v>44348</v>
      </c>
      <c r="K38" s="15">
        <f>IFERROR(__xludf.DUMMYFUNCTION("""COMPUTED_VALUE"""),45444.0)</f>
        <v>45444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9" t="str">
        <f>IFERROR(__xludf.DUMMYFUNCTION("""COMPUTED_VALUE"""),"Chuang")</f>
        <v>Chuang</v>
      </c>
      <c r="B39" s="8" t="str">
        <f>IFERROR(__xludf.DUMMYFUNCTION("""COMPUTED_VALUE"""),"Lee Chao")</f>
        <v>Lee Chao</v>
      </c>
      <c r="C39" s="8" t="str">
        <f>IFERROR(__xludf.DUMMYFUNCTION("""COMPUTED_VALUE"""),"")</f>
        <v/>
      </c>
      <c r="D39" s="8" t="str">
        <f>IFERROR(__xludf.DUMMYFUNCTION("""COMPUTED_VALUE"""),"UNK")</f>
        <v>UNK</v>
      </c>
      <c r="E39" s="8" t="str">
        <f>IFERROR(__xludf.DUMMYFUNCTION("""COMPUTED_VALUE"""),"TAIWAN")</f>
        <v>TAIWAN</v>
      </c>
      <c r="F39" s="8" t="str">
        <f>IFERROR(__xludf.DUMMYFUNCTION("""COMPUTED_VALUE"""),"DL")</f>
        <v>DL</v>
      </c>
      <c r="G39" s="8" t="str">
        <f>IFERROR(__xludf.DUMMYFUNCTION("""COMPUTED_VALUE"""),"49th")</f>
        <v>49th</v>
      </c>
      <c r="H39" s="8" t="str">
        <f>IFERROR(__xludf.DUMMYFUNCTION("""COMPUTED_VALUE"""),"DL 2018")</f>
        <v>DL 2018</v>
      </c>
      <c r="I39" s="10">
        <f>IFERROR(__xludf.DUMMYFUNCTION("""COMPUTED_VALUE"""),43136.0)</f>
        <v>43136</v>
      </c>
      <c r="J39" s="10">
        <f>IFERROR(__xludf.DUMMYFUNCTION("""COMPUTED_VALUE"""),44348.0)</f>
        <v>44348</v>
      </c>
      <c r="K39" s="15">
        <f>IFERROR(__xludf.DUMMYFUNCTION("""COMPUTED_VALUE"""),45444.0)</f>
        <v>45444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9" t="str">
        <f>IFERROR(__xludf.DUMMYFUNCTION("""COMPUTED_VALUE"""),"Clayton")</f>
        <v>Clayton</v>
      </c>
      <c r="B40" s="8" t="str">
        <f>IFERROR(__xludf.DUMMYFUNCTION("""COMPUTED_VALUE"""),"Jonny")</f>
        <v>Jonny</v>
      </c>
      <c r="C40" s="8" t="str">
        <f>IFERROR(__xludf.DUMMYFUNCTION("""COMPUTED_VALUE"""),"")</f>
        <v/>
      </c>
      <c r="D40" s="8" t="str">
        <f>IFERROR(__xludf.DUMMYFUNCTION("""COMPUTED_VALUE"""),"UNK")</f>
        <v>UNK</v>
      </c>
      <c r="E40" s="8" t="str">
        <f>IFERROR(__xludf.DUMMYFUNCTION("""COMPUTED_VALUE"""),"England")</f>
        <v>England</v>
      </c>
      <c r="F40" s="8" t="str">
        <f>IFERROR(__xludf.DUMMYFUNCTION("""COMPUTED_VALUE"""),"PDC Merit Ranking")</f>
        <v>PDC Merit Ranking</v>
      </c>
      <c r="G40" s="8" t="str">
        <f>IFERROR(__xludf.DUMMYFUNCTION("""COMPUTED_VALUE"""),"31st")</f>
        <v>31st</v>
      </c>
      <c r="H40" s="8" t="str">
        <f>IFERROR(__xludf.DUMMYFUNCTION("""COMPUTED_VALUE"""),"PDC Merit Ranking")</f>
        <v>PDC Merit Ranking</v>
      </c>
      <c r="I40" s="10">
        <f>IFERROR(__xludf.DUMMYFUNCTION("""COMPUTED_VALUE"""),43132.0)</f>
        <v>43132</v>
      </c>
      <c r="J40" s="10">
        <f>IFERROR(__xludf.DUMMYFUNCTION("""COMPUTED_VALUE"""),44348.0)</f>
        <v>44348</v>
      </c>
      <c r="K40" s="15">
        <f>IFERROR(__xludf.DUMMYFUNCTION("""COMPUTED_VALUE"""),45444.0)</f>
        <v>45444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9" t="str">
        <f>IFERROR(__xludf.DUMMYFUNCTION("""COMPUTED_VALUE"""),"Connell")</f>
        <v>Connell</v>
      </c>
      <c r="B41" s="8" t="str">
        <f>IFERROR(__xludf.DUMMYFUNCTION("""COMPUTED_VALUE"""),"Jeremy")</f>
        <v>Jeremy</v>
      </c>
      <c r="C41" s="8" t="str">
        <f>IFERROR(__xludf.DUMMYFUNCTION("""COMPUTED_VALUE"""),"Liverpool")</f>
        <v>Liverpool</v>
      </c>
      <c r="D41" s="8" t="str">
        <f>IFERROR(__xludf.DUMMYFUNCTION("""COMPUTED_VALUE"""),"NY")</f>
        <v>NY</v>
      </c>
      <c r="E41" s="8" t="str">
        <f>IFERROR(__xludf.DUMMYFUNCTION("""COMPUTED_VALUE"""),"USA")</f>
        <v>USA</v>
      </c>
      <c r="F41" s="8" t="str">
        <f>IFERROR(__xludf.DUMMYFUNCTION("""COMPUTED_VALUE"""),"Pro 501 Doubles")</f>
        <v>Pro 501 Doubles</v>
      </c>
      <c r="G41" s="8" t="str">
        <f>IFERROR(__xludf.DUMMYFUNCTION("""COMPUTED_VALUE"""),"1st")</f>
        <v>1st</v>
      </c>
      <c r="H41" s="8" t="str">
        <f>IFERROR(__xludf.DUMMYFUNCTION("""COMPUTED_VALUE"""),"BullShooter 34 Finals")</f>
        <v>BullShooter 34 Finals</v>
      </c>
      <c r="I41" s="10">
        <f>IFERROR(__xludf.DUMMYFUNCTION("""COMPUTED_VALUE"""),43617.0)</f>
        <v>43617</v>
      </c>
      <c r="J41" s="10">
        <f>IFERROR(__xludf.DUMMYFUNCTION("""COMPUTED_VALUE"""),44713.0)</f>
        <v>44713</v>
      </c>
      <c r="K41" s="15">
        <f>IFERROR(__xludf.DUMMYFUNCTION("""COMPUTED_VALUE"""),45809.0)</f>
        <v>45809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9" t="str">
        <f>IFERROR(__xludf.DUMMYFUNCTION("""COMPUTED_VALUE"""),"Connell")</f>
        <v>Connell</v>
      </c>
      <c r="B42" s="8" t="str">
        <f>IFERROR(__xludf.DUMMYFUNCTION("""COMPUTED_VALUE"""),"Joshua")</f>
        <v>Joshua</v>
      </c>
      <c r="C42" s="8" t="str">
        <f>IFERROR(__xludf.DUMMYFUNCTION("""COMPUTED_VALUE"""),"N. Syracuse")</f>
        <v>N. Syracuse</v>
      </c>
      <c r="D42" s="8" t="str">
        <f>IFERROR(__xludf.DUMMYFUNCTION("""COMPUTED_VALUE"""),"NY")</f>
        <v>NY</v>
      </c>
      <c r="E42" s="8" t="str">
        <f>IFERROR(__xludf.DUMMYFUNCTION("""COMPUTED_VALUE"""),"USA")</f>
        <v>USA</v>
      </c>
      <c r="F42" s="8" t="str">
        <f>IFERROR(__xludf.DUMMYFUNCTION("""COMPUTED_VALUE"""),"Pro 501 Doubles")</f>
        <v>Pro 501 Doubles</v>
      </c>
      <c r="G42" s="8" t="str">
        <f>IFERROR(__xludf.DUMMYFUNCTION("""COMPUTED_VALUE"""),"1st")</f>
        <v>1st</v>
      </c>
      <c r="H42" s="8" t="str">
        <f>IFERROR(__xludf.DUMMYFUNCTION("""COMPUTED_VALUE"""),"BullShooter 34 Finals")</f>
        <v>BullShooter 34 Finals</v>
      </c>
      <c r="I42" s="10">
        <f>IFERROR(__xludf.DUMMYFUNCTION("""COMPUTED_VALUE"""),43617.0)</f>
        <v>43617</v>
      </c>
      <c r="J42" s="10">
        <f>IFERROR(__xludf.DUMMYFUNCTION("""COMPUTED_VALUE"""),44713.0)</f>
        <v>44713</v>
      </c>
      <c r="K42" s="15">
        <f>IFERROR(__xludf.DUMMYFUNCTION("""COMPUTED_VALUE"""),45809.0)</f>
        <v>45809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9" t="str">
        <f>IFERROR(__xludf.DUMMYFUNCTION("""COMPUTED_VALUE"""),"Cross")</f>
        <v>Cross</v>
      </c>
      <c r="B43" s="8" t="str">
        <f>IFERROR(__xludf.DUMMYFUNCTION("""COMPUTED_VALUE"""),"Rob")</f>
        <v>Rob</v>
      </c>
      <c r="C43" s="8" t="str">
        <f>IFERROR(__xludf.DUMMYFUNCTION("""COMPUTED_VALUE"""),"")</f>
        <v/>
      </c>
      <c r="D43" s="8" t="str">
        <f>IFERROR(__xludf.DUMMYFUNCTION("""COMPUTED_VALUE"""),"UNK")</f>
        <v>UNK</v>
      </c>
      <c r="E43" s="8" t="str">
        <f>IFERROR(__xludf.DUMMYFUNCTION("""COMPUTED_VALUE"""),"England")</f>
        <v>England</v>
      </c>
      <c r="F43" s="8" t="str">
        <f>IFERROR(__xludf.DUMMYFUNCTION("""COMPUTED_VALUE"""),"PDC Merit Ranking")</f>
        <v>PDC Merit Ranking</v>
      </c>
      <c r="G43" s="8" t="str">
        <f>IFERROR(__xludf.DUMMYFUNCTION("""COMPUTED_VALUE"""),"3rd")</f>
        <v>3rd</v>
      </c>
      <c r="H43" s="8" t="str">
        <f>IFERROR(__xludf.DUMMYFUNCTION("""COMPUTED_VALUE"""),"PDC Merit Ranking")</f>
        <v>PDC Merit Ranking</v>
      </c>
      <c r="I43" s="10">
        <f>IFERROR(__xludf.DUMMYFUNCTION("""COMPUTED_VALUE"""),43132.0)</f>
        <v>43132</v>
      </c>
      <c r="J43" s="10">
        <f>IFERROR(__xludf.DUMMYFUNCTION("""COMPUTED_VALUE"""),44348.0)</f>
        <v>44348</v>
      </c>
      <c r="K43" s="15">
        <f>IFERROR(__xludf.DUMMYFUNCTION("""COMPUTED_VALUE"""),45444.0)</f>
        <v>45444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12" t="str">
        <f>IFERROR(__xludf.DUMMYFUNCTION("""COMPUTED_VALUE"""),"Cullen")</f>
        <v>Cullen</v>
      </c>
      <c r="B44" s="13" t="str">
        <f>IFERROR(__xludf.DUMMYFUNCTION("""COMPUTED_VALUE"""),"Joe")</f>
        <v>Joe</v>
      </c>
      <c r="C44" s="13" t="str">
        <f>IFERROR(__xludf.DUMMYFUNCTION("""COMPUTED_VALUE"""),"")</f>
        <v/>
      </c>
      <c r="D44" s="13" t="str">
        <f>IFERROR(__xludf.DUMMYFUNCTION("""COMPUTED_VALUE"""),"UNK")</f>
        <v>UNK</v>
      </c>
      <c r="E44" s="13" t="str">
        <f>IFERROR(__xludf.DUMMYFUNCTION("""COMPUTED_VALUE"""),"England")</f>
        <v>England</v>
      </c>
      <c r="F44" s="13" t="str">
        <f>IFERROR(__xludf.DUMMYFUNCTION("""COMPUTED_VALUE"""),"PDC Merit Ranking")</f>
        <v>PDC Merit Ranking</v>
      </c>
      <c r="G44" s="13" t="str">
        <f>IFERROR(__xludf.DUMMYFUNCTION("""COMPUTED_VALUE"""),"18th")</f>
        <v>18th</v>
      </c>
      <c r="H44" s="13" t="str">
        <f>IFERROR(__xludf.DUMMYFUNCTION("""COMPUTED_VALUE"""),"PDC Merit Ranking")</f>
        <v>PDC Merit Ranking</v>
      </c>
      <c r="I44" s="14">
        <f>IFERROR(__xludf.DUMMYFUNCTION("""COMPUTED_VALUE"""),43132.0)</f>
        <v>43132</v>
      </c>
      <c r="J44" s="14">
        <f>IFERROR(__xludf.DUMMYFUNCTION("""COMPUTED_VALUE"""),44348.0)</f>
        <v>44348</v>
      </c>
      <c r="K44" s="15">
        <f>IFERROR(__xludf.DUMMYFUNCTION("""COMPUTED_VALUE"""),45444.0)</f>
        <v>45444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9" t="str">
        <f>IFERROR(__xludf.DUMMYFUNCTION("""COMPUTED_VALUE"""),"Curtin")</f>
        <v>Curtin</v>
      </c>
      <c r="B45" s="8" t="str">
        <f>IFERROR(__xludf.DUMMYFUNCTION("""COMPUTED_VALUE"""),"Tom")</f>
        <v>Tom</v>
      </c>
      <c r="C45" s="8" t="str">
        <f>IFERROR(__xludf.DUMMYFUNCTION("""COMPUTED_VALUE"""),"Chelmsford")</f>
        <v>Chelmsford</v>
      </c>
      <c r="D45" s="8" t="str">
        <f>IFERROR(__xludf.DUMMYFUNCTION("""COMPUTED_VALUE"""),"MA")</f>
        <v>MA</v>
      </c>
      <c r="E45" s="8" t="str">
        <f>IFERROR(__xludf.DUMMYFUNCTION("""COMPUTED_VALUE"""),"USA")</f>
        <v>USA</v>
      </c>
      <c r="F45" s="8" t="str">
        <f>IFERROR(__xludf.DUMMYFUNCTION("""COMPUTED_VALUE"""),"ADO 2018")</f>
        <v>ADO 2018</v>
      </c>
      <c r="G45" s="8" t="str">
        <f>IFERROR(__xludf.DUMMYFUNCTION("""COMPUTED_VALUE"""),"13th")</f>
        <v>13th</v>
      </c>
      <c r="H45" s="8" t="str">
        <f>IFERROR(__xludf.DUMMYFUNCTION("""COMPUTED_VALUE"""),"ADO 2018")</f>
        <v>ADO 2018</v>
      </c>
      <c r="I45" s="10">
        <f>IFERROR(__xludf.DUMMYFUNCTION("""COMPUTED_VALUE"""),43132.0)</f>
        <v>43132</v>
      </c>
      <c r="J45" s="10">
        <f>IFERROR(__xludf.DUMMYFUNCTION("""COMPUTED_VALUE"""),44348.0)</f>
        <v>44348</v>
      </c>
      <c r="K45" s="15">
        <f>IFERROR(__xludf.DUMMYFUNCTION("""COMPUTED_VALUE"""),45444.0)</f>
        <v>45444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9" t="str">
        <f>IFERROR(__xludf.DUMMYFUNCTION("""COMPUTED_VALUE"""),"Decker")</f>
        <v>Decker</v>
      </c>
      <c r="B46" s="8" t="str">
        <f>IFERROR(__xludf.DUMMYFUNCTION("""COMPUTED_VALUE"""),"Josh")</f>
        <v>Josh</v>
      </c>
      <c r="C46" s="8" t="str">
        <f>IFERROR(__xludf.DUMMYFUNCTION("""COMPUTED_VALUE"""),"")</f>
        <v/>
      </c>
      <c r="D46" s="8" t="str">
        <f>IFERROR(__xludf.DUMMYFUNCTION("""COMPUTED_VALUE"""),"UNK")</f>
        <v>UNK</v>
      </c>
      <c r="E46" s="8" t="str">
        <f>IFERROR(__xludf.DUMMYFUNCTION("""COMPUTED_VALUE"""),"UNK")</f>
        <v>UNK</v>
      </c>
      <c r="F46" s="8" t="str">
        <f>IFERROR(__xludf.DUMMYFUNCTION("""COMPUTED_VALUE"""),"ADO 2018")</f>
        <v>ADO 2018</v>
      </c>
      <c r="G46" s="8" t="str">
        <f>IFERROR(__xludf.DUMMYFUNCTION("""COMPUTED_VALUE"""),"30th")</f>
        <v>30th</v>
      </c>
      <c r="H46" s="8" t="str">
        <f>IFERROR(__xludf.DUMMYFUNCTION("""COMPUTED_VALUE"""),"ADO 2018")</f>
        <v>ADO 2018</v>
      </c>
      <c r="I46" s="10">
        <f>IFERROR(__xludf.DUMMYFUNCTION("""COMPUTED_VALUE"""),43132.0)</f>
        <v>43132</v>
      </c>
      <c r="J46" s="10">
        <f>IFERROR(__xludf.DUMMYFUNCTION("""COMPUTED_VALUE"""),44348.0)</f>
        <v>44348</v>
      </c>
      <c r="K46" s="15">
        <f>IFERROR(__xludf.DUMMYFUNCTION("""COMPUTED_VALUE"""),45444.0)</f>
        <v>45444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9" t="str">
        <f>IFERROR(__xludf.DUMMYFUNCTION("""COMPUTED_VALUE"""),"Dekker")</f>
        <v>Dekker</v>
      </c>
      <c r="B47" s="8" t="str">
        <f>IFERROR(__xludf.DUMMYFUNCTION("""COMPUTED_VALUE"""),"Jan")</f>
        <v>Jan</v>
      </c>
      <c r="C47" s="8" t="str">
        <f>IFERROR(__xludf.DUMMYFUNCTION("""COMPUTED_VALUE"""),"")</f>
        <v/>
      </c>
      <c r="D47" s="8" t="str">
        <f>IFERROR(__xludf.DUMMYFUNCTION("""COMPUTED_VALUE"""),"UNK")</f>
        <v>UNK</v>
      </c>
      <c r="E47" s="8" t="str">
        <f>IFERROR(__xludf.DUMMYFUNCTION("""COMPUTED_VALUE"""),"Netherlands")</f>
        <v>Netherlands</v>
      </c>
      <c r="F47" s="8" t="str">
        <f>IFERROR(__xludf.DUMMYFUNCTION("""COMPUTED_VALUE"""),"PDC Merit Ranking")</f>
        <v>PDC Merit Ranking</v>
      </c>
      <c r="G47" s="8" t="str">
        <f>IFERROR(__xludf.DUMMYFUNCTION("""COMPUTED_VALUE"""),"44th")</f>
        <v>44th</v>
      </c>
      <c r="H47" s="8" t="str">
        <f>IFERROR(__xludf.DUMMYFUNCTION("""COMPUTED_VALUE"""),"PDC Merit Ranking")</f>
        <v>PDC Merit Ranking</v>
      </c>
      <c r="I47" s="10">
        <f>IFERROR(__xludf.DUMMYFUNCTION("""COMPUTED_VALUE"""),43132.0)</f>
        <v>43132</v>
      </c>
      <c r="J47" s="10">
        <f>IFERROR(__xludf.DUMMYFUNCTION("""COMPUTED_VALUE"""),44348.0)</f>
        <v>44348</v>
      </c>
      <c r="K47" s="15">
        <f>IFERROR(__xludf.DUMMYFUNCTION("""COMPUTED_VALUE"""),45444.0)</f>
        <v>45444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9" t="str">
        <f>IFERROR(__xludf.DUMMYFUNCTION("""COMPUTED_VALUE"""),"Delfino")</f>
        <v>Delfino</v>
      </c>
      <c r="B48" s="8" t="str">
        <f>IFERROR(__xludf.DUMMYFUNCTION("""COMPUTED_VALUE"""),"Daniel")</f>
        <v>Daniel</v>
      </c>
      <c r="C48" s="8" t="str">
        <f>IFERROR(__xludf.DUMMYFUNCTION("""COMPUTED_VALUE"""),"Duluth")</f>
        <v>Duluth</v>
      </c>
      <c r="D48" s="8" t="str">
        <f>IFERROR(__xludf.DUMMYFUNCTION("""COMPUTED_VALUE"""),"GA")</f>
        <v>GA</v>
      </c>
      <c r="E48" s="8" t="str">
        <f>IFERROR(__xludf.DUMMYFUNCTION("""COMPUTED_VALUE"""),"USA")</f>
        <v>USA</v>
      </c>
      <c r="F48" s="8" t="str">
        <f>IFERROR(__xludf.DUMMYFUNCTION("""COMPUTED_VALUE"""),"Pro AA 501 Doubles")</f>
        <v>Pro AA 501 Doubles</v>
      </c>
      <c r="G48" s="8" t="str">
        <f>IFERROR(__xludf.DUMMYFUNCTION("""COMPUTED_VALUE"""),"2nd")</f>
        <v>2nd</v>
      </c>
      <c r="H48" s="8" t="str">
        <f>IFERROR(__xludf.DUMMYFUNCTION("""COMPUTED_VALUE"""),"BullShooter 34 Finals")</f>
        <v>BullShooter 34 Finals</v>
      </c>
      <c r="I48" s="10">
        <f>IFERROR(__xludf.DUMMYFUNCTION("""COMPUTED_VALUE"""),43617.0)</f>
        <v>43617</v>
      </c>
      <c r="J48" s="10">
        <f>IFERROR(__xludf.DUMMYFUNCTION("""COMPUTED_VALUE"""),44713.0)</f>
        <v>44713</v>
      </c>
      <c r="K48" s="15">
        <f>IFERROR(__xludf.DUMMYFUNCTION("""COMPUTED_VALUE"""),45809.0)</f>
        <v>45809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9" t="str">
        <f>IFERROR(__xludf.DUMMYFUNCTION("""COMPUTED_VALUE"""),"Denkovich")</f>
        <v>Denkovich</v>
      </c>
      <c r="B49" s="8" t="str">
        <f>IFERROR(__xludf.DUMMYFUNCTION("""COMPUTED_VALUE"""),"Danniel")</f>
        <v>Danniel</v>
      </c>
      <c r="C49" s="8" t="str">
        <f>IFERROR(__xludf.DUMMYFUNCTION("""COMPUTED_VALUE"""),"Monaca")</f>
        <v>Monaca</v>
      </c>
      <c r="D49" s="8" t="str">
        <f>IFERROR(__xludf.DUMMYFUNCTION("""COMPUTED_VALUE"""),"PA")</f>
        <v>PA</v>
      </c>
      <c r="E49" s="8" t="str">
        <f>IFERROR(__xludf.DUMMYFUNCTION("""COMPUTED_VALUE"""),"USA")</f>
        <v>USA</v>
      </c>
      <c r="F49" s="8" t="str">
        <f>IFERROR(__xludf.DUMMYFUNCTION("""COMPUTED_VALUE"""),"Pro Singles Cricket")</f>
        <v>Pro Singles Cricket</v>
      </c>
      <c r="G49" s="8" t="str">
        <f>IFERROR(__xludf.DUMMYFUNCTION("""COMPUTED_VALUE"""),"3rd")</f>
        <v>3rd</v>
      </c>
      <c r="H49" s="8" t="str">
        <f>IFERROR(__xludf.DUMMYFUNCTION("""COMPUTED_VALUE"""),"New York BS 34")</f>
        <v>New York BS 34</v>
      </c>
      <c r="I49" s="10">
        <f>IFERROR(__xludf.DUMMYFUNCTION("""COMPUTED_VALUE"""),43252.0)</f>
        <v>43252</v>
      </c>
      <c r="J49" s="10">
        <f>IFERROR(__xludf.DUMMYFUNCTION("""COMPUTED_VALUE"""),44348.0)</f>
        <v>44348</v>
      </c>
      <c r="K49" s="15">
        <f>IFERROR(__xludf.DUMMYFUNCTION("""COMPUTED_VALUE"""),45444.0)</f>
        <v>45444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9" t="str">
        <f>IFERROR(__xludf.DUMMYFUNCTION("""COMPUTED_VALUE"""),"Dersch")</f>
        <v>Dersch</v>
      </c>
      <c r="B50" s="8" t="str">
        <f>IFERROR(__xludf.DUMMYFUNCTION("""COMPUTED_VALUE"""),"Benjamin")</f>
        <v>Benjamin</v>
      </c>
      <c r="C50" s="8" t="str">
        <f>IFERROR(__xludf.DUMMYFUNCTION("""COMPUTED_VALUE"""),"Janesville")</f>
        <v>Janesville</v>
      </c>
      <c r="D50" s="8" t="str">
        <f>IFERROR(__xludf.DUMMYFUNCTION("""COMPUTED_VALUE"""),"WI")</f>
        <v>WI</v>
      </c>
      <c r="E50" s="8" t="str">
        <f>IFERROR(__xludf.DUMMYFUNCTION("""COMPUTED_VALUE"""),"USA")</f>
        <v>USA</v>
      </c>
      <c r="F50" s="8" t="str">
        <f>IFERROR(__xludf.DUMMYFUNCTION("""COMPUTED_VALUE"""),"TopGun Pro A/AA Singles")</f>
        <v>TopGun Pro A/AA Singles</v>
      </c>
      <c r="G50" s="8" t="str">
        <f>IFERROR(__xludf.DUMMYFUNCTION("""COMPUTED_VALUE"""),"3rd")</f>
        <v>3rd</v>
      </c>
      <c r="H50" s="8" t="str">
        <f>IFERROR(__xludf.DUMMYFUNCTION("""COMPUTED_VALUE"""),"BullShooter 34 Finals")</f>
        <v>BullShooter 34 Finals</v>
      </c>
      <c r="I50" s="10">
        <f>IFERROR(__xludf.DUMMYFUNCTION("""COMPUTED_VALUE"""),43617.0)</f>
        <v>43617</v>
      </c>
      <c r="J50" s="10">
        <f>IFERROR(__xludf.DUMMYFUNCTION("""COMPUTED_VALUE"""),44713.0)</f>
        <v>44713</v>
      </c>
      <c r="K50" s="15">
        <f>IFERROR(__xludf.DUMMYFUNCTION("""COMPUTED_VALUE"""),45809.0)</f>
        <v>45809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9" t="str">
        <f>IFERROR(__xludf.DUMMYFUNCTION("""COMPUTED_VALUE"""),"Dewitt")</f>
        <v>Dewitt</v>
      </c>
      <c r="B51" s="8" t="str">
        <f>IFERROR(__xludf.DUMMYFUNCTION("""COMPUTED_VALUE"""),"Robert")</f>
        <v>Robert</v>
      </c>
      <c r="C51" s="8" t="str">
        <f>IFERROR(__xludf.DUMMYFUNCTION("""COMPUTED_VALUE"""),"Kingsbury")</f>
        <v>Kingsbury</v>
      </c>
      <c r="D51" s="8" t="str">
        <f>IFERROR(__xludf.DUMMYFUNCTION("""COMPUTED_VALUE"""),"IN")</f>
        <v>IN</v>
      </c>
      <c r="E51" s="8" t="str">
        <f>IFERROR(__xludf.DUMMYFUNCTION("""COMPUTED_VALUE"""),"USA")</f>
        <v>USA</v>
      </c>
      <c r="F51" s="8" t="str">
        <f>IFERROR(__xludf.DUMMYFUNCTION("""COMPUTED_VALUE"""),"Pro Doubles")</f>
        <v>Pro Doubles</v>
      </c>
      <c r="G51" s="8" t="str">
        <f>IFERROR(__xludf.DUMMYFUNCTION("""COMPUTED_VALUE"""),"4th")</f>
        <v>4th</v>
      </c>
      <c r="H51" s="8" t="str">
        <f>IFERROR(__xludf.DUMMYFUNCTION("""COMPUTED_VALUE"""),"BS 33 Finals")</f>
        <v>BS 33 Finals</v>
      </c>
      <c r="I51" s="10">
        <f>IFERROR(__xludf.DUMMYFUNCTION("""COMPUTED_VALUE"""),43252.0)</f>
        <v>43252</v>
      </c>
      <c r="J51" s="10">
        <f>IFERROR(__xludf.DUMMYFUNCTION("""COMPUTED_VALUE"""),44348.0)</f>
        <v>44348</v>
      </c>
      <c r="K51" s="15">
        <f>IFERROR(__xludf.DUMMYFUNCTION("""COMPUTED_VALUE"""),45444.0)</f>
        <v>45444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9" t="str">
        <f>IFERROR(__xludf.DUMMYFUNCTION("""COMPUTED_VALUE"""),"DiGiacomo")</f>
        <v>DiGiacomo</v>
      </c>
      <c r="B52" s="8" t="str">
        <f>IFERROR(__xludf.DUMMYFUNCTION("""COMPUTED_VALUE"""),"William")</f>
        <v>William</v>
      </c>
      <c r="C52" s="8" t="str">
        <f>IFERROR(__xludf.DUMMYFUNCTION("""COMPUTED_VALUE"""),"Stickney")</f>
        <v>Stickney</v>
      </c>
      <c r="D52" s="8" t="str">
        <f>IFERROR(__xludf.DUMMYFUNCTION("""COMPUTED_VALUE"""),"IL")</f>
        <v>IL</v>
      </c>
      <c r="E52" s="8" t="str">
        <f>IFERROR(__xludf.DUMMYFUNCTION("""COMPUTED_VALUE"""),"USA")</f>
        <v>USA</v>
      </c>
      <c r="F52" s="8" t="str">
        <f>IFERROR(__xludf.DUMMYFUNCTION("""COMPUTED_VALUE"""),"Pro Cricket Doubles")</f>
        <v>Pro Cricket Doubles</v>
      </c>
      <c r="G52" s="8" t="str">
        <f>IFERROR(__xludf.DUMMYFUNCTION("""COMPUTED_VALUE"""),"2nd")</f>
        <v>2nd</v>
      </c>
      <c r="H52" s="8" t="str">
        <f>IFERROR(__xludf.DUMMYFUNCTION("""COMPUTED_VALUE"""),"BullShooter 32")</f>
        <v>BullShooter 32</v>
      </c>
      <c r="I52" s="10">
        <f>IFERROR(__xludf.DUMMYFUNCTION("""COMPUTED_VALUE"""),42887.0)</f>
        <v>42887</v>
      </c>
      <c r="J52" s="10">
        <f>IFERROR(__xludf.DUMMYFUNCTION("""COMPUTED_VALUE"""),43983.0)</f>
        <v>43983</v>
      </c>
      <c r="K52" s="15">
        <f>IFERROR(__xludf.DUMMYFUNCTION("""COMPUTED_VALUE"""),45078.0)</f>
        <v>45078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9" t="str">
        <f>IFERROR(__xludf.DUMMYFUNCTION("""COMPUTED_VALUE"""),"Dixon")</f>
        <v>Dixon</v>
      </c>
      <c r="B53" s="8" t="str">
        <f>IFERROR(__xludf.DUMMYFUNCTION("""COMPUTED_VALUE"""),"Gordon")</f>
        <v>Gordon</v>
      </c>
      <c r="C53" s="8" t="str">
        <f>IFERROR(__xludf.DUMMYFUNCTION("""COMPUTED_VALUE"""),"Pickerington")</f>
        <v>Pickerington</v>
      </c>
      <c r="D53" s="8" t="str">
        <f>IFERROR(__xludf.DUMMYFUNCTION("""COMPUTED_VALUE"""),"OH")</f>
        <v>OH</v>
      </c>
      <c r="E53" s="8" t="str">
        <f>IFERROR(__xludf.DUMMYFUNCTION("""COMPUTED_VALUE"""),"USA")</f>
        <v>USA</v>
      </c>
      <c r="F53" s="8" t="str">
        <f>IFERROR(__xludf.DUMMYFUNCTION("""COMPUTED_VALUE"""),"NAPDA 2017")</f>
        <v>NAPDA 2017</v>
      </c>
      <c r="G53" s="8" t="str">
        <f>IFERROR(__xludf.DUMMYFUNCTION("""COMPUTED_VALUE"""),"22nd")</f>
        <v>22nd</v>
      </c>
      <c r="H53" s="8" t="str">
        <f>IFERROR(__xludf.DUMMYFUNCTION("""COMPUTED_VALUE"""),"NAPDA 2017")</f>
        <v>NAPDA 2017</v>
      </c>
      <c r="I53" s="10">
        <f>IFERROR(__xludf.DUMMYFUNCTION("""COMPUTED_VALUE"""),42772.0)</f>
        <v>42772</v>
      </c>
      <c r="J53" s="10">
        <f>IFERROR(__xludf.DUMMYFUNCTION("""COMPUTED_VALUE"""),43983.0)</f>
        <v>43983</v>
      </c>
      <c r="K53" s="15">
        <f>IFERROR(__xludf.DUMMYFUNCTION("""COMPUTED_VALUE"""),45078.0)</f>
        <v>45078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9" t="str">
        <f>IFERROR(__xludf.DUMMYFUNCTION("""COMPUTED_VALUE"""),"Dobey")</f>
        <v>Dobey</v>
      </c>
      <c r="B54" s="8" t="str">
        <f>IFERROR(__xludf.DUMMYFUNCTION("""COMPUTED_VALUE"""),"Chris")</f>
        <v>Chris</v>
      </c>
      <c r="C54" s="8" t="str">
        <f>IFERROR(__xludf.DUMMYFUNCTION("""COMPUTED_VALUE"""),"")</f>
        <v/>
      </c>
      <c r="D54" s="8" t="str">
        <f>IFERROR(__xludf.DUMMYFUNCTION("""COMPUTED_VALUE"""),"UNK")</f>
        <v>UNK</v>
      </c>
      <c r="E54" s="8" t="str">
        <f>IFERROR(__xludf.DUMMYFUNCTION("""COMPUTED_VALUE"""),"England")</f>
        <v>England</v>
      </c>
      <c r="F54" s="8" t="str">
        <f>IFERROR(__xludf.DUMMYFUNCTION("""COMPUTED_VALUE"""),"PDC Merit Ranking")</f>
        <v>PDC Merit Ranking</v>
      </c>
      <c r="G54" s="8" t="str">
        <f>IFERROR(__xludf.DUMMYFUNCTION("""COMPUTED_VALUE"""),"35th")</f>
        <v>35th</v>
      </c>
      <c r="H54" s="8" t="str">
        <f>IFERROR(__xludf.DUMMYFUNCTION("""COMPUTED_VALUE"""),"PDC Merit Ranking")</f>
        <v>PDC Merit Ranking</v>
      </c>
      <c r="I54" s="10">
        <f>IFERROR(__xludf.DUMMYFUNCTION("""COMPUTED_VALUE"""),43132.0)</f>
        <v>43132</v>
      </c>
      <c r="J54" s="10">
        <f>IFERROR(__xludf.DUMMYFUNCTION("""COMPUTED_VALUE"""),44348.0)</f>
        <v>44348</v>
      </c>
      <c r="K54" s="15">
        <f>IFERROR(__xludf.DUMMYFUNCTION("""COMPUTED_VALUE"""),45444.0)</f>
        <v>45444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9" t="str">
        <f>IFERROR(__xludf.DUMMYFUNCTION("""COMPUTED_VALUE"""),"Dolan")</f>
        <v>Dolan</v>
      </c>
      <c r="B55" s="8" t="str">
        <f>IFERROR(__xludf.DUMMYFUNCTION("""COMPUTED_VALUE"""),"Brendon")</f>
        <v>Brendon</v>
      </c>
      <c r="C55" s="8" t="str">
        <f>IFERROR(__xludf.DUMMYFUNCTION("""COMPUTED_VALUE"""),"")</f>
        <v/>
      </c>
      <c r="D55" s="8" t="str">
        <f>IFERROR(__xludf.DUMMYFUNCTION("""COMPUTED_VALUE"""),"UNK")</f>
        <v>UNK</v>
      </c>
      <c r="E55" s="8" t="str">
        <f>IFERROR(__xludf.DUMMYFUNCTION("""COMPUTED_VALUE"""),"Nireland")</f>
        <v>Nireland</v>
      </c>
      <c r="F55" s="8" t="str">
        <f>IFERROR(__xludf.DUMMYFUNCTION("""COMPUTED_VALUE"""),"PDC Merit Ranking")</f>
        <v>PDC Merit Ranking</v>
      </c>
      <c r="G55" s="8" t="str">
        <f>IFERROR(__xludf.DUMMYFUNCTION("""COMPUTED_VALUE"""),"36th")</f>
        <v>36th</v>
      </c>
      <c r="H55" s="8" t="str">
        <f>IFERROR(__xludf.DUMMYFUNCTION("""COMPUTED_VALUE"""),"PDC Merit Ranking")</f>
        <v>PDC Merit Ranking</v>
      </c>
      <c r="I55" s="10">
        <f>IFERROR(__xludf.DUMMYFUNCTION("""COMPUTED_VALUE"""),43132.0)</f>
        <v>43132</v>
      </c>
      <c r="J55" s="10">
        <f>IFERROR(__xludf.DUMMYFUNCTION("""COMPUTED_VALUE"""),44348.0)</f>
        <v>44348</v>
      </c>
      <c r="K55" s="15">
        <f>IFERROR(__xludf.DUMMYFUNCTION("""COMPUTED_VALUE"""),45444.0)</f>
        <v>45444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9" t="str">
        <f>IFERROR(__xludf.DUMMYFUNCTION("""COMPUTED_VALUE"""),"Dotson")</f>
        <v>Dotson</v>
      </c>
      <c r="B56" s="8" t="str">
        <f>IFERROR(__xludf.DUMMYFUNCTION("""COMPUTED_VALUE"""),"Morgan")</f>
        <v>Morgan</v>
      </c>
      <c r="C56" s="8" t="str">
        <f>IFERROR(__xludf.DUMMYFUNCTION("""COMPUTED_VALUE"""),"")</f>
        <v/>
      </c>
      <c r="D56" s="8" t="str">
        <f>IFERROR(__xludf.DUMMYFUNCTION("""COMPUTED_VALUE"""),"UNK")</f>
        <v>UNK</v>
      </c>
      <c r="E56" s="8" t="str">
        <f>IFERROR(__xludf.DUMMYFUNCTION("""COMPUTED_VALUE"""),"USA")</f>
        <v>USA</v>
      </c>
      <c r="F56" s="8" t="str">
        <f>IFERROR(__xludf.DUMMYFUNCTION("""COMPUTED_VALUE"""),"ADO 2018")</f>
        <v>ADO 2018</v>
      </c>
      <c r="G56" s="8" t="str">
        <f>IFERROR(__xludf.DUMMYFUNCTION("""COMPUTED_VALUE"""),"26th")</f>
        <v>26th</v>
      </c>
      <c r="H56" s="8" t="str">
        <f>IFERROR(__xludf.DUMMYFUNCTION("""COMPUTED_VALUE"""),"ADO 2018")</f>
        <v>ADO 2018</v>
      </c>
      <c r="I56" s="10">
        <f>IFERROR(__xludf.DUMMYFUNCTION("""COMPUTED_VALUE"""),43132.0)</f>
        <v>43132</v>
      </c>
      <c r="J56" s="10">
        <f>IFERROR(__xludf.DUMMYFUNCTION("""COMPUTED_VALUE"""),44348.0)</f>
        <v>44348</v>
      </c>
      <c r="K56" s="15">
        <f>IFERROR(__xludf.DUMMYFUNCTION("""COMPUTED_VALUE"""),45444.0)</f>
        <v>45444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9" t="str">
        <f>IFERROR(__xludf.DUMMYFUNCTION("""COMPUTED_VALUE"""),"Dunmire")</f>
        <v>Dunmire</v>
      </c>
      <c r="B57" s="8" t="str">
        <f>IFERROR(__xludf.DUMMYFUNCTION("""COMPUTED_VALUE"""),"Ray")</f>
        <v>Ray</v>
      </c>
      <c r="C57" s="8" t="str">
        <f>IFERROR(__xludf.DUMMYFUNCTION("""COMPUTED_VALUE"""),"")</f>
        <v/>
      </c>
      <c r="D57" s="8" t="str">
        <f>IFERROR(__xludf.DUMMYFUNCTION("""COMPUTED_VALUE"""),"UNK")</f>
        <v>UNK</v>
      </c>
      <c r="E57" s="8" t="str">
        <f>IFERROR(__xludf.DUMMYFUNCTION("""COMPUTED_VALUE"""),"USA")</f>
        <v>USA</v>
      </c>
      <c r="F57" s="8" t="str">
        <f>IFERROR(__xludf.DUMMYFUNCTION("""COMPUTED_VALUE"""),"ADO 2017")</f>
        <v>ADO 2017</v>
      </c>
      <c r="G57" s="8" t="str">
        <f>IFERROR(__xludf.DUMMYFUNCTION("""COMPUTED_VALUE"""),"37th")</f>
        <v>37th</v>
      </c>
      <c r="H57" s="8" t="str">
        <f>IFERROR(__xludf.DUMMYFUNCTION("""COMPUTED_VALUE"""),"ADO 2017")</f>
        <v>ADO 2017</v>
      </c>
      <c r="I57" s="10">
        <f>IFERROR(__xludf.DUMMYFUNCTION("""COMPUTED_VALUE"""),42765.0)</f>
        <v>42765</v>
      </c>
      <c r="J57" s="10">
        <f>IFERROR(__xludf.DUMMYFUNCTION("""COMPUTED_VALUE"""),43983.0)</f>
        <v>43983</v>
      </c>
      <c r="K57" s="15">
        <f>IFERROR(__xludf.DUMMYFUNCTION("""COMPUTED_VALUE"""),45078.0)</f>
        <v>45078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9" t="str">
        <f>IFERROR(__xludf.DUMMYFUNCTION("""COMPUTED_VALUE"""),"Edmunds")</f>
        <v>Edmunds</v>
      </c>
      <c r="B58" s="8" t="str">
        <f>IFERROR(__xludf.DUMMYFUNCTION("""COMPUTED_VALUE"""),"Kiley")</f>
        <v>Kiley</v>
      </c>
      <c r="C58" s="8" t="str">
        <f>IFERROR(__xludf.DUMMYFUNCTION("""COMPUTED_VALUE"""),"")</f>
        <v/>
      </c>
      <c r="D58" s="8" t="str">
        <f>IFERROR(__xludf.DUMMYFUNCTION("""COMPUTED_VALUE"""),"UNK")</f>
        <v>UNK</v>
      </c>
      <c r="E58" s="8" t="str">
        <f>IFERROR(__xludf.DUMMYFUNCTION("""COMPUTED_VALUE"""),"Canada")</f>
        <v>Canada</v>
      </c>
      <c r="F58" s="8" t="str">
        <f>IFERROR(__xludf.DUMMYFUNCTION("""COMPUTED_VALUE"""),"NAPDA 2017")</f>
        <v>NAPDA 2017</v>
      </c>
      <c r="G58" s="8" t="str">
        <f>IFERROR(__xludf.DUMMYFUNCTION("""COMPUTED_VALUE"""),"42nd")</f>
        <v>42nd</v>
      </c>
      <c r="H58" s="8" t="str">
        <f>IFERROR(__xludf.DUMMYFUNCTION("""COMPUTED_VALUE"""),"NAPDA 2017")</f>
        <v>NAPDA 2017</v>
      </c>
      <c r="I58" s="10">
        <f>IFERROR(__xludf.DUMMYFUNCTION("""COMPUTED_VALUE"""),42772.0)</f>
        <v>42772</v>
      </c>
      <c r="J58" s="10">
        <f>IFERROR(__xludf.DUMMYFUNCTION("""COMPUTED_VALUE"""),43983.0)</f>
        <v>43983</v>
      </c>
      <c r="K58" s="15">
        <f>IFERROR(__xludf.DUMMYFUNCTION("""COMPUTED_VALUE"""),45078.0)</f>
        <v>45078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9" t="str">
        <f>IFERROR(__xludf.DUMMYFUNCTION("""COMPUTED_VALUE"""),"Efter")</f>
        <v>Efter</v>
      </c>
      <c r="B59" s="8" t="str">
        <f>IFERROR(__xludf.DUMMYFUNCTION("""COMPUTED_VALUE"""),"Joel")</f>
        <v>Joel</v>
      </c>
      <c r="C59" s="8" t="str">
        <f>IFERROR(__xludf.DUMMYFUNCTION("""COMPUTED_VALUE"""),"")</f>
        <v/>
      </c>
      <c r="D59" s="8" t="str">
        <f>IFERROR(__xludf.DUMMYFUNCTION("""COMPUTED_VALUE"""),"CT")</f>
        <v>CT</v>
      </c>
      <c r="E59" s="8" t="str">
        <f>IFERROR(__xludf.DUMMYFUNCTION("""COMPUTED_VALUE"""),"USA")</f>
        <v>USA</v>
      </c>
      <c r="F59" s="8" t="str">
        <f>IFERROR(__xludf.DUMMYFUNCTION("""COMPUTED_VALUE"""),"ADO 2018")</f>
        <v>ADO 2018</v>
      </c>
      <c r="G59" s="8" t="str">
        <f>IFERROR(__xludf.DUMMYFUNCTION("""COMPUTED_VALUE"""),"45th")</f>
        <v>45th</v>
      </c>
      <c r="H59" s="8" t="str">
        <f>IFERROR(__xludf.DUMMYFUNCTION("""COMPUTED_VALUE"""),"ADO 2018")</f>
        <v>ADO 2018</v>
      </c>
      <c r="I59" s="10">
        <f>IFERROR(__xludf.DUMMYFUNCTION("""COMPUTED_VALUE"""),43132.0)</f>
        <v>43132</v>
      </c>
      <c r="J59" s="10">
        <f>IFERROR(__xludf.DUMMYFUNCTION("""COMPUTED_VALUE"""),44348.0)</f>
        <v>44348</v>
      </c>
      <c r="K59" s="15">
        <f>IFERROR(__xludf.DUMMYFUNCTION("""COMPUTED_VALUE"""),45444.0)</f>
        <v>45444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9" t="str">
        <f>IFERROR(__xludf.DUMMYFUNCTION("""COMPUTED_VALUE"""),"Eguchi")</f>
        <v>Eguchi</v>
      </c>
      <c r="B60" s="8" t="str">
        <f>IFERROR(__xludf.DUMMYFUNCTION("""COMPUTED_VALUE"""),"Yuji")</f>
        <v>Yuji</v>
      </c>
      <c r="C60" s="8" t="str">
        <f>IFERROR(__xludf.DUMMYFUNCTION("""COMPUTED_VALUE"""),"")</f>
        <v/>
      </c>
      <c r="D60" s="8" t="str">
        <f>IFERROR(__xludf.DUMMYFUNCTION("""COMPUTED_VALUE"""),"UNK")</f>
        <v>UNK</v>
      </c>
      <c r="E60" s="8" t="str">
        <f>IFERROR(__xludf.DUMMYFUNCTION("""COMPUTED_VALUE"""),"Japan")</f>
        <v>Japan</v>
      </c>
      <c r="F60" s="8" t="str">
        <f>IFERROR(__xludf.DUMMYFUNCTION("""COMPUTED_VALUE"""),"DL")</f>
        <v>DL</v>
      </c>
      <c r="G60" s="8" t="str">
        <f>IFERROR(__xludf.DUMMYFUNCTION("""COMPUTED_VALUE"""),"17th")</f>
        <v>17th</v>
      </c>
      <c r="H60" s="8" t="str">
        <f>IFERROR(__xludf.DUMMYFUNCTION("""COMPUTED_VALUE"""),"DL 2018")</f>
        <v>DL 2018</v>
      </c>
      <c r="I60" s="10">
        <f>IFERROR(__xludf.DUMMYFUNCTION("""COMPUTED_VALUE"""),43136.0)</f>
        <v>43136</v>
      </c>
      <c r="J60" s="10">
        <f>IFERROR(__xludf.DUMMYFUNCTION("""COMPUTED_VALUE"""),44348.0)</f>
        <v>44348</v>
      </c>
      <c r="K60" s="15">
        <f>IFERROR(__xludf.DUMMYFUNCTION("""COMPUTED_VALUE"""),45444.0)</f>
        <v>45444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9" t="str">
        <f>IFERROR(__xludf.DUMMYFUNCTION("""COMPUTED_VALUE"""),"Emonts")</f>
        <v>Emonts</v>
      </c>
      <c r="B61" s="8" t="str">
        <f>IFERROR(__xludf.DUMMYFUNCTION("""COMPUTED_VALUE"""),"Francis")</f>
        <v>Francis</v>
      </c>
      <c r="C61" s="8" t="str">
        <f>IFERROR(__xludf.DUMMYFUNCTION("""COMPUTED_VALUE"""),"")</f>
        <v/>
      </c>
      <c r="D61" s="8" t="str">
        <f>IFERROR(__xludf.DUMMYFUNCTION("""COMPUTED_VALUE"""),"UNK")</f>
        <v>UNK</v>
      </c>
      <c r="E61" s="8" t="str">
        <f>IFERROR(__xludf.DUMMYFUNCTION("""COMPUTED_VALUE"""),"Belgium")</f>
        <v>Belgium</v>
      </c>
      <c r="F61" s="8" t="str">
        <f>IFERROR(__xludf.DUMMYFUNCTION("""COMPUTED_VALUE"""),"Top Gun A/AA Singles")</f>
        <v>Top Gun A/AA Singles</v>
      </c>
      <c r="G61" s="8" t="str">
        <f>IFERROR(__xludf.DUMMYFUNCTION("""COMPUTED_VALUE"""),"1st")</f>
        <v>1st</v>
      </c>
      <c r="H61" s="8" t="str">
        <f>IFERROR(__xludf.DUMMYFUNCTION("""COMPUTED_VALUE"""),"BullShooter 32")</f>
        <v>BullShooter 32</v>
      </c>
      <c r="I61" s="10">
        <f>IFERROR(__xludf.DUMMYFUNCTION("""COMPUTED_VALUE"""),42887.0)</f>
        <v>42887</v>
      </c>
      <c r="J61" s="10">
        <f>IFERROR(__xludf.DUMMYFUNCTION("""COMPUTED_VALUE"""),43983.0)</f>
        <v>43983</v>
      </c>
      <c r="K61" s="15">
        <f>IFERROR(__xludf.DUMMYFUNCTION("""COMPUTED_VALUE"""),45078.0)</f>
        <v>45078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9" t="str">
        <f>IFERROR(__xludf.DUMMYFUNCTION("""COMPUTED_VALUE"""),"Engelman")</f>
        <v>Engelman</v>
      </c>
      <c r="B62" s="8" t="str">
        <f>IFERROR(__xludf.DUMMYFUNCTION("""COMPUTED_VALUE"""),"Troy")</f>
        <v>Troy</v>
      </c>
      <c r="C62" s="8" t="str">
        <f>IFERROR(__xludf.DUMMYFUNCTION("""COMPUTED_VALUE"""),"Kettering")</f>
        <v>Kettering</v>
      </c>
      <c r="D62" s="8" t="str">
        <f>IFERROR(__xludf.DUMMYFUNCTION("""COMPUTED_VALUE"""),"OH")</f>
        <v>OH</v>
      </c>
      <c r="E62" s="8" t="str">
        <f>IFERROR(__xludf.DUMMYFUNCTION("""COMPUTED_VALUE"""),"USA")</f>
        <v>USA</v>
      </c>
      <c r="F62" s="8" t="str">
        <f>IFERROR(__xludf.DUMMYFUNCTION("""COMPUTED_VALUE"""),"TopGun A/AA Triples")</f>
        <v>TopGun A/AA Triples</v>
      </c>
      <c r="G62" s="8" t="str">
        <f>IFERROR(__xludf.DUMMYFUNCTION("""COMPUTED_VALUE"""),"3rd")</f>
        <v>3rd</v>
      </c>
      <c r="H62" s="8" t="str">
        <f>IFERROR(__xludf.DUMMYFUNCTION("""COMPUTED_VALUE"""),"BullShooter 34 Finals")</f>
        <v>BullShooter 34 Finals</v>
      </c>
      <c r="I62" s="10">
        <f>IFERROR(__xludf.DUMMYFUNCTION("""COMPUTED_VALUE"""),43617.0)</f>
        <v>43617</v>
      </c>
      <c r="J62" s="10">
        <f>IFERROR(__xludf.DUMMYFUNCTION("""COMPUTED_VALUE"""),44713.0)</f>
        <v>44713</v>
      </c>
      <c r="K62" s="15">
        <f>IFERROR(__xludf.DUMMYFUNCTION("""COMPUTED_VALUE"""),45809.0)</f>
        <v>45809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9" t="str">
        <f>IFERROR(__xludf.DUMMYFUNCTION("""COMPUTED_VALUE"""),"Enomata")</f>
        <v>Enomata</v>
      </c>
      <c r="B63" s="8" t="str">
        <f>IFERROR(__xludf.DUMMYFUNCTION("""COMPUTED_VALUE"""),"Shingo")</f>
        <v>Shingo</v>
      </c>
      <c r="C63" s="8" t="str">
        <f>IFERROR(__xludf.DUMMYFUNCTION("""COMPUTED_VALUE"""),"")</f>
        <v/>
      </c>
      <c r="D63" s="8" t="str">
        <f>IFERROR(__xludf.DUMMYFUNCTION("""COMPUTED_VALUE"""),"UNK")</f>
        <v>UNK</v>
      </c>
      <c r="E63" s="8" t="str">
        <f>IFERROR(__xludf.DUMMYFUNCTION("""COMPUTED_VALUE"""),"Japan")</f>
        <v>Japan</v>
      </c>
      <c r="F63" s="8" t="str">
        <f>IFERROR(__xludf.DUMMYFUNCTION("""COMPUTED_VALUE"""),"DL")</f>
        <v>DL</v>
      </c>
      <c r="G63" s="8" t="str">
        <f>IFERROR(__xludf.DUMMYFUNCTION("""COMPUTED_VALUE"""),"53rd")</f>
        <v>53rd</v>
      </c>
      <c r="H63" s="8" t="str">
        <f>IFERROR(__xludf.DUMMYFUNCTION("""COMPUTED_VALUE"""),"DL")</f>
        <v>DL</v>
      </c>
      <c r="I63" s="10">
        <f>IFERROR(__xludf.DUMMYFUNCTION("""COMPUTED_VALUE"""),43136.0)</f>
        <v>43136</v>
      </c>
      <c r="J63" s="10">
        <f>IFERROR(__xludf.DUMMYFUNCTION("""COMPUTED_VALUE"""),44348.0)</f>
        <v>44348</v>
      </c>
      <c r="K63" s="15">
        <f>IFERROR(__xludf.DUMMYFUNCTION("""COMPUTED_VALUE"""),45444.0)</f>
        <v>45444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9" t="str">
        <f>IFERROR(__xludf.DUMMYFUNCTION("""COMPUTED_VALUE"""),"Esparica")</f>
        <v>Esparica</v>
      </c>
      <c r="B64" s="8" t="str">
        <f>IFERROR(__xludf.DUMMYFUNCTION("""COMPUTED_VALUE"""),"Sergio")</f>
        <v>Sergio</v>
      </c>
      <c r="C64" s="8" t="str">
        <f>IFERROR(__xludf.DUMMYFUNCTION("""COMPUTED_VALUE"""),"")</f>
        <v/>
      </c>
      <c r="D64" s="8" t="str">
        <f>IFERROR(__xludf.DUMMYFUNCTION("""COMPUTED_VALUE"""),"UNK")</f>
        <v>UNK</v>
      </c>
      <c r="E64" s="8" t="str">
        <f>IFERROR(__xludf.DUMMYFUNCTION("""COMPUTED_VALUE"""),"Spain")</f>
        <v>Spain</v>
      </c>
      <c r="F64" s="8" t="str">
        <f>IFERROR(__xludf.DUMMYFUNCTION("""COMPUTED_VALUE"""),"Pro Doubles 301")</f>
        <v>Pro Doubles 301</v>
      </c>
      <c r="G64" s="8" t="str">
        <f>IFERROR(__xludf.DUMMYFUNCTION("""COMPUTED_VALUE"""),"2nd")</f>
        <v>2nd</v>
      </c>
      <c r="H64" s="8" t="str">
        <f>IFERROR(__xludf.DUMMYFUNCTION("""COMPUTED_VALUE"""),"European Bullshooter XXV")</f>
        <v>European Bullshooter XXV</v>
      </c>
      <c r="I64" s="10">
        <f>IFERROR(__xludf.DUMMYFUNCTION("""COMPUTED_VALUE"""),42828.0)</f>
        <v>42828</v>
      </c>
      <c r="J64" s="10">
        <f>IFERROR(__xludf.DUMMYFUNCTION("""COMPUTED_VALUE"""),43983.0)</f>
        <v>43983</v>
      </c>
      <c r="K64" s="15">
        <f>IFERROR(__xludf.DUMMYFUNCTION("""COMPUTED_VALUE"""),45078.0)</f>
        <v>45078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9" t="str">
        <f>IFERROR(__xludf.DUMMYFUNCTION("""COMPUTED_VALUE"""),"Estle")</f>
        <v>Estle</v>
      </c>
      <c r="B65" s="8" t="str">
        <f>IFERROR(__xludf.DUMMYFUNCTION("""COMPUTED_VALUE"""),"Scott")</f>
        <v>Scott</v>
      </c>
      <c r="C65" s="8" t="str">
        <f>IFERROR(__xludf.DUMMYFUNCTION("""COMPUTED_VALUE"""),"")</f>
        <v/>
      </c>
      <c r="D65" s="8" t="str">
        <f>IFERROR(__xludf.DUMMYFUNCTION("""COMPUTED_VALUE"""),"UNK")</f>
        <v>UNK</v>
      </c>
      <c r="E65" s="8" t="str">
        <f>IFERROR(__xludf.DUMMYFUNCTION("""COMPUTED_VALUE"""),"USA")</f>
        <v>USA</v>
      </c>
      <c r="F65" s="8" t="str">
        <f>IFERROR(__xludf.DUMMYFUNCTION("""COMPUTED_VALUE"""),"ADO 2018")</f>
        <v>ADO 2018</v>
      </c>
      <c r="G65" s="8" t="str">
        <f>IFERROR(__xludf.DUMMYFUNCTION("""COMPUTED_VALUE"""),"21st")</f>
        <v>21st</v>
      </c>
      <c r="H65" s="8" t="str">
        <f>IFERROR(__xludf.DUMMYFUNCTION("""COMPUTED_VALUE"""),"ADO 2018")</f>
        <v>ADO 2018</v>
      </c>
      <c r="I65" s="10">
        <f>IFERROR(__xludf.DUMMYFUNCTION("""COMPUTED_VALUE"""),43132.0)</f>
        <v>43132</v>
      </c>
      <c r="J65" s="10">
        <f>IFERROR(__xludf.DUMMYFUNCTION("""COMPUTED_VALUE"""),44348.0)</f>
        <v>44348</v>
      </c>
      <c r="K65" s="15">
        <f>IFERROR(__xludf.DUMMYFUNCTION("""COMPUTED_VALUE"""),45444.0)</f>
        <v>45444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9" t="str">
        <f>IFERROR(__xludf.DUMMYFUNCTION("""COMPUTED_VALUE"""),"Evans")</f>
        <v>Evans</v>
      </c>
      <c r="B66" s="8" t="str">
        <f>IFERROR(__xludf.DUMMYFUNCTION("""COMPUTED_VALUE"""),"Ricky")</f>
        <v>Ricky</v>
      </c>
      <c r="C66" s="8" t="str">
        <f>IFERROR(__xludf.DUMMYFUNCTION("""COMPUTED_VALUE"""),"")</f>
        <v/>
      </c>
      <c r="D66" s="8" t="str">
        <f>IFERROR(__xludf.DUMMYFUNCTION("""COMPUTED_VALUE"""),"UNK")</f>
        <v>UNK</v>
      </c>
      <c r="E66" s="8" t="str">
        <f>IFERROR(__xludf.DUMMYFUNCTION("""COMPUTED_VALUE"""),"England")</f>
        <v>England</v>
      </c>
      <c r="F66" s="8" t="str">
        <f>IFERROR(__xludf.DUMMYFUNCTION("""COMPUTED_VALUE"""),"PDC Merit Ranking")</f>
        <v>PDC Merit Ranking</v>
      </c>
      <c r="G66" s="8" t="str">
        <f>IFERROR(__xludf.DUMMYFUNCTION("""COMPUTED_VALUE"""),"48th")</f>
        <v>48th</v>
      </c>
      <c r="H66" s="8" t="str">
        <f>IFERROR(__xludf.DUMMYFUNCTION("""COMPUTED_VALUE"""),"PDC Merit Ranking")</f>
        <v>PDC Merit Ranking</v>
      </c>
      <c r="I66" s="10">
        <f>IFERROR(__xludf.DUMMYFUNCTION("""COMPUTED_VALUE"""),42767.0)</f>
        <v>42767</v>
      </c>
      <c r="J66" s="10">
        <f>IFERROR(__xludf.DUMMYFUNCTION("""COMPUTED_VALUE"""),43983.0)</f>
        <v>43983</v>
      </c>
      <c r="K66" s="15">
        <f>IFERROR(__xludf.DUMMYFUNCTION("""COMPUTED_VALUE"""),45078.0)</f>
        <v>45078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9" t="str">
        <f>IFERROR(__xludf.DUMMYFUNCTION("""COMPUTED_VALUE"""),"Fair")</f>
        <v>Fair</v>
      </c>
      <c r="B67" s="8" t="str">
        <f>IFERROR(__xludf.DUMMYFUNCTION("""COMPUTED_VALUE"""),"Mark")</f>
        <v>Mark</v>
      </c>
      <c r="C67" s="8" t="str">
        <f>IFERROR(__xludf.DUMMYFUNCTION("""COMPUTED_VALUE"""),"Sinking Spring")</f>
        <v>Sinking Spring</v>
      </c>
      <c r="D67" s="8" t="str">
        <f>IFERROR(__xludf.DUMMYFUNCTION("""COMPUTED_VALUE"""),"PA")</f>
        <v>PA</v>
      </c>
      <c r="E67" s="8" t="str">
        <f>IFERROR(__xludf.DUMMYFUNCTION("""COMPUTED_VALUE"""),"USA")</f>
        <v>USA</v>
      </c>
      <c r="F67" s="8" t="str">
        <f>IFERROR(__xludf.DUMMYFUNCTION("""COMPUTED_VALUE"""),"NAPDA 2017")</f>
        <v>NAPDA 2017</v>
      </c>
      <c r="G67" s="8" t="str">
        <f>IFERROR(__xludf.DUMMYFUNCTION("""COMPUTED_VALUE"""),"26th")</f>
        <v>26th</v>
      </c>
      <c r="H67" s="8" t="str">
        <f>IFERROR(__xludf.DUMMYFUNCTION("""COMPUTED_VALUE"""),"NAPDA 2017")</f>
        <v>NAPDA 2017</v>
      </c>
      <c r="I67" s="10">
        <f>IFERROR(__xludf.DUMMYFUNCTION("""COMPUTED_VALUE"""),42772.0)</f>
        <v>42772</v>
      </c>
      <c r="J67" s="10">
        <f>IFERROR(__xludf.DUMMYFUNCTION("""COMPUTED_VALUE"""),43983.0)</f>
        <v>43983</v>
      </c>
      <c r="K67" s="15">
        <f>IFERROR(__xludf.DUMMYFUNCTION("""COMPUTED_VALUE"""),45078.0)</f>
        <v>45078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9" t="str">
        <f>IFERROR(__xludf.DUMMYFUNCTION("""COMPUTED_VALUE"""),"Fedewa")</f>
        <v>Fedewa</v>
      </c>
      <c r="B68" s="8" t="str">
        <f>IFERROR(__xludf.DUMMYFUNCTION("""COMPUTED_VALUE"""),"Trever")</f>
        <v>Trever</v>
      </c>
      <c r="C68" s="8" t="str">
        <f>IFERROR(__xludf.DUMMYFUNCTION("""COMPUTED_VALUE"""),"Lake Isabella")</f>
        <v>Lake Isabella</v>
      </c>
      <c r="D68" s="8" t="str">
        <f>IFERROR(__xludf.DUMMYFUNCTION("""COMPUTED_VALUE"""),"MI")</f>
        <v>MI</v>
      </c>
      <c r="E68" s="8" t="str">
        <f>IFERROR(__xludf.DUMMYFUNCTION("""COMPUTED_VALUE"""),"USA")</f>
        <v>USA</v>
      </c>
      <c r="F68" s="8" t="str">
        <f>IFERROR(__xludf.DUMMYFUNCTION("""COMPUTED_VALUE"""),"Pro 501 Doubles")</f>
        <v>Pro 501 Doubles</v>
      </c>
      <c r="G68" s="8" t="str">
        <f>IFERROR(__xludf.DUMMYFUNCTION("""COMPUTED_VALUE"""),"2nd")</f>
        <v>2nd</v>
      </c>
      <c r="H68" s="8" t="str">
        <f>IFERROR(__xludf.DUMMYFUNCTION("""COMPUTED_VALUE"""),"BullShooter 34 Finals")</f>
        <v>BullShooter 34 Finals</v>
      </c>
      <c r="I68" s="10">
        <f>IFERROR(__xludf.DUMMYFUNCTION("""COMPUTED_VALUE"""),43617.0)</f>
        <v>43617</v>
      </c>
      <c r="J68" s="10">
        <f>IFERROR(__xludf.DUMMYFUNCTION("""COMPUTED_VALUE"""),44713.0)</f>
        <v>44713</v>
      </c>
      <c r="K68" s="15">
        <f>IFERROR(__xludf.DUMMYFUNCTION("""COMPUTED_VALUE"""),45809.0)</f>
        <v>45809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9" t="str">
        <f>IFERROR(__xludf.DUMMYFUNCTION("""COMPUTED_VALUE"""),"Fern")</f>
        <v>Fern</v>
      </c>
      <c r="B69" s="8" t="str">
        <f>IFERROR(__xludf.DUMMYFUNCTION("""COMPUTED_VALUE"""),"Randy")</f>
        <v>Randy</v>
      </c>
      <c r="C69" s="8" t="str">
        <f>IFERROR(__xludf.DUMMYFUNCTION("""COMPUTED_VALUE"""),"LaPorte")</f>
        <v>LaPorte</v>
      </c>
      <c r="D69" s="8" t="str">
        <f>IFERROR(__xludf.DUMMYFUNCTION("""COMPUTED_VALUE"""),"IN")</f>
        <v>IN</v>
      </c>
      <c r="E69" s="8" t="str">
        <f>IFERROR(__xludf.DUMMYFUNCTION("""COMPUTED_VALUE"""),"USA")</f>
        <v>USA</v>
      </c>
      <c r="F69" s="8" t="str">
        <f>IFERROR(__xludf.DUMMYFUNCTION("""COMPUTED_VALUE"""),"Pro AA Cricket Doubles")</f>
        <v>Pro AA Cricket Doubles</v>
      </c>
      <c r="G69" s="8" t="str">
        <f>IFERROR(__xludf.DUMMYFUNCTION("""COMPUTED_VALUE"""),"4th")</f>
        <v>4th</v>
      </c>
      <c r="H69" s="8" t="str">
        <f>IFERROR(__xludf.DUMMYFUNCTION("""COMPUTED_VALUE"""),"BullShooter 32")</f>
        <v>BullShooter 32</v>
      </c>
      <c r="I69" s="10">
        <f>IFERROR(__xludf.DUMMYFUNCTION("""COMPUTED_VALUE"""),42887.0)</f>
        <v>42887</v>
      </c>
      <c r="J69" s="10">
        <f>IFERROR(__xludf.DUMMYFUNCTION("""COMPUTED_VALUE"""),44348.0)</f>
        <v>44348</v>
      </c>
      <c r="K69" s="15">
        <f>IFERROR(__xludf.DUMMYFUNCTION("""COMPUTED_VALUE"""),45444.0)</f>
        <v>45444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9" t="str">
        <f>IFERROR(__xludf.DUMMYFUNCTION("""COMPUTED_VALUE"""),"Fernandez Carballo")</f>
        <v>Fernandez Carballo</v>
      </c>
      <c r="B70" s="8" t="str">
        <f>IFERROR(__xludf.DUMMYFUNCTION("""COMPUTED_VALUE"""),"Ricardo")</f>
        <v>Ricardo</v>
      </c>
      <c r="C70" s="8" t="str">
        <f>IFERROR(__xludf.DUMMYFUNCTION("""COMPUTED_VALUE"""),"")</f>
        <v/>
      </c>
      <c r="D70" s="8" t="str">
        <f>IFERROR(__xludf.DUMMYFUNCTION("""COMPUTED_VALUE"""),"UNK")</f>
        <v>UNK</v>
      </c>
      <c r="E70" s="8" t="str">
        <f>IFERROR(__xludf.DUMMYFUNCTION("""COMPUTED_VALUE"""),"Spain")</f>
        <v>Spain</v>
      </c>
      <c r="F70" s="8" t="str">
        <f>IFERROR(__xludf.DUMMYFUNCTION("""COMPUTED_VALUE"""),"Pro Team Cricket")</f>
        <v>Pro Team Cricket</v>
      </c>
      <c r="G70" s="8" t="str">
        <f>IFERROR(__xludf.DUMMYFUNCTION("""COMPUTED_VALUE"""),"3rd")</f>
        <v>3rd</v>
      </c>
      <c r="H70" s="8" t="str">
        <f>IFERROR(__xludf.DUMMYFUNCTION("""COMPUTED_VALUE"""),"Euro Bullshooter XXV")</f>
        <v>Euro Bullshooter XXV</v>
      </c>
      <c r="I70" s="10">
        <f>IFERROR(__xludf.DUMMYFUNCTION("""COMPUTED_VALUE"""),42828.0)</f>
        <v>42828</v>
      </c>
      <c r="J70" s="10">
        <f>IFERROR(__xludf.DUMMYFUNCTION("""COMPUTED_VALUE"""),43983.0)</f>
        <v>43983</v>
      </c>
      <c r="K70" s="15">
        <f>IFERROR(__xludf.DUMMYFUNCTION("""COMPUTED_VALUE"""),45078.0)</f>
        <v>45078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9" t="str">
        <f>IFERROR(__xludf.DUMMYFUNCTION("""COMPUTED_VALUE"""),"Ferreira")</f>
        <v>Ferreira</v>
      </c>
      <c r="B71" s="8" t="str">
        <f>IFERROR(__xludf.DUMMYFUNCTION("""COMPUTED_VALUE"""),"Antonio")</f>
        <v>Antonio</v>
      </c>
      <c r="C71" s="8" t="str">
        <f>IFERROR(__xludf.DUMMYFUNCTION("""COMPUTED_VALUE"""),"Portugal")</f>
        <v>Portugal</v>
      </c>
      <c r="D71" s="8" t="str">
        <f>IFERROR(__xludf.DUMMYFUNCTION("""COMPUTED_VALUE"""),"UNK")</f>
        <v>UNK</v>
      </c>
      <c r="E71" s="8" t="str">
        <f>IFERROR(__xludf.DUMMYFUNCTION("""COMPUTED_VALUE"""),"Portugal")</f>
        <v>Portugal</v>
      </c>
      <c r="F71" s="8" t="str">
        <f>IFERROR(__xludf.DUMMYFUNCTION("""COMPUTED_VALUE"""),"Pro Team Cricket")</f>
        <v>Pro Team Cricket</v>
      </c>
      <c r="G71" s="8" t="str">
        <f>IFERROR(__xludf.DUMMYFUNCTION("""COMPUTED_VALUE"""),"2nd")</f>
        <v>2nd</v>
      </c>
      <c r="H71" s="8" t="str">
        <f>IFERROR(__xludf.DUMMYFUNCTION("""COMPUTED_VALUE"""),"Euro BullShooter XXV")</f>
        <v>Euro BullShooter XXV</v>
      </c>
      <c r="I71" s="10">
        <f>IFERROR(__xludf.DUMMYFUNCTION("""COMPUTED_VALUE"""),42828.0)</f>
        <v>42828</v>
      </c>
      <c r="J71" s="10">
        <f>IFERROR(__xludf.DUMMYFUNCTION("""COMPUTED_VALUE"""),43983.0)</f>
        <v>43983</v>
      </c>
      <c r="K71" s="15">
        <f>IFERROR(__xludf.DUMMYFUNCTION("""COMPUTED_VALUE"""),45078.0)</f>
        <v>45078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9" t="str">
        <f>IFERROR(__xludf.DUMMYFUNCTION("""COMPUTED_VALUE"""),"Fitzsimmons")</f>
        <v>Fitzsimmons</v>
      </c>
      <c r="B72" s="8" t="str">
        <f>IFERROR(__xludf.DUMMYFUNCTION("""COMPUTED_VALUE"""),"Jim")</f>
        <v>Jim</v>
      </c>
      <c r="C72" s="8" t="str">
        <f>IFERROR(__xludf.DUMMYFUNCTION("""COMPUTED_VALUE"""),"UNK")</f>
        <v>UNK</v>
      </c>
      <c r="D72" s="8" t="str">
        <f>IFERROR(__xludf.DUMMYFUNCTION("""COMPUTED_VALUE"""),"UNK")</f>
        <v>UNK</v>
      </c>
      <c r="E72" s="8" t="str">
        <f>IFERROR(__xludf.DUMMYFUNCTION("""COMPUTED_VALUE"""),"USA")</f>
        <v>USA</v>
      </c>
      <c r="F72" s="8" t="str">
        <f>IFERROR(__xludf.DUMMYFUNCTION("""COMPUTED_VALUE"""),"ADO 2018")</f>
        <v>ADO 2018</v>
      </c>
      <c r="G72" s="8" t="str">
        <f>IFERROR(__xludf.DUMMYFUNCTION("""COMPUTED_VALUE"""),"18th")</f>
        <v>18th</v>
      </c>
      <c r="H72" s="8" t="str">
        <f>IFERROR(__xludf.DUMMYFUNCTION("""COMPUTED_VALUE"""),"ADO 2018")</f>
        <v>ADO 2018</v>
      </c>
      <c r="I72" s="10">
        <f>IFERROR(__xludf.DUMMYFUNCTION("""COMPUTED_VALUE"""),43132.0)</f>
        <v>43132</v>
      </c>
      <c r="J72" s="10">
        <f>IFERROR(__xludf.DUMMYFUNCTION("""COMPUTED_VALUE"""),44348.0)</f>
        <v>44348</v>
      </c>
      <c r="K72" s="15">
        <f>IFERROR(__xludf.DUMMYFUNCTION("""COMPUTED_VALUE"""),45444.0)</f>
        <v>45444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9" t="str">
        <f>IFERROR(__xludf.DUMMYFUNCTION("""COMPUTED_VALUE"""),"Foster")</f>
        <v>Foster</v>
      </c>
      <c r="B73" s="8" t="str">
        <f>IFERROR(__xludf.DUMMYFUNCTION("""COMPUTED_VALUE"""),"Mike")</f>
        <v>Mike</v>
      </c>
      <c r="C73" s="8" t="str">
        <f>IFERROR(__xludf.DUMMYFUNCTION("""COMPUTED_VALUE"""),"")</f>
        <v/>
      </c>
      <c r="D73" s="8" t="str">
        <f>IFERROR(__xludf.DUMMYFUNCTION("""COMPUTED_VALUE"""),"UNK")</f>
        <v>UNK</v>
      </c>
      <c r="E73" s="8" t="str">
        <f>IFERROR(__xludf.DUMMYFUNCTION("""COMPUTED_VALUE"""),"USA")</f>
        <v>USA</v>
      </c>
      <c r="F73" s="8" t="str">
        <f>IFERROR(__xludf.DUMMYFUNCTION("""COMPUTED_VALUE"""),"ADO 2018")</f>
        <v>ADO 2018</v>
      </c>
      <c r="G73" s="8" t="str">
        <f>IFERROR(__xludf.DUMMYFUNCTION("""COMPUTED_VALUE"""),"27th")</f>
        <v>27th</v>
      </c>
      <c r="H73" s="8" t="str">
        <f>IFERROR(__xludf.DUMMYFUNCTION("""COMPUTED_VALUE"""),"ADO 2018")</f>
        <v>ADO 2018</v>
      </c>
      <c r="I73" s="10">
        <f>IFERROR(__xludf.DUMMYFUNCTION("""COMPUTED_VALUE"""),43132.0)</f>
        <v>43132</v>
      </c>
      <c r="J73" s="10">
        <f>IFERROR(__xludf.DUMMYFUNCTION("""COMPUTED_VALUE"""),44348.0)</f>
        <v>44348</v>
      </c>
      <c r="K73" s="15">
        <f>IFERROR(__xludf.DUMMYFUNCTION("""COMPUTED_VALUE"""),45444.0)</f>
        <v>45444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9" t="str">
        <f>IFERROR(__xludf.DUMMYFUNCTION("""COMPUTED_VALUE"""),"Fujii")</f>
        <v>Fujii</v>
      </c>
      <c r="B74" s="8" t="str">
        <f>IFERROR(__xludf.DUMMYFUNCTION("""COMPUTED_VALUE"""),"Daisuke")</f>
        <v>Daisuke</v>
      </c>
      <c r="C74" s="8" t="str">
        <f>IFERROR(__xludf.DUMMYFUNCTION("""COMPUTED_VALUE"""),"")</f>
        <v/>
      </c>
      <c r="D74" s="8" t="str">
        <f>IFERROR(__xludf.DUMMYFUNCTION("""COMPUTED_VALUE"""),"UNK")</f>
        <v>UNK</v>
      </c>
      <c r="E74" s="8" t="str">
        <f>IFERROR(__xludf.DUMMYFUNCTION("""COMPUTED_VALUE"""),"Japan")</f>
        <v>Japan</v>
      </c>
      <c r="F74" s="8" t="str">
        <f>IFERROR(__xludf.DUMMYFUNCTION("""COMPUTED_VALUE"""),"DL")</f>
        <v>DL</v>
      </c>
      <c r="G74" s="8" t="str">
        <f>IFERROR(__xludf.DUMMYFUNCTION("""COMPUTED_VALUE"""),"26th")</f>
        <v>26th</v>
      </c>
      <c r="H74" s="8" t="str">
        <f>IFERROR(__xludf.DUMMYFUNCTION("""COMPUTED_VALUE"""),"DL 2018")</f>
        <v>DL 2018</v>
      </c>
      <c r="I74" s="10">
        <f>IFERROR(__xludf.DUMMYFUNCTION("""COMPUTED_VALUE"""),43136.0)</f>
        <v>43136</v>
      </c>
      <c r="J74" s="10">
        <f>IFERROR(__xludf.DUMMYFUNCTION("""COMPUTED_VALUE"""),44348.0)</f>
        <v>44348</v>
      </c>
      <c r="K74" s="15">
        <f>IFERROR(__xludf.DUMMYFUNCTION("""COMPUTED_VALUE"""),45444.0)</f>
        <v>45444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9" t="str">
        <f>IFERROR(__xludf.DUMMYFUNCTION("""COMPUTED_VALUE"""),"Fujiwara")</f>
        <v>Fujiwara</v>
      </c>
      <c r="B75" s="8" t="str">
        <f>IFERROR(__xludf.DUMMYFUNCTION("""COMPUTED_VALUE"""),"T")</f>
        <v>T</v>
      </c>
      <c r="C75" s="8" t="str">
        <f>IFERROR(__xludf.DUMMYFUNCTION("""COMPUTED_VALUE"""),"")</f>
        <v/>
      </c>
      <c r="D75" s="8" t="str">
        <f>IFERROR(__xludf.DUMMYFUNCTION("""COMPUTED_VALUE"""),"UNK")</f>
        <v>UNK</v>
      </c>
      <c r="E75" s="8" t="str">
        <f>IFERROR(__xludf.DUMMYFUNCTION("""COMPUTED_VALUE"""),"JAPAN")</f>
        <v>JAPAN</v>
      </c>
      <c r="F75" s="8" t="str">
        <f>IFERROR(__xludf.DUMMYFUNCTION("""COMPUTED_VALUE"""),"DL")</f>
        <v>DL</v>
      </c>
      <c r="G75" s="8" t="str">
        <f>IFERROR(__xludf.DUMMYFUNCTION("""COMPUTED_VALUE"""),"33rd")</f>
        <v>33rd</v>
      </c>
      <c r="H75" s="8" t="str">
        <f>IFERROR(__xludf.DUMMYFUNCTION("""COMPUTED_VALUE"""),"DL 2018")</f>
        <v>DL 2018</v>
      </c>
      <c r="I75" s="10">
        <f>IFERROR(__xludf.DUMMYFUNCTION("""COMPUTED_VALUE"""),43136.0)</f>
        <v>43136</v>
      </c>
      <c r="J75" s="10">
        <f>IFERROR(__xludf.DUMMYFUNCTION("""COMPUTED_VALUE"""),44348.0)</f>
        <v>44348</v>
      </c>
      <c r="K75" s="15">
        <f>IFERROR(__xludf.DUMMYFUNCTION("""COMPUTED_VALUE"""),45444.0)</f>
        <v>45444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9" t="str">
        <f>IFERROR(__xludf.DUMMYFUNCTION("""COMPUTED_VALUE"""),"Galan")</f>
        <v>Galan</v>
      </c>
      <c r="B76" s="8" t="str">
        <f>IFERROR(__xludf.DUMMYFUNCTION("""COMPUTED_VALUE"""),"Robert")</f>
        <v>Robert</v>
      </c>
      <c r="C76" s="8" t="str">
        <f>IFERROR(__xludf.DUMMYFUNCTION("""COMPUTED_VALUE"""),"San Antonio")</f>
        <v>San Antonio</v>
      </c>
      <c r="D76" s="8" t="str">
        <f>IFERROR(__xludf.DUMMYFUNCTION("""COMPUTED_VALUE"""),"TX")</f>
        <v>TX</v>
      </c>
      <c r="E76" s="8" t="str">
        <f>IFERROR(__xludf.DUMMYFUNCTION("""COMPUTED_VALUE"""),"USA")</f>
        <v>USA</v>
      </c>
      <c r="F76" s="8" t="str">
        <f>IFERROR(__xludf.DUMMYFUNCTION("""COMPUTED_VALUE"""),"Pro Cricket Doubles")</f>
        <v>Pro Cricket Doubles</v>
      </c>
      <c r="G76" s="8" t="str">
        <f>IFERROR(__xludf.DUMMYFUNCTION("""COMPUTED_VALUE"""),"4th")</f>
        <v>4th</v>
      </c>
      <c r="H76" s="8" t="str">
        <f>IFERROR(__xludf.DUMMYFUNCTION("""COMPUTED_VALUE"""),"BullShooter 32")</f>
        <v>BullShooter 32</v>
      </c>
      <c r="I76" s="10">
        <f>IFERROR(__xludf.DUMMYFUNCTION("""COMPUTED_VALUE"""),42887.0)</f>
        <v>42887</v>
      </c>
      <c r="J76" s="10">
        <f>IFERROR(__xludf.DUMMYFUNCTION("""COMPUTED_VALUE"""),43983.0)</f>
        <v>43983</v>
      </c>
      <c r="K76" s="15">
        <f>IFERROR(__xludf.DUMMYFUNCTION("""COMPUTED_VALUE"""),45078.0)</f>
        <v>45078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9" t="str">
        <f>IFERROR(__xludf.DUMMYFUNCTION("""COMPUTED_VALUE"""),"Galland")</f>
        <v>Galland</v>
      </c>
      <c r="B77" s="8" t="str">
        <f>IFERROR(__xludf.DUMMYFUNCTION("""COMPUTED_VALUE"""),"Loic")</f>
        <v>Loic</v>
      </c>
      <c r="C77" s="8" t="str">
        <f>IFERROR(__xludf.DUMMYFUNCTION("""COMPUTED_VALUE"""),"")</f>
        <v/>
      </c>
      <c r="D77" s="8" t="str">
        <f>IFERROR(__xludf.DUMMYFUNCTION("""COMPUTED_VALUE"""),"")</f>
        <v/>
      </c>
      <c r="E77" s="8" t="str">
        <f>IFERROR(__xludf.DUMMYFUNCTION("""COMPUTED_VALUE"""),"France")</f>
        <v>France</v>
      </c>
      <c r="F77" s="8" t="str">
        <f>IFERROR(__xludf.DUMMYFUNCTION("""COMPUTED_VALUE"""),"Pro Cricket Doubles")</f>
        <v>Pro Cricket Doubles</v>
      </c>
      <c r="G77" s="8" t="str">
        <f>IFERROR(__xludf.DUMMYFUNCTION("""COMPUTED_VALUE"""),"1st")</f>
        <v>1st</v>
      </c>
      <c r="H77" s="8" t="str">
        <f>IFERROR(__xludf.DUMMYFUNCTION("""COMPUTED_VALUE"""),"BS 33 Finals")</f>
        <v>BS 33 Finals</v>
      </c>
      <c r="I77" s="10">
        <f>IFERROR(__xludf.DUMMYFUNCTION("""COMPUTED_VALUE"""),42887.0)</f>
        <v>42887</v>
      </c>
      <c r="J77" s="10">
        <f>IFERROR(__xludf.DUMMYFUNCTION("""COMPUTED_VALUE"""),44348.0)</f>
        <v>44348</v>
      </c>
      <c r="K77" s="15">
        <f>IFERROR(__xludf.DUMMYFUNCTION("""COMPUTED_VALUE"""),45444.0)</f>
        <v>45444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9" t="str">
        <f>IFERROR(__xludf.DUMMYFUNCTION("""COMPUTED_VALUE"""),"Garbis")</f>
        <v>Garbis</v>
      </c>
      <c r="B78" s="8" t="str">
        <f>IFERROR(__xludf.DUMMYFUNCTION("""COMPUTED_VALUE"""),"Tasso")</f>
        <v>Tasso</v>
      </c>
      <c r="C78" s="8" t="str">
        <f>IFERROR(__xludf.DUMMYFUNCTION("""COMPUTED_VALUE"""),"Elmhurst")</f>
        <v>Elmhurst</v>
      </c>
      <c r="D78" s="8" t="str">
        <f>IFERROR(__xludf.DUMMYFUNCTION("""COMPUTED_VALUE"""),"IL")</f>
        <v>IL</v>
      </c>
      <c r="E78" s="8" t="str">
        <f>IFERROR(__xludf.DUMMYFUNCTION("""COMPUTED_VALUE"""),"USA")</f>
        <v>USA</v>
      </c>
      <c r="F78" s="8" t="str">
        <f>IFERROR(__xludf.DUMMYFUNCTION("""COMPUTED_VALUE"""),"Pro Singles")</f>
        <v>Pro Singles</v>
      </c>
      <c r="G78" s="8" t="str">
        <f>IFERROR(__xludf.DUMMYFUNCTION("""COMPUTED_VALUE"""),"3rd")</f>
        <v>3rd</v>
      </c>
      <c r="H78" s="8" t="str">
        <f>IFERROR(__xludf.DUMMYFUNCTION("""COMPUTED_VALUE"""),"Off AA List IN 20")</f>
        <v>Off AA List IN 20</v>
      </c>
      <c r="I78" s="10">
        <f>IFERROR(__xludf.DUMMYFUNCTION("""COMPUTED_VALUE"""),42887.0)</f>
        <v>42887</v>
      </c>
      <c r="J78" s="10">
        <f>IFERROR(__xludf.DUMMYFUNCTION("""COMPUTED_VALUE"""),44348.0)</f>
        <v>44348</v>
      </c>
      <c r="K78" s="15">
        <f>IFERROR(__xludf.DUMMYFUNCTION("""COMPUTED_VALUE"""),45444.0)</f>
        <v>45444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9" t="str">
        <f>IFERROR(__xludf.DUMMYFUNCTION("""COMPUTED_VALUE"""),"Garrigolas Roca")</f>
        <v>Garrigolas Roca</v>
      </c>
      <c r="B79" s="8" t="str">
        <f>IFERROR(__xludf.DUMMYFUNCTION("""COMPUTED_VALUE"""),"David")</f>
        <v>David</v>
      </c>
      <c r="C79" s="8" t="str">
        <f>IFERROR(__xludf.DUMMYFUNCTION("""COMPUTED_VALUE"""),"")</f>
        <v/>
      </c>
      <c r="D79" s="8" t="str">
        <f>IFERROR(__xludf.DUMMYFUNCTION("""COMPUTED_VALUE"""),"UNK")</f>
        <v>UNK</v>
      </c>
      <c r="E79" s="8" t="str">
        <f>IFERROR(__xludf.DUMMYFUNCTION("""COMPUTED_VALUE"""),"Spain")</f>
        <v>Spain</v>
      </c>
      <c r="F79" s="8" t="str">
        <f>IFERROR(__xludf.DUMMYFUNCTION("""COMPUTED_VALUE"""),"Pro Team Cricket")</f>
        <v>Pro Team Cricket</v>
      </c>
      <c r="G79" s="8" t="str">
        <f>IFERROR(__xludf.DUMMYFUNCTION("""COMPUTED_VALUE"""),"3rd")</f>
        <v>3rd</v>
      </c>
      <c r="H79" s="8" t="str">
        <f>IFERROR(__xludf.DUMMYFUNCTION("""COMPUTED_VALUE"""),"Euro Bullshooter XXV")</f>
        <v>Euro Bullshooter XXV</v>
      </c>
      <c r="I79" s="10">
        <f>IFERROR(__xludf.DUMMYFUNCTION("""COMPUTED_VALUE"""),42828.0)</f>
        <v>42828</v>
      </c>
      <c r="J79" s="10">
        <f>IFERROR(__xludf.DUMMYFUNCTION("""COMPUTED_VALUE"""),43983.0)</f>
        <v>43983</v>
      </c>
      <c r="K79" s="15">
        <f>IFERROR(__xludf.DUMMYFUNCTION("""COMPUTED_VALUE"""),45078.0)</f>
        <v>45078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9" t="str">
        <f>IFERROR(__xludf.DUMMYFUNCTION("""COMPUTED_VALUE"""),"Gates")</f>
        <v>Gates</v>
      </c>
      <c r="B80" s="8" t="str">
        <f>IFERROR(__xludf.DUMMYFUNCTION("""COMPUTED_VALUE"""),"Leonard")</f>
        <v>Leonard</v>
      </c>
      <c r="C80" s="8" t="str">
        <f>IFERROR(__xludf.DUMMYFUNCTION("""COMPUTED_VALUE"""),"San Antonio")</f>
        <v>San Antonio</v>
      </c>
      <c r="D80" s="8" t="str">
        <f>IFERROR(__xludf.DUMMYFUNCTION("""COMPUTED_VALUE"""),"TX")</f>
        <v>TX</v>
      </c>
      <c r="E80" s="8" t="str">
        <f>IFERROR(__xludf.DUMMYFUNCTION("""COMPUTED_VALUE"""),"USA")</f>
        <v>USA</v>
      </c>
      <c r="F80" s="8" t="str">
        <f>IFERROR(__xludf.DUMMYFUNCTION("""COMPUTED_VALUE"""),"TopGun Pro A/AA Singles")</f>
        <v>TopGun Pro A/AA Singles</v>
      </c>
      <c r="G80" s="8" t="str">
        <f>IFERROR(__xludf.DUMMYFUNCTION("""COMPUTED_VALUE"""),"3rd")</f>
        <v>3rd</v>
      </c>
      <c r="H80" s="8" t="str">
        <f>IFERROR(__xludf.DUMMYFUNCTION("""COMPUTED_VALUE"""),"BullShooter 34 Finals")</f>
        <v>BullShooter 34 Finals</v>
      </c>
      <c r="I80" s="10">
        <f>IFERROR(__xludf.DUMMYFUNCTION("""COMPUTED_VALUE"""),43617.0)</f>
        <v>43617</v>
      </c>
      <c r="J80" s="10">
        <f>IFERROR(__xludf.DUMMYFUNCTION("""COMPUTED_VALUE"""),44713.0)</f>
        <v>44713</v>
      </c>
      <c r="K80" s="15">
        <f>IFERROR(__xludf.DUMMYFUNCTION("""COMPUTED_VALUE"""),45809.0)</f>
        <v>45809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9" t="str">
        <f>IFERROR(__xludf.DUMMYFUNCTION("""COMPUTED_VALUE"""),"Gervais")</f>
        <v>Gervais</v>
      </c>
      <c r="B81" s="8" t="str">
        <f>IFERROR(__xludf.DUMMYFUNCTION("""COMPUTED_VALUE"""),"Ryan")</f>
        <v>Ryan</v>
      </c>
      <c r="C81" s="8" t="str">
        <f>IFERROR(__xludf.DUMMYFUNCTION("""COMPUTED_VALUE"""),"Superior")</f>
        <v>Superior</v>
      </c>
      <c r="D81" s="8" t="str">
        <f>IFERROR(__xludf.DUMMYFUNCTION("""COMPUTED_VALUE"""),"WI")</f>
        <v>WI</v>
      </c>
      <c r="E81" s="8" t="str">
        <f>IFERROR(__xludf.DUMMYFUNCTION("""COMPUTED_VALUE"""),"USA")</f>
        <v>USA</v>
      </c>
      <c r="F81" s="8" t="str">
        <f>IFERROR(__xludf.DUMMYFUNCTION("""COMPUTED_VALUE"""),"Pro Mixed Cricket")</f>
        <v>Pro Mixed Cricket</v>
      </c>
      <c r="G81" s="8" t="str">
        <f>IFERROR(__xludf.DUMMYFUNCTION("""COMPUTED_VALUE"""),"4th")</f>
        <v>4th</v>
      </c>
      <c r="H81" s="8" t="str">
        <f>IFERROR(__xludf.DUMMYFUNCTION("""COMPUTED_VALUE"""),"BullShooter 34 Finals")</f>
        <v>BullShooter 34 Finals</v>
      </c>
      <c r="I81" s="10">
        <f>IFERROR(__xludf.DUMMYFUNCTION("""COMPUTED_VALUE"""),43617.0)</f>
        <v>43617</v>
      </c>
      <c r="J81" s="10">
        <f>IFERROR(__xludf.DUMMYFUNCTION("""COMPUTED_VALUE"""),44713.0)</f>
        <v>44713</v>
      </c>
      <c r="K81" s="15">
        <f>IFERROR(__xludf.DUMMYFUNCTION("""COMPUTED_VALUE"""),45809.0)</f>
        <v>45809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9" t="str">
        <f>IFERROR(__xludf.DUMMYFUNCTION("""COMPUTED_VALUE"""),"Gibson")</f>
        <v>Gibson</v>
      </c>
      <c r="B82" s="8" t="str">
        <f>IFERROR(__xludf.DUMMYFUNCTION("""COMPUTED_VALUE"""),"Bryson")</f>
        <v>Bryson</v>
      </c>
      <c r="C82" s="8" t="str">
        <f>IFERROR(__xludf.DUMMYFUNCTION("""COMPUTED_VALUE"""),"")</f>
        <v/>
      </c>
      <c r="D82" s="8" t="str">
        <f>IFERROR(__xludf.DUMMYFUNCTION("""COMPUTED_VALUE"""),"CA")</f>
        <v>CA</v>
      </c>
      <c r="E82" s="8" t="str">
        <f>IFERROR(__xludf.DUMMYFUNCTION("""COMPUTED_VALUE"""),"USA")</f>
        <v>USA</v>
      </c>
      <c r="F82" s="8" t="str">
        <f>IFERROR(__xludf.DUMMYFUNCTION("""COMPUTED_VALUE"""),"Mens Singles")</f>
        <v>Mens Singles</v>
      </c>
      <c r="G82" s="8" t="str">
        <f>IFERROR(__xludf.DUMMYFUNCTION("""COMPUTED_VALUE"""),"3rd")</f>
        <v>3rd</v>
      </c>
      <c r="H82" s="8" t="str">
        <f>IFERROR(__xludf.DUMMYFUNCTION("""COMPUTED_VALUE"""),"OFF AA IN 20")</f>
        <v>OFF AA IN 20</v>
      </c>
      <c r="I82" s="10">
        <f>IFERROR(__xludf.DUMMYFUNCTION("""COMPUTED_VALUE"""),43252.0)</f>
        <v>43252</v>
      </c>
      <c r="J82" s="10">
        <f>IFERROR(__xludf.DUMMYFUNCTION("""COMPUTED_VALUE"""),44348.0)</f>
        <v>44348</v>
      </c>
      <c r="K82" s="15">
        <f>IFERROR(__xludf.DUMMYFUNCTION("""COMPUTED_VALUE"""),45444.0)</f>
        <v>45444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9" t="str">
        <f>IFERROR(__xludf.DUMMYFUNCTION("""COMPUTED_VALUE"""),"Gilding")</f>
        <v>Gilding</v>
      </c>
      <c r="B83" s="8" t="str">
        <f>IFERROR(__xludf.DUMMYFUNCTION("""COMPUTED_VALUE"""),"Andrew")</f>
        <v>Andrew</v>
      </c>
      <c r="C83" s="8" t="str">
        <f>IFERROR(__xludf.DUMMYFUNCTION("""COMPUTED_VALUE"""),"")</f>
        <v/>
      </c>
      <c r="D83" s="8" t="str">
        <f>IFERROR(__xludf.DUMMYFUNCTION("""COMPUTED_VALUE"""),"UNK")</f>
        <v>UNK</v>
      </c>
      <c r="E83" s="8" t="str">
        <f>IFERROR(__xludf.DUMMYFUNCTION("""COMPUTED_VALUE"""),"England")</f>
        <v>England</v>
      </c>
      <c r="F83" s="8" t="str">
        <f>IFERROR(__xludf.DUMMYFUNCTION("""COMPUTED_VALUE"""),"PDC Merit Ranking")</f>
        <v>PDC Merit Ranking</v>
      </c>
      <c r="G83" s="8" t="str">
        <f>IFERROR(__xludf.DUMMYFUNCTION("""COMPUTED_VALUE"""),"32nd")</f>
        <v>32nd</v>
      </c>
      <c r="H83" s="8" t="str">
        <f>IFERROR(__xludf.DUMMYFUNCTION("""COMPUTED_VALUE"""),"PDC Merit Ranking")</f>
        <v>PDC Merit Ranking</v>
      </c>
      <c r="I83" s="10">
        <f>IFERROR(__xludf.DUMMYFUNCTION("""COMPUTED_VALUE"""),42767.0)</f>
        <v>42767</v>
      </c>
      <c r="J83" s="10">
        <f>IFERROR(__xludf.DUMMYFUNCTION("""COMPUTED_VALUE"""),43983.0)</f>
        <v>43983</v>
      </c>
      <c r="K83" s="15">
        <f>IFERROR(__xludf.DUMMYFUNCTION("""COMPUTED_VALUE"""),45078.0)</f>
        <v>45078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9" t="str">
        <f>IFERROR(__xludf.DUMMYFUNCTION("""COMPUTED_VALUE"""),"Gilreath")</f>
        <v>Gilreath</v>
      </c>
      <c r="B84" s="8" t="str">
        <f>IFERROR(__xludf.DUMMYFUNCTION("""COMPUTED_VALUE"""),"Lee")</f>
        <v>Lee</v>
      </c>
      <c r="C84" s="8" t="str">
        <f>IFERROR(__xludf.DUMMYFUNCTION("""COMPUTED_VALUE"""),"Rockmart")</f>
        <v>Rockmart</v>
      </c>
      <c r="D84" s="8" t="str">
        <f>IFERROR(__xludf.DUMMYFUNCTION("""COMPUTED_VALUE"""),"GA")</f>
        <v>GA</v>
      </c>
      <c r="E84" s="8" t="str">
        <f>IFERROR(__xludf.DUMMYFUNCTION("""COMPUTED_VALUE"""),"USA")</f>
        <v>USA</v>
      </c>
      <c r="F84" s="8" t="str">
        <f>IFERROR(__xludf.DUMMYFUNCTION("""COMPUTED_VALUE"""),"Pro 501 Doubles")</f>
        <v>Pro 501 Doubles</v>
      </c>
      <c r="G84" s="8" t="str">
        <f>IFERROR(__xludf.DUMMYFUNCTION("""COMPUTED_VALUE"""),"3rd")</f>
        <v>3rd</v>
      </c>
      <c r="H84" s="8" t="str">
        <f>IFERROR(__xludf.DUMMYFUNCTION("""COMPUTED_VALUE"""),"BullShooter 34 Finals")</f>
        <v>BullShooter 34 Finals</v>
      </c>
      <c r="I84" s="10">
        <f>IFERROR(__xludf.DUMMYFUNCTION("""COMPUTED_VALUE"""),43617.0)</f>
        <v>43617</v>
      </c>
      <c r="J84" s="10">
        <f>IFERROR(__xludf.DUMMYFUNCTION("""COMPUTED_VALUE"""),44713.0)</f>
        <v>44713</v>
      </c>
      <c r="K84" s="15">
        <f>IFERROR(__xludf.DUMMYFUNCTION("""COMPUTED_VALUE"""),45809.0)</f>
        <v>45809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9" t="str">
        <f>IFERROR(__xludf.DUMMYFUNCTION("""COMPUTED_VALUE"""),"Gore")</f>
        <v>Gore</v>
      </c>
      <c r="B85" s="8" t="str">
        <f>IFERROR(__xludf.DUMMYFUNCTION("""COMPUTED_VALUE"""),"Jesse")</f>
        <v>Jesse</v>
      </c>
      <c r="C85" s="8" t="str">
        <f>IFERROR(__xludf.DUMMYFUNCTION("""COMPUTED_VALUE"""),"Lakeland")</f>
        <v>Lakeland</v>
      </c>
      <c r="D85" s="8" t="str">
        <f>IFERROR(__xludf.DUMMYFUNCTION("""COMPUTED_VALUE"""),"FL")</f>
        <v>FL</v>
      </c>
      <c r="E85" s="8" t="str">
        <f>IFERROR(__xludf.DUMMYFUNCTION("""COMPUTED_VALUE"""),"USA")</f>
        <v>USA</v>
      </c>
      <c r="F85" s="8" t="str">
        <f>IFERROR(__xludf.DUMMYFUNCTION("""COMPUTED_VALUE"""),"Pro Doubles")</f>
        <v>Pro Doubles</v>
      </c>
      <c r="G85" s="8" t="str">
        <f>IFERROR(__xludf.DUMMYFUNCTION("""COMPUTED_VALUE"""),"4th")</f>
        <v>4th</v>
      </c>
      <c r="H85" s="8" t="str">
        <f>IFERROR(__xludf.DUMMYFUNCTION("""COMPUTED_VALUE"""),"BullShooter 32")</f>
        <v>BullShooter 32</v>
      </c>
      <c r="I85" s="10">
        <f>IFERROR(__xludf.DUMMYFUNCTION("""COMPUTED_VALUE"""),42887.0)</f>
        <v>42887</v>
      </c>
      <c r="J85" s="10">
        <f>IFERROR(__xludf.DUMMYFUNCTION("""COMPUTED_VALUE"""),43983.0)</f>
        <v>43983</v>
      </c>
      <c r="K85" s="15">
        <f>IFERROR(__xludf.DUMMYFUNCTION("""COMPUTED_VALUE"""),45078.0)</f>
        <v>45078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9" t="str">
        <f>IFERROR(__xludf.DUMMYFUNCTION("""COMPUTED_VALUE"""),"Gray")</f>
        <v>Gray</v>
      </c>
      <c r="B86" s="8" t="str">
        <f>IFERROR(__xludf.DUMMYFUNCTION("""COMPUTED_VALUE"""),"Adrian")</f>
        <v>Adrian</v>
      </c>
      <c r="C86" s="8" t="str">
        <f>IFERROR(__xludf.DUMMYFUNCTION("""COMPUTED_VALUE"""),"")</f>
        <v/>
      </c>
      <c r="D86" s="8" t="str">
        <f>IFERROR(__xludf.DUMMYFUNCTION("""COMPUTED_VALUE"""),"UNK")</f>
        <v>UNK</v>
      </c>
      <c r="E86" s="8" t="str">
        <f>IFERROR(__xludf.DUMMYFUNCTION("""COMPUTED_VALUE"""),"England")</f>
        <v>England</v>
      </c>
      <c r="F86" s="8" t="str">
        <f>IFERROR(__xludf.DUMMYFUNCTION("""COMPUTED_VALUE"""),"DL")</f>
        <v>DL</v>
      </c>
      <c r="G86" s="8" t="str">
        <f>IFERROR(__xludf.DUMMYFUNCTION("""COMPUTED_VALUE"""),"22nd")</f>
        <v>22nd</v>
      </c>
      <c r="H86" s="8" t="str">
        <f>IFERROR(__xludf.DUMMYFUNCTION("""COMPUTED_VALUE"""),"DL 2018")</f>
        <v>DL 2018</v>
      </c>
      <c r="I86" s="10">
        <f>IFERROR(__xludf.DUMMYFUNCTION("""COMPUTED_VALUE"""),43136.0)</f>
        <v>43136</v>
      </c>
      <c r="J86" s="10">
        <f>IFERROR(__xludf.DUMMYFUNCTION("""COMPUTED_VALUE"""),44348.0)</f>
        <v>44348</v>
      </c>
      <c r="K86" s="15">
        <f>IFERROR(__xludf.DUMMYFUNCTION("""COMPUTED_VALUE"""),45444.0)</f>
        <v>45444</v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9" t="str">
        <f>IFERROR(__xludf.DUMMYFUNCTION("""COMPUTED_VALUE"""),"Green")</f>
        <v>Green</v>
      </c>
      <c r="B87" s="8" t="str">
        <f>IFERROR(__xludf.DUMMYFUNCTION("""COMPUTED_VALUE"""),"Robbie")</f>
        <v>Robbie</v>
      </c>
      <c r="C87" s="8" t="str">
        <f>IFERROR(__xludf.DUMMYFUNCTION("""COMPUTED_VALUE"""),"")</f>
        <v/>
      </c>
      <c r="D87" s="8" t="str">
        <f>IFERROR(__xludf.DUMMYFUNCTION("""COMPUTED_VALUE"""),"UNK")</f>
        <v>UNK</v>
      </c>
      <c r="E87" s="8" t="str">
        <f>IFERROR(__xludf.DUMMYFUNCTION("""COMPUTED_VALUE"""),"England")</f>
        <v>England</v>
      </c>
      <c r="F87" s="8" t="str">
        <f>IFERROR(__xludf.DUMMYFUNCTION("""COMPUTED_VALUE"""),"PDC Merit Ranking")</f>
        <v>PDC Merit Ranking</v>
      </c>
      <c r="G87" s="8" t="str">
        <f>IFERROR(__xludf.DUMMYFUNCTION("""COMPUTED_VALUE"""),"41th")</f>
        <v>41th</v>
      </c>
      <c r="H87" s="8" t="str">
        <f>IFERROR(__xludf.DUMMYFUNCTION("""COMPUTED_VALUE"""),"PDC Merit Ranking")</f>
        <v>PDC Merit Ranking</v>
      </c>
      <c r="I87" s="10">
        <f>IFERROR(__xludf.DUMMYFUNCTION("""COMPUTED_VALUE"""),43132.0)</f>
        <v>43132</v>
      </c>
      <c r="J87" s="10">
        <f>IFERROR(__xludf.DUMMYFUNCTION("""COMPUTED_VALUE"""),44348.0)</f>
        <v>44348</v>
      </c>
      <c r="K87" s="15">
        <f>IFERROR(__xludf.DUMMYFUNCTION("""COMPUTED_VALUE"""),45444.0)</f>
        <v>45444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9" t="str">
        <f>IFERROR(__xludf.DUMMYFUNCTION("""COMPUTED_VALUE"""),"Gregory")</f>
        <v>Gregory</v>
      </c>
      <c r="B88" s="8" t="str">
        <f>IFERROR(__xludf.DUMMYFUNCTION("""COMPUTED_VALUE"""),"Eric")</f>
        <v>Eric</v>
      </c>
      <c r="C88" s="8" t="str">
        <f>IFERROR(__xludf.DUMMYFUNCTION("""COMPUTED_VALUE"""),"Festus")</f>
        <v>Festus</v>
      </c>
      <c r="D88" s="8" t="str">
        <f>IFERROR(__xludf.DUMMYFUNCTION("""COMPUTED_VALUE"""),"MO")</f>
        <v>MO</v>
      </c>
      <c r="E88" s="8" t="str">
        <f>IFERROR(__xludf.DUMMYFUNCTION("""COMPUTED_VALUE"""),"USA")</f>
        <v>USA</v>
      </c>
      <c r="F88" s="8" t="str">
        <f>IFERROR(__xludf.DUMMYFUNCTION("""COMPUTED_VALUE"""),"Pro AA Cricket doubles")</f>
        <v>Pro AA Cricket doubles</v>
      </c>
      <c r="G88" s="8" t="str">
        <f>IFERROR(__xludf.DUMMYFUNCTION("""COMPUTED_VALUE"""),"4th")</f>
        <v>4th</v>
      </c>
      <c r="H88" s="8" t="str">
        <f>IFERROR(__xludf.DUMMYFUNCTION("""COMPUTED_VALUE"""),"BullShooter 34 Finals")</f>
        <v>BullShooter 34 Finals</v>
      </c>
      <c r="I88" s="10">
        <f>IFERROR(__xludf.DUMMYFUNCTION("""COMPUTED_VALUE"""),43617.0)</f>
        <v>43617</v>
      </c>
      <c r="J88" s="10">
        <f>IFERROR(__xludf.DUMMYFUNCTION("""COMPUTED_VALUE"""),44713.0)</f>
        <v>44713</v>
      </c>
      <c r="K88" s="15">
        <f>IFERROR(__xludf.DUMMYFUNCTION("""COMPUTED_VALUE"""),45809.0)</f>
        <v>45809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9" t="str">
        <f>IFERROR(__xludf.DUMMYFUNCTION("""COMPUTED_VALUE"""),"Grimm")</f>
        <v>Grimm</v>
      </c>
      <c r="B89" s="8" t="str">
        <f>IFERROR(__xludf.DUMMYFUNCTION("""COMPUTED_VALUE"""),"Dennis")</f>
        <v>Dennis</v>
      </c>
      <c r="C89" s="8" t="str">
        <f>IFERROR(__xludf.DUMMYFUNCTION("""COMPUTED_VALUE"""),"Mauston")</f>
        <v>Mauston</v>
      </c>
      <c r="D89" s="8" t="str">
        <f>IFERROR(__xludf.DUMMYFUNCTION("""COMPUTED_VALUE"""),"WI")</f>
        <v>WI</v>
      </c>
      <c r="E89" s="8" t="str">
        <f>IFERROR(__xludf.DUMMYFUNCTION("""COMPUTED_VALUE"""),"USA")</f>
        <v>USA</v>
      </c>
      <c r="F89" s="8" t="str">
        <f>IFERROR(__xludf.DUMMYFUNCTION("""COMPUTED_VALUE"""),"Pro Cricket Doubles")</f>
        <v>Pro Cricket Doubles</v>
      </c>
      <c r="G89" s="8" t="str">
        <f>IFERROR(__xludf.DUMMYFUNCTION("""COMPUTED_VALUE"""),"3rd")</f>
        <v>3rd</v>
      </c>
      <c r="H89" s="8" t="str">
        <f>IFERROR(__xludf.DUMMYFUNCTION("""COMPUTED_VALUE"""),"BS 33 Finals")</f>
        <v>BS 33 Finals</v>
      </c>
      <c r="I89" s="10">
        <f>IFERROR(__xludf.DUMMYFUNCTION("""COMPUTED_VALUE"""),43252.0)</f>
        <v>43252</v>
      </c>
      <c r="J89" s="10">
        <f>IFERROR(__xludf.DUMMYFUNCTION("""COMPUTED_VALUE"""),44348.0)</f>
        <v>44348</v>
      </c>
      <c r="K89" s="15">
        <f>IFERROR(__xludf.DUMMYFUNCTION("""COMPUTED_VALUE"""),45444.0)</f>
        <v>45444</v>
      </c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9" t="str">
        <f>IFERROR(__xludf.DUMMYFUNCTION("""COMPUTED_VALUE"""),"Gurney")</f>
        <v>Gurney</v>
      </c>
      <c r="B90" s="8" t="str">
        <f>IFERROR(__xludf.DUMMYFUNCTION("""COMPUTED_VALUE"""),"Daryl")</f>
        <v>Daryl</v>
      </c>
      <c r="C90" s="8" t="str">
        <f>IFERROR(__xludf.DUMMYFUNCTION("""COMPUTED_VALUE"""),"")</f>
        <v/>
      </c>
      <c r="D90" s="8" t="str">
        <f>IFERROR(__xludf.DUMMYFUNCTION("""COMPUTED_VALUE"""),"UNK")</f>
        <v>UNK</v>
      </c>
      <c r="E90" s="8" t="str">
        <f>IFERROR(__xludf.DUMMYFUNCTION("""COMPUTED_VALUE"""),"Nireland")</f>
        <v>Nireland</v>
      </c>
      <c r="F90" s="8" t="str">
        <f>IFERROR(__xludf.DUMMYFUNCTION("""COMPUTED_VALUE"""),"PDC Merit Ranking")</f>
        <v>PDC Merit Ranking</v>
      </c>
      <c r="G90" s="8" t="str">
        <f>IFERROR(__xludf.DUMMYFUNCTION("""COMPUTED_VALUE"""),"5th")</f>
        <v>5th</v>
      </c>
      <c r="H90" s="8" t="str">
        <f>IFERROR(__xludf.DUMMYFUNCTION("""COMPUTED_VALUE"""),"PDC Merit Ranking")</f>
        <v>PDC Merit Ranking</v>
      </c>
      <c r="I90" s="10">
        <f>IFERROR(__xludf.DUMMYFUNCTION("""COMPUTED_VALUE"""),43132.0)</f>
        <v>43132</v>
      </c>
      <c r="J90" s="10">
        <f>IFERROR(__xludf.DUMMYFUNCTION("""COMPUTED_VALUE"""),44348.0)</f>
        <v>44348</v>
      </c>
      <c r="K90" s="15">
        <f>IFERROR(__xludf.DUMMYFUNCTION("""COMPUTED_VALUE"""),45444.0)</f>
        <v>45444</v>
      </c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9" t="str">
        <f>IFERROR(__xludf.DUMMYFUNCTION("""COMPUTED_VALUE"""),"Hagan")</f>
        <v>Hagan</v>
      </c>
      <c r="B91" s="8" t="str">
        <f>IFERROR(__xludf.DUMMYFUNCTION("""COMPUTED_VALUE"""),"Lourence")</f>
        <v>Lourence</v>
      </c>
      <c r="C91" s="8" t="str">
        <f>IFERROR(__xludf.DUMMYFUNCTION("""COMPUTED_VALUE"""),"")</f>
        <v/>
      </c>
      <c r="D91" s="8" t="str">
        <f>IFERROR(__xludf.DUMMYFUNCTION("""COMPUTED_VALUE"""),"UNK")</f>
        <v>UNK</v>
      </c>
      <c r="E91" s="8" t="str">
        <f>IFERROR(__xludf.DUMMYFUNCTION("""COMPUTED_VALUE"""),"Philipines")</f>
        <v>Philipines</v>
      </c>
      <c r="F91" s="8" t="str">
        <f>IFERROR(__xludf.DUMMYFUNCTION("""COMPUTED_VALUE"""),"DL")</f>
        <v>DL</v>
      </c>
      <c r="G91" s="8" t="str">
        <f>IFERROR(__xludf.DUMMYFUNCTION("""COMPUTED_VALUE"""),"20th")</f>
        <v>20th</v>
      </c>
      <c r="H91" s="8" t="str">
        <f>IFERROR(__xludf.DUMMYFUNCTION("""COMPUTED_VALUE"""),"DL")</f>
        <v>DL</v>
      </c>
      <c r="I91" s="10">
        <f>IFERROR(__xludf.DUMMYFUNCTION("""COMPUTED_VALUE"""),42767.0)</f>
        <v>42767</v>
      </c>
      <c r="J91" s="10">
        <f>IFERROR(__xludf.DUMMYFUNCTION("""COMPUTED_VALUE"""),43983.0)</f>
        <v>43983</v>
      </c>
      <c r="K91" s="15">
        <f>IFERROR(__xludf.DUMMYFUNCTION("""COMPUTED_VALUE"""),45078.0)</f>
        <v>45078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9" t="str">
        <f>IFERROR(__xludf.DUMMYFUNCTION("""COMPUTED_VALUE"""),"Hannahs")</f>
        <v>Hannahs</v>
      </c>
      <c r="B92" s="8" t="str">
        <f>IFERROR(__xludf.DUMMYFUNCTION("""COMPUTED_VALUE"""),"Nathaniel")</f>
        <v>Nathaniel</v>
      </c>
      <c r="C92" s="8" t="str">
        <f>IFERROR(__xludf.DUMMYFUNCTION("""COMPUTED_VALUE"""),"Barnesville")</f>
        <v>Barnesville</v>
      </c>
      <c r="D92" s="8" t="str">
        <f>IFERROR(__xludf.DUMMYFUNCTION("""COMPUTED_VALUE"""),"OH")</f>
        <v>OH</v>
      </c>
      <c r="E92" s="8" t="str">
        <f>IFERROR(__xludf.DUMMYFUNCTION("""COMPUTED_VALUE"""),"USA")</f>
        <v>USA</v>
      </c>
      <c r="F92" s="8" t="str">
        <f>IFERROR(__xludf.DUMMYFUNCTION("""COMPUTED_VALUE"""),"Pro Cricket Doubles")</f>
        <v>Pro Cricket Doubles</v>
      </c>
      <c r="G92" s="8" t="str">
        <f>IFERROR(__xludf.DUMMYFUNCTION("""COMPUTED_VALUE"""),"2nd")</f>
        <v>2nd</v>
      </c>
      <c r="H92" s="8" t="str">
        <f>IFERROR(__xludf.DUMMYFUNCTION("""COMPUTED_VALUE"""),"BS 33 Finals")</f>
        <v>BS 33 Finals</v>
      </c>
      <c r="I92" s="10">
        <f>IFERROR(__xludf.DUMMYFUNCTION("""COMPUTED_VALUE"""),43252.0)</f>
        <v>43252</v>
      </c>
      <c r="J92" s="10">
        <f>IFERROR(__xludf.DUMMYFUNCTION("""COMPUTED_VALUE"""),44348.0)</f>
        <v>44348</v>
      </c>
      <c r="K92" s="15">
        <f>IFERROR(__xludf.DUMMYFUNCTION("""COMPUTED_VALUE"""),45444.0)</f>
        <v>45444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9" t="str">
        <f>IFERROR(__xludf.DUMMYFUNCTION("""COMPUTED_VALUE"""),"Harrison")</f>
        <v>Harrison</v>
      </c>
      <c r="B93" s="8" t="str">
        <f>IFERROR(__xludf.DUMMYFUNCTION("""COMPUTED_VALUE"""),"Charles")</f>
        <v>Charles</v>
      </c>
      <c r="C93" s="8" t="str">
        <f>IFERROR(__xludf.DUMMYFUNCTION("""COMPUTED_VALUE"""),"")</f>
        <v/>
      </c>
      <c r="D93" s="8" t="str">
        <f>IFERROR(__xludf.DUMMYFUNCTION("""COMPUTED_VALUE"""),"UNK")</f>
        <v>UNK</v>
      </c>
      <c r="E93" s="8" t="str">
        <f>IFERROR(__xludf.DUMMYFUNCTION("""COMPUTED_VALUE"""),"USA")</f>
        <v>USA</v>
      </c>
      <c r="F93" s="8" t="str">
        <f>IFERROR(__xludf.DUMMYFUNCTION("""COMPUTED_VALUE"""),"ADO 2018")</f>
        <v>ADO 2018</v>
      </c>
      <c r="G93" s="8" t="str">
        <f>IFERROR(__xludf.DUMMYFUNCTION("""COMPUTED_VALUE"""),"22nd")</f>
        <v>22nd</v>
      </c>
      <c r="H93" s="8" t="str">
        <f>IFERROR(__xludf.DUMMYFUNCTION("""COMPUTED_VALUE"""),"ADO 2018")</f>
        <v>ADO 2018</v>
      </c>
      <c r="I93" s="10">
        <f>IFERROR(__xludf.DUMMYFUNCTION("""COMPUTED_VALUE"""),43132.0)</f>
        <v>43132</v>
      </c>
      <c r="J93" s="10">
        <f>IFERROR(__xludf.DUMMYFUNCTION("""COMPUTED_VALUE"""),44348.0)</f>
        <v>44348</v>
      </c>
      <c r="K93" s="15">
        <f>IFERROR(__xludf.DUMMYFUNCTION("""COMPUTED_VALUE"""),45444.0)</f>
        <v>45444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9" t="str">
        <f>IFERROR(__xludf.DUMMYFUNCTION("""COMPUTED_VALUE"""),"Hee Han")</f>
        <v>Hee Han</v>
      </c>
      <c r="B94" s="8" t="str">
        <f>IFERROR(__xludf.DUMMYFUNCTION("""COMPUTED_VALUE"""),"Woung")</f>
        <v>Woung</v>
      </c>
      <c r="C94" s="8" t="str">
        <f>IFERROR(__xludf.DUMMYFUNCTION("""COMPUTED_VALUE"""),"")</f>
        <v/>
      </c>
      <c r="D94" s="8" t="str">
        <f>IFERROR(__xludf.DUMMYFUNCTION("""COMPUTED_VALUE"""),"UNK")</f>
        <v>UNK</v>
      </c>
      <c r="E94" s="8" t="str">
        <f>IFERROR(__xludf.DUMMYFUNCTION("""COMPUTED_VALUE"""),"Korea")</f>
        <v>Korea</v>
      </c>
      <c r="F94" s="8" t="str">
        <f>IFERROR(__xludf.DUMMYFUNCTION("""COMPUTED_VALUE"""),"DL")</f>
        <v>DL</v>
      </c>
      <c r="G94" s="8" t="str">
        <f>IFERROR(__xludf.DUMMYFUNCTION("""COMPUTED_VALUE"""),"42nd")</f>
        <v>42nd</v>
      </c>
      <c r="H94" s="8" t="str">
        <f>IFERROR(__xludf.DUMMYFUNCTION("""COMPUTED_VALUE"""),"DL 2018")</f>
        <v>DL 2018</v>
      </c>
      <c r="I94" s="10">
        <f>IFERROR(__xludf.DUMMYFUNCTION("""COMPUTED_VALUE"""),43136.0)</f>
        <v>43136</v>
      </c>
      <c r="J94" s="10">
        <f>IFERROR(__xludf.DUMMYFUNCTION("""COMPUTED_VALUE"""),44348.0)</f>
        <v>44348</v>
      </c>
      <c r="K94" s="15">
        <f>IFERROR(__xludf.DUMMYFUNCTION("""COMPUTED_VALUE"""),45444.0)</f>
        <v>45444</v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12" t="str">
        <f>IFERROR(__xludf.DUMMYFUNCTION("""COMPUTED_VALUE"""),"Henderson")</f>
        <v>Henderson</v>
      </c>
      <c r="B95" s="13" t="str">
        <f>IFERROR(__xludf.DUMMYFUNCTION("""COMPUTED_VALUE"""),"John")</f>
        <v>John</v>
      </c>
      <c r="C95" s="13" t="str">
        <f>IFERROR(__xludf.DUMMYFUNCTION("""COMPUTED_VALUE"""),"")</f>
        <v/>
      </c>
      <c r="D95" s="13" t="str">
        <f>IFERROR(__xludf.DUMMYFUNCTION("""COMPUTED_VALUE"""),"UNK")</f>
        <v>UNK</v>
      </c>
      <c r="E95" s="13" t="str">
        <f>IFERROR(__xludf.DUMMYFUNCTION("""COMPUTED_VALUE"""),"Scotland")</f>
        <v>Scotland</v>
      </c>
      <c r="F95" s="13" t="str">
        <f>IFERROR(__xludf.DUMMYFUNCTION("""COMPUTED_VALUE"""),"PDC Merit Ranking")</f>
        <v>PDC Merit Ranking</v>
      </c>
      <c r="G95" s="13" t="str">
        <f>IFERROR(__xludf.DUMMYFUNCTION("""COMPUTED_VALUE"""),"27th")</f>
        <v>27th</v>
      </c>
      <c r="H95" s="13" t="str">
        <f>IFERROR(__xludf.DUMMYFUNCTION("""COMPUTED_VALUE"""),"PDC Merit Ranking")</f>
        <v>PDC Merit Ranking</v>
      </c>
      <c r="I95" s="15">
        <f>IFERROR(__xludf.DUMMYFUNCTION("""COMPUTED_VALUE"""),43132.0)</f>
        <v>43132</v>
      </c>
      <c r="J95" s="15">
        <f>IFERROR(__xludf.DUMMYFUNCTION("""COMPUTED_VALUE"""),44348.0)</f>
        <v>44348</v>
      </c>
      <c r="K95" s="15">
        <f>IFERROR(__xludf.DUMMYFUNCTION("""COMPUTED_VALUE"""),45444.0)</f>
        <v>45444</v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9" t="str">
        <f>IFERROR(__xludf.DUMMYFUNCTION("""COMPUTED_VALUE"""),"Henninger")</f>
        <v>Henninger</v>
      </c>
      <c r="B96" s="8" t="str">
        <f>IFERROR(__xludf.DUMMYFUNCTION("""COMPUTED_VALUE"""),"James")</f>
        <v>James</v>
      </c>
      <c r="C96" s="8" t="str">
        <f>IFERROR(__xludf.DUMMYFUNCTION("""COMPUTED_VALUE"""),"Moorhead")</f>
        <v>Moorhead</v>
      </c>
      <c r="D96" s="8" t="str">
        <f>IFERROR(__xludf.DUMMYFUNCTION("""COMPUTED_VALUE"""),"MN")</f>
        <v>MN</v>
      </c>
      <c r="E96" s="8" t="str">
        <f>IFERROR(__xludf.DUMMYFUNCTION("""COMPUTED_VALUE"""),"USA")</f>
        <v>USA</v>
      </c>
      <c r="F96" s="8" t="str">
        <f>IFERROR(__xludf.DUMMYFUNCTION("""COMPUTED_VALUE"""),"Pro/Am Cricket")</f>
        <v>Pro/Am Cricket</v>
      </c>
      <c r="G96" s="8" t="str">
        <f>IFERROR(__xludf.DUMMYFUNCTION("""COMPUTED_VALUE"""),"2nd")</f>
        <v>2nd</v>
      </c>
      <c r="H96" s="8" t="str">
        <f>IFERROR(__xludf.DUMMYFUNCTION("""COMPUTED_VALUE"""),"OFF AA IN 20")</f>
        <v>OFF AA IN 20</v>
      </c>
      <c r="I96" s="10">
        <f>IFERROR(__xludf.DUMMYFUNCTION("""COMPUTED_VALUE"""),43252.0)</f>
        <v>43252</v>
      </c>
      <c r="J96" s="10">
        <f>IFERROR(__xludf.DUMMYFUNCTION("""COMPUTED_VALUE"""),44348.0)</f>
        <v>44348</v>
      </c>
      <c r="K96" s="15">
        <f>IFERROR(__xludf.DUMMYFUNCTION("""COMPUTED_VALUE"""),45444.0)</f>
        <v>45444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9" t="str">
        <f>IFERROR(__xludf.DUMMYFUNCTION("""COMPUTED_VALUE"""),"Henry")</f>
        <v>Henry</v>
      </c>
      <c r="B97" s="8" t="str">
        <f>IFERROR(__xludf.DUMMYFUNCTION("""COMPUTED_VALUE"""),"Jerod")</f>
        <v>Jerod</v>
      </c>
      <c r="C97" s="8" t="str">
        <f>IFERROR(__xludf.DUMMYFUNCTION("""COMPUTED_VALUE"""),"Pearl City")</f>
        <v>Pearl City</v>
      </c>
      <c r="D97" s="8" t="str">
        <f>IFERROR(__xludf.DUMMYFUNCTION("""COMPUTED_VALUE"""),"IL")</f>
        <v>IL</v>
      </c>
      <c r="E97" s="8" t="str">
        <f>IFERROR(__xludf.DUMMYFUNCTION("""COMPUTED_VALUE"""),"USA")</f>
        <v>USA</v>
      </c>
      <c r="F97" s="8" t="str">
        <f>IFERROR(__xludf.DUMMYFUNCTION("""COMPUTED_VALUE"""),"Pro 501 Doubles")</f>
        <v>Pro 501 Doubles</v>
      </c>
      <c r="G97" s="8" t="str">
        <f>IFERROR(__xludf.DUMMYFUNCTION("""COMPUTED_VALUE"""),"4th")</f>
        <v>4th</v>
      </c>
      <c r="H97" s="8" t="str">
        <f>IFERROR(__xludf.DUMMYFUNCTION("""COMPUTED_VALUE"""),"BullShooter 34 Finals")</f>
        <v>BullShooter 34 Finals</v>
      </c>
      <c r="I97" s="10">
        <f>IFERROR(__xludf.DUMMYFUNCTION("""COMPUTED_VALUE"""),43617.0)</f>
        <v>43617</v>
      </c>
      <c r="J97" s="10">
        <f>IFERROR(__xludf.DUMMYFUNCTION("""COMPUTED_VALUE"""),44713.0)</f>
        <v>44713</v>
      </c>
      <c r="K97" s="15">
        <f>IFERROR(__xludf.DUMMYFUNCTION("""COMPUTED_VALUE"""),45809.0)</f>
        <v>45809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9" t="str">
        <f>IFERROR(__xludf.DUMMYFUNCTION("""COMPUTED_VALUE"""),"Henze III")</f>
        <v>Henze III</v>
      </c>
      <c r="B98" s="8" t="str">
        <f>IFERROR(__xludf.DUMMYFUNCTION("""COMPUTED_VALUE"""),"Richard")</f>
        <v>Richard</v>
      </c>
      <c r="C98" s="8" t="str">
        <f>IFERROR(__xludf.DUMMYFUNCTION("""COMPUTED_VALUE"""),"Little Falls")</f>
        <v>Little Falls</v>
      </c>
      <c r="D98" s="8" t="str">
        <f>IFERROR(__xludf.DUMMYFUNCTION("""COMPUTED_VALUE"""),"MN")</f>
        <v>MN</v>
      </c>
      <c r="E98" s="8" t="str">
        <f>IFERROR(__xludf.DUMMYFUNCTION("""COMPUTED_VALUE"""),"USA")</f>
        <v>USA</v>
      </c>
      <c r="F98" s="8" t="str">
        <f>IFERROR(__xludf.DUMMYFUNCTION("""COMPUTED_VALUE"""),"Pro Singles")</f>
        <v>Pro Singles</v>
      </c>
      <c r="G98" s="8" t="str">
        <f>IFERROR(__xludf.DUMMYFUNCTION("""COMPUTED_VALUE"""),"2nd")</f>
        <v>2nd</v>
      </c>
      <c r="H98" s="8" t="str">
        <f>IFERROR(__xludf.DUMMYFUNCTION("""COMPUTED_VALUE"""),"BS 33 Finals")</f>
        <v>BS 33 Finals</v>
      </c>
      <c r="I98" s="10">
        <f>IFERROR(__xludf.DUMMYFUNCTION("""COMPUTED_VALUE"""),43252.0)</f>
        <v>43252</v>
      </c>
      <c r="J98" s="10">
        <f>IFERROR(__xludf.DUMMYFUNCTION("""COMPUTED_VALUE"""),44348.0)</f>
        <v>44348</v>
      </c>
      <c r="K98" s="15">
        <f>IFERROR(__xludf.DUMMYFUNCTION("""COMPUTED_VALUE"""),45444.0)</f>
        <v>45444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9" t="str">
        <f>IFERROR(__xludf.DUMMYFUNCTION("""COMPUTED_VALUE"""),"Hill")</f>
        <v>Hill</v>
      </c>
      <c r="B99" s="8" t="str">
        <f>IFERROR(__xludf.DUMMYFUNCTION("""COMPUTED_VALUE"""),"Eric")</f>
        <v>Eric</v>
      </c>
      <c r="C99" s="8" t="str">
        <f>IFERROR(__xludf.DUMMYFUNCTION("""COMPUTED_VALUE"""),"Pinconning")</f>
        <v>Pinconning</v>
      </c>
      <c r="D99" s="8" t="str">
        <f>IFERROR(__xludf.DUMMYFUNCTION("""COMPUTED_VALUE"""),"MI")</f>
        <v>MI</v>
      </c>
      <c r="E99" s="8" t="str">
        <f>IFERROR(__xludf.DUMMYFUNCTION("""COMPUTED_VALUE"""),"USA")</f>
        <v>USA</v>
      </c>
      <c r="F99" s="8" t="str">
        <f>IFERROR(__xludf.DUMMYFUNCTION("""COMPUTED_VALUE"""),"Pro 501 Doubles")</f>
        <v>Pro 501 Doubles</v>
      </c>
      <c r="G99" s="8" t="str">
        <f>IFERROR(__xludf.DUMMYFUNCTION("""COMPUTED_VALUE"""),"2nd")</f>
        <v>2nd</v>
      </c>
      <c r="H99" s="8" t="str">
        <f>IFERROR(__xludf.DUMMYFUNCTION("""COMPUTED_VALUE"""),"BullShooter 34 Finals")</f>
        <v>BullShooter 34 Finals</v>
      </c>
      <c r="I99" s="10">
        <f>IFERROR(__xludf.DUMMYFUNCTION("""COMPUTED_VALUE"""),43617.0)</f>
        <v>43617</v>
      </c>
      <c r="J99" s="10">
        <f>IFERROR(__xludf.DUMMYFUNCTION("""COMPUTED_VALUE"""),44713.0)</f>
        <v>44713</v>
      </c>
      <c r="K99" s="15">
        <f>IFERROR(__xludf.DUMMYFUNCTION("""COMPUTED_VALUE"""),45809.0)</f>
        <v>45809</v>
      </c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9" t="str">
        <f>IFERROR(__xludf.DUMMYFUNCTION("""COMPUTED_VALUE"""),"HO")</f>
        <v>HO</v>
      </c>
      <c r="B100" s="8" t="str">
        <f>IFERROR(__xludf.DUMMYFUNCTION("""COMPUTED_VALUE"""),"Ali")</f>
        <v>Ali</v>
      </c>
      <c r="C100" s="8" t="str">
        <f>IFERROR(__xludf.DUMMYFUNCTION("""COMPUTED_VALUE"""),"")</f>
        <v/>
      </c>
      <c r="D100" s="8" t="str">
        <f>IFERROR(__xludf.DUMMYFUNCTION("""COMPUTED_VALUE"""),"UNK")</f>
        <v>UNK</v>
      </c>
      <c r="E100" s="8" t="str">
        <f>IFERROR(__xludf.DUMMYFUNCTION("""COMPUTED_VALUE"""),"TAIWAN")</f>
        <v>TAIWAN</v>
      </c>
      <c r="F100" s="8" t="str">
        <f>IFERROR(__xludf.DUMMYFUNCTION("""COMPUTED_VALUE"""),"51st")</f>
        <v>51st</v>
      </c>
      <c r="G100" s="8" t="str">
        <f>IFERROR(__xludf.DUMMYFUNCTION("""COMPUTED_VALUE"""),"DL")</f>
        <v>DL</v>
      </c>
      <c r="H100" s="8" t="str">
        <f>IFERROR(__xludf.DUMMYFUNCTION("""COMPUTED_VALUE"""),"DL 2018")</f>
        <v>DL 2018</v>
      </c>
      <c r="I100" s="10">
        <f>IFERROR(__xludf.DUMMYFUNCTION("""COMPUTED_VALUE"""),43136.0)</f>
        <v>43136</v>
      </c>
      <c r="J100" s="10">
        <f>IFERROR(__xludf.DUMMYFUNCTION("""COMPUTED_VALUE"""),44348.0)</f>
        <v>44348</v>
      </c>
      <c r="K100" s="15">
        <f>IFERROR(__xludf.DUMMYFUNCTION("""COMPUTED_VALUE"""),45444.0)</f>
        <v>45444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9" t="str">
        <f>IFERROR(__xludf.DUMMYFUNCTION("""COMPUTED_VALUE"""),"Holt")</f>
        <v>Holt</v>
      </c>
      <c r="B101" s="8" t="str">
        <f>IFERROR(__xludf.DUMMYFUNCTION("""COMPUTED_VALUE"""),"Dustin")</f>
        <v>Dustin</v>
      </c>
      <c r="C101" s="8" t="str">
        <f>IFERROR(__xludf.DUMMYFUNCTION("""COMPUTED_VALUE"""),"Bloomington")</f>
        <v>Bloomington</v>
      </c>
      <c r="D101" s="8" t="str">
        <f>IFERROR(__xludf.DUMMYFUNCTION("""COMPUTED_VALUE"""),"IL")</f>
        <v>IL</v>
      </c>
      <c r="E101" s="8" t="str">
        <f>IFERROR(__xludf.DUMMYFUNCTION("""COMPUTED_VALUE"""),"USA")</f>
        <v>USA</v>
      </c>
      <c r="F101" s="8" t="str">
        <f>IFERROR(__xludf.DUMMYFUNCTION("""COMPUTED_VALUE"""),"Pro A/AA Mixed")</f>
        <v>Pro A/AA Mixed</v>
      </c>
      <c r="G101" s="8" t="str">
        <f>IFERROR(__xludf.DUMMYFUNCTION("""COMPUTED_VALUE"""),"2nd")</f>
        <v>2nd</v>
      </c>
      <c r="H101" s="8" t="str">
        <f>IFERROR(__xludf.DUMMYFUNCTION("""COMPUTED_VALUE"""),"BullShooter 34 Finals")</f>
        <v>BullShooter 34 Finals</v>
      </c>
      <c r="I101" s="10">
        <f>IFERROR(__xludf.DUMMYFUNCTION("""COMPUTED_VALUE"""),43617.0)</f>
        <v>43617</v>
      </c>
      <c r="J101" s="10">
        <f>IFERROR(__xludf.DUMMYFUNCTION("""COMPUTED_VALUE"""),44713.0)</f>
        <v>44713</v>
      </c>
      <c r="K101" s="15">
        <f>IFERROR(__xludf.DUMMYFUNCTION("""COMPUTED_VALUE"""),45809.0)</f>
        <v>45809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9" t="str">
        <f>IFERROR(__xludf.DUMMYFUNCTION("""COMPUTED_VALUE"""),"Hopp")</f>
        <v>Hopp</v>
      </c>
      <c r="B102" s="8" t="str">
        <f>IFERROR(__xludf.DUMMYFUNCTION("""COMPUTED_VALUE"""),"Max")</f>
        <v>Max</v>
      </c>
      <c r="C102" s="8" t="str">
        <f>IFERROR(__xludf.DUMMYFUNCTION("""COMPUTED_VALUE"""),"")</f>
        <v/>
      </c>
      <c r="D102" s="8" t="str">
        <f>IFERROR(__xludf.DUMMYFUNCTION("""COMPUTED_VALUE"""),"UNK")</f>
        <v>UNK</v>
      </c>
      <c r="E102" s="8" t="str">
        <f>IFERROR(__xludf.DUMMYFUNCTION("""COMPUTED_VALUE"""),"Germany")</f>
        <v>Germany</v>
      </c>
      <c r="F102" s="8" t="str">
        <f>IFERROR(__xludf.DUMMYFUNCTION("""COMPUTED_VALUE"""),"PDC Merit Ranking")</f>
        <v>PDC Merit Ranking</v>
      </c>
      <c r="G102" s="8" t="str">
        <f>IFERROR(__xludf.DUMMYFUNCTION("""COMPUTED_VALUE"""),"49th")</f>
        <v>49th</v>
      </c>
      <c r="H102" s="8" t="str">
        <f>IFERROR(__xludf.DUMMYFUNCTION("""COMPUTED_VALUE"""),"PDC Merit Ranking")</f>
        <v>PDC Merit Ranking</v>
      </c>
      <c r="I102" s="10">
        <f>IFERROR(__xludf.DUMMYFUNCTION("""COMPUTED_VALUE"""),43132.0)</f>
        <v>43132</v>
      </c>
      <c r="J102" s="10">
        <f>IFERROR(__xludf.DUMMYFUNCTION("""COMPUTED_VALUE"""),44348.0)</f>
        <v>44348</v>
      </c>
      <c r="K102" s="15">
        <f>IFERROR(__xludf.DUMMYFUNCTION("""COMPUTED_VALUE"""),45444.0)</f>
        <v>45444</v>
      </c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9" t="str">
        <f>IFERROR(__xludf.DUMMYFUNCTION("""COMPUTED_VALUE"""),"Hoshino")</f>
        <v>Hoshino</v>
      </c>
      <c r="B103" s="8" t="str">
        <f>IFERROR(__xludf.DUMMYFUNCTION("""COMPUTED_VALUE"""),"Mitsumasa")</f>
        <v>Mitsumasa</v>
      </c>
      <c r="C103" s="8" t="str">
        <f>IFERROR(__xludf.DUMMYFUNCTION("""COMPUTED_VALUE"""),"Japan")</f>
        <v>Japan</v>
      </c>
      <c r="D103" s="8" t="str">
        <f>IFERROR(__xludf.DUMMYFUNCTION("""COMPUTED_VALUE"""),"UNK")</f>
        <v>UNK</v>
      </c>
      <c r="E103" s="8" t="str">
        <f>IFERROR(__xludf.DUMMYFUNCTION("""COMPUTED_VALUE"""),"Japan")</f>
        <v>Japan</v>
      </c>
      <c r="F103" s="8" t="str">
        <f>IFERROR(__xludf.DUMMYFUNCTION("""COMPUTED_VALUE"""),"DL")</f>
        <v>DL</v>
      </c>
      <c r="G103" s="8" t="str">
        <f>IFERROR(__xludf.DUMMYFUNCTION("""COMPUTED_VALUE"""),"18th")</f>
        <v>18th</v>
      </c>
      <c r="H103" s="8" t="str">
        <f>IFERROR(__xludf.DUMMYFUNCTION("""COMPUTED_VALUE"""),"DL 2018")</f>
        <v>DL 2018</v>
      </c>
      <c r="I103" s="10">
        <f>IFERROR(__xludf.DUMMYFUNCTION("""COMPUTED_VALUE"""),43136.0)</f>
        <v>43136</v>
      </c>
      <c r="J103" s="10">
        <f>IFERROR(__xludf.DUMMYFUNCTION("""COMPUTED_VALUE"""),44348.0)</f>
        <v>44348</v>
      </c>
      <c r="K103" s="15">
        <f>IFERROR(__xludf.DUMMYFUNCTION("""COMPUTED_VALUE"""),45444.0)</f>
        <v>45444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9" t="str">
        <f>IFERROR(__xludf.DUMMYFUNCTION("""COMPUTED_VALUE"""),"Hsin Fu")</f>
        <v>Hsin Fu</v>
      </c>
      <c r="B104" s="8" t="str">
        <f>IFERROR(__xludf.DUMMYFUNCTION("""COMPUTED_VALUE"""),"Yang")</f>
        <v>Yang</v>
      </c>
      <c r="C104" s="8" t="str">
        <f>IFERROR(__xludf.DUMMYFUNCTION("""COMPUTED_VALUE"""),"")</f>
        <v/>
      </c>
      <c r="D104" s="8" t="str">
        <f>IFERROR(__xludf.DUMMYFUNCTION("""COMPUTED_VALUE"""),"UNK")</f>
        <v>UNK</v>
      </c>
      <c r="E104" s="8" t="str">
        <f>IFERROR(__xludf.DUMMYFUNCTION("""COMPUTED_VALUE"""),"Taiwan")</f>
        <v>Taiwan</v>
      </c>
      <c r="F104" s="8" t="str">
        <f>IFERROR(__xludf.DUMMYFUNCTION("""COMPUTED_VALUE"""),"DL")</f>
        <v>DL</v>
      </c>
      <c r="G104" s="8" t="str">
        <f>IFERROR(__xludf.DUMMYFUNCTION("""COMPUTED_VALUE"""),"40th")</f>
        <v>40th</v>
      </c>
      <c r="H104" s="8" t="str">
        <f>IFERROR(__xludf.DUMMYFUNCTION("""COMPUTED_VALUE"""),"DL 2018")</f>
        <v>DL 2018</v>
      </c>
      <c r="I104" s="10">
        <f>IFERROR(__xludf.DUMMYFUNCTION("""COMPUTED_VALUE"""),43136.0)</f>
        <v>43136</v>
      </c>
      <c r="J104" s="10">
        <f>IFERROR(__xludf.DUMMYFUNCTION("""COMPUTED_VALUE"""),44348.0)</f>
        <v>44348</v>
      </c>
      <c r="K104" s="15">
        <f>IFERROR(__xludf.DUMMYFUNCTION("""COMPUTED_VALUE"""),45444.0)</f>
        <v>45444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9" t="str">
        <f>IFERROR(__xludf.DUMMYFUNCTION("""COMPUTED_VALUE"""),"Huffman")</f>
        <v>Huffman</v>
      </c>
      <c r="B105" s="8" t="str">
        <f>IFERROR(__xludf.DUMMYFUNCTION("""COMPUTED_VALUE"""),"Joseph")</f>
        <v>Joseph</v>
      </c>
      <c r="C105" s="8" t="str">
        <f>IFERROR(__xludf.DUMMYFUNCTION("""COMPUTED_VALUE"""),"Mechanicsville")</f>
        <v>Mechanicsville</v>
      </c>
      <c r="D105" s="8" t="str">
        <f>IFERROR(__xludf.DUMMYFUNCTION("""COMPUTED_VALUE"""),"MD")</f>
        <v>MD</v>
      </c>
      <c r="E105" s="8" t="str">
        <f>IFERROR(__xludf.DUMMYFUNCTION("""COMPUTED_VALUE"""),"USA")</f>
        <v>USA</v>
      </c>
      <c r="F105" s="8" t="str">
        <f>IFERROR(__xludf.DUMMYFUNCTION("""COMPUTED_VALUE"""),"ADO 2018")</f>
        <v>ADO 2018</v>
      </c>
      <c r="G105" s="8" t="str">
        <f>IFERROR(__xludf.DUMMYFUNCTION("""COMPUTED_VALUE"""),"29th")</f>
        <v>29th</v>
      </c>
      <c r="H105" s="8" t="str">
        <f>IFERROR(__xludf.DUMMYFUNCTION("""COMPUTED_VALUE"""),"ADO 2018")</f>
        <v>ADO 2018</v>
      </c>
      <c r="I105" s="10">
        <f>IFERROR(__xludf.DUMMYFUNCTION("""COMPUTED_VALUE"""),43132.0)</f>
        <v>43132</v>
      </c>
      <c r="J105" s="10">
        <f>IFERROR(__xludf.DUMMYFUNCTION("""COMPUTED_VALUE"""),44348.0)</f>
        <v>44348</v>
      </c>
      <c r="K105" s="15">
        <f>IFERROR(__xludf.DUMMYFUNCTION("""COMPUTED_VALUE"""),45444.0)</f>
        <v>45444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9" t="str">
        <f>IFERROR(__xludf.DUMMYFUNCTION("""COMPUTED_VALUE"""),"Huhtala")</f>
        <v>Huhtala</v>
      </c>
      <c r="B106" s="8" t="str">
        <f>IFERROR(__xludf.DUMMYFUNCTION("""COMPUTED_VALUE"""),"Eric")</f>
        <v>Eric</v>
      </c>
      <c r="C106" s="8" t="str">
        <f>IFERROR(__xludf.DUMMYFUNCTION("""COMPUTED_VALUE"""),"")</f>
        <v/>
      </c>
      <c r="D106" s="8" t="str">
        <f>IFERROR(__xludf.DUMMYFUNCTION("""COMPUTED_VALUE"""),"UNK")</f>
        <v>UNK</v>
      </c>
      <c r="E106" s="8" t="str">
        <f>IFERROR(__xludf.DUMMYFUNCTION("""COMPUTED_VALUE"""),"USA")</f>
        <v>USA</v>
      </c>
      <c r="F106" s="8" t="str">
        <f>IFERROR(__xludf.DUMMYFUNCTION("""COMPUTED_VALUE"""),"ADO 2018")</f>
        <v>ADO 2018</v>
      </c>
      <c r="G106" s="8" t="str">
        <f>IFERROR(__xludf.DUMMYFUNCTION("""COMPUTED_VALUE"""),"28th")</f>
        <v>28th</v>
      </c>
      <c r="H106" s="8" t="str">
        <f>IFERROR(__xludf.DUMMYFUNCTION("""COMPUTED_VALUE"""),"ADO 2018")</f>
        <v>ADO 2018</v>
      </c>
      <c r="I106" s="10">
        <f>IFERROR(__xludf.DUMMYFUNCTION("""COMPUTED_VALUE"""),43132.0)</f>
        <v>43132</v>
      </c>
      <c r="J106" s="10">
        <f>IFERROR(__xludf.DUMMYFUNCTION("""COMPUTED_VALUE"""),44348.0)</f>
        <v>44348</v>
      </c>
      <c r="K106" s="15">
        <f>IFERROR(__xludf.DUMMYFUNCTION("""COMPUTED_VALUE"""),45444.0)</f>
        <v>45444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9" t="str">
        <f>IFERROR(__xludf.DUMMYFUNCTION("""COMPUTED_VALUE"""),"Huybrechts")</f>
        <v>Huybrechts</v>
      </c>
      <c r="B107" s="8" t="str">
        <f>IFERROR(__xludf.DUMMYFUNCTION("""COMPUTED_VALUE"""),"Kim")</f>
        <v>Kim</v>
      </c>
      <c r="C107" s="8" t="str">
        <f>IFERROR(__xludf.DUMMYFUNCTION("""COMPUTED_VALUE"""),"")</f>
        <v/>
      </c>
      <c r="D107" s="8" t="str">
        <f>IFERROR(__xludf.DUMMYFUNCTION("""COMPUTED_VALUE"""),"UNK")</f>
        <v>UNK</v>
      </c>
      <c r="E107" s="8" t="str">
        <f>IFERROR(__xludf.DUMMYFUNCTION("""COMPUTED_VALUE"""),"Belgium")</f>
        <v>Belgium</v>
      </c>
      <c r="F107" s="8" t="str">
        <f>IFERROR(__xludf.DUMMYFUNCTION("""COMPUTED_VALUE"""),"PDC Merit Ranking")</f>
        <v>PDC Merit Ranking</v>
      </c>
      <c r="G107" s="8" t="str">
        <f>IFERROR(__xludf.DUMMYFUNCTION("""COMPUTED_VALUE"""),"16th")</f>
        <v>16th</v>
      </c>
      <c r="H107" s="8" t="str">
        <f>IFERROR(__xludf.DUMMYFUNCTION("""COMPUTED_VALUE"""),"PDC Merit Ranking")</f>
        <v>PDC Merit Ranking</v>
      </c>
      <c r="I107" s="10">
        <f>IFERROR(__xludf.DUMMYFUNCTION("""COMPUTED_VALUE"""),43132.0)</f>
        <v>43132</v>
      </c>
      <c r="J107" s="10">
        <f>IFERROR(__xludf.DUMMYFUNCTION("""COMPUTED_VALUE"""),44348.0)</f>
        <v>44348</v>
      </c>
      <c r="K107" s="15">
        <f>IFERROR(__xludf.DUMMYFUNCTION("""COMPUTED_VALUE"""),45444.0)</f>
        <v>45444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9" t="str">
        <f>IFERROR(__xludf.DUMMYFUNCTION("""COMPUTED_VALUE"""),"Huybrechts")</f>
        <v>Huybrechts</v>
      </c>
      <c r="B108" s="8" t="str">
        <f>IFERROR(__xludf.DUMMYFUNCTION("""COMPUTED_VALUE"""),"Ronny")</f>
        <v>Ronny</v>
      </c>
      <c r="C108" s="8" t="str">
        <f>IFERROR(__xludf.DUMMYFUNCTION("""COMPUTED_VALUE"""),"")</f>
        <v/>
      </c>
      <c r="D108" s="8" t="str">
        <f>IFERROR(__xludf.DUMMYFUNCTION("""COMPUTED_VALUE"""),"UNK")</f>
        <v>UNK</v>
      </c>
      <c r="E108" s="8" t="str">
        <f>IFERROR(__xludf.DUMMYFUNCTION("""COMPUTED_VALUE"""),"Belgium")</f>
        <v>Belgium</v>
      </c>
      <c r="F108" s="8" t="str">
        <f>IFERROR(__xludf.DUMMYFUNCTION("""COMPUTED_VALUE"""),"PDC Merit Ranking")</f>
        <v>PDC Merit Ranking</v>
      </c>
      <c r="G108" s="8" t="str">
        <f>IFERROR(__xludf.DUMMYFUNCTION("""COMPUTED_VALUE"""),"42nd")</f>
        <v>42nd</v>
      </c>
      <c r="H108" s="8" t="str">
        <f>IFERROR(__xludf.DUMMYFUNCTION("""COMPUTED_VALUE"""),"PDC Merit Ranking")</f>
        <v>PDC Merit Ranking</v>
      </c>
      <c r="I108" s="10">
        <f>IFERROR(__xludf.DUMMYFUNCTION("""COMPUTED_VALUE"""),43132.0)</f>
        <v>43132</v>
      </c>
      <c r="J108" s="10">
        <f>IFERROR(__xludf.DUMMYFUNCTION("""COMPUTED_VALUE"""),44348.0)</f>
        <v>44348</v>
      </c>
      <c r="K108" s="15">
        <f>IFERROR(__xludf.DUMMYFUNCTION("""COMPUTED_VALUE"""),45444.0)</f>
        <v>45444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9" t="str">
        <f>IFERROR(__xludf.DUMMYFUNCTION("""COMPUTED_VALUE"""),"Hyun Chul")</f>
        <v>Hyun Chul</v>
      </c>
      <c r="B109" s="8" t="str">
        <f>IFERROR(__xludf.DUMMYFUNCTION("""COMPUTED_VALUE"""),"Park")</f>
        <v>Park</v>
      </c>
      <c r="C109" s="8" t="str">
        <f>IFERROR(__xludf.DUMMYFUNCTION("""COMPUTED_VALUE"""),"")</f>
        <v/>
      </c>
      <c r="D109" s="8" t="str">
        <f>IFERROR(__xludf.DUMMYFUNCTION("""COMPUTED_VALUE"""),"UNK")</f>
        <v>UNK</v>
      </c>
      <c r="E109" s="8" t="str">
        <f>IFERROR(__xludf.DUMMYFUNCTION("""COMPUTED_VALUE"""),"Korea")</f>
        <v>Korea</v>
      </c>
      <c r="F109" s="8" t="str">
        <f>IFERROR(__xludf.DUMMYFUNCTION("""COMPUTED_VALUE"""),"DL")</f>
        <v>DL</v>
      </c>
      <c r="G109" s="8" t="str">
        <f>IFERROR(__xludf.DUMMYFUNCTION("""COMPUTED_VALUE"""),"5th")</f>
        <v>5th</v>
      </c>
      <c r="H109" s="8" t="str">
        <f>IFERROR(__xludf.DUMMYFUNCTION("""COMPUTED_VALUE"""),"DL")</f>
        <v>DL</v>
      </c>
      <c r="I109" s="10">
        <f>IFERROR(__xludf.DUMMYFUNCTION("""COMPUTED_VALUE"""),42767.0)</f>
        <v>42767</v>
      </c>
      <c r="J109" s="10">
        <f>IFERROR(__xludf.DUMMYFUNCTION("""COMPUTED_VALUE"""),43983.0)</f>
        <v>43983</v>
      </c>
      <c r="K109" s="15">
        <f>IFERROR(__xludf.DUMMYFUNCTION("""COMPUTED_VALUE"""),45078.0)</f>
        <v>45078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9" t="str">
        <f>IFERROR(__xludf.DUMMYFUNCTION("""COMPUTED_VALUE"""),"Ilagan")</f>
        <v>Ilagan</v>
      </c>
      <c r="B110" s="8" t="str">
        <f>IFERROR(__xludf.DUMMYFUNCTION("""COMPUTED_VALUE"""),"Lourence")</f>
        <v>Lourence</v>
      </c>
      <c r="C110" s="8" t="str">
        <f>IFERROR(__xludf.DUMMYFUNCTION("""COMPUTED_VALUE"""),"")</f>
        <v/>
      </c>
      <c r="D110" s="8" t="str">
        <f>IFERROR(__xludf.DUMMYFUNCTION("""COMPUTED_VALUE"""),"UNK")</f>
        <v>UNK</v>
      </c>
      <c r="E110" s="8" t="str">
        <f>IFERROR(__xludf.DUMMYFUNCTION("""COMPUTED_VALUE"""),"Phillipines")</f>
        <v>Phillipines</v>
      </c>
      <c r="F110" s="8" t="str">
        <f>IFERROR(__xludf.DUMMYFUNCTION("""COMPUTED_VALUE"""),"DL")</f>
        <v>DL</v>
      </c>
      <c r="G110" s="8" t="str">
        <f>IFERROR(__xludf.DUMMYFUNCTION("""COMPUTED_VALUE"""),"12th")</f>
        <v>12th</v>
      </c>
      <c r="H110" s="8" t="str">
        <f>IFERROR(__xludf.DUMMYFUNCTION("""COMPUTED_VALUE"""),"DL 2018")</f>
        <v>DL 2018</v>
      </c>
      <c r="I110" s="10">
        <f>IFERROR(__xludf.DUMMYFUNCTION("""COMPUTED_VALUE"""),43136.0)</f>
        <v>43136</v>
      </c>
      <c r="J110" s="10">
        <f>IFERROR(__xludf.DUMMYFUNCTION("""COMPUTED_VALUE"""),44348.0)</f>
        <v>44348</v>
      </c>
      <c r="K110" s="15">
        <f>IFERROR(__xludf.DUMMYFUNCTION("""COMPUTED_VALUE"""),45444.0)</f>
        <v>45444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9" t="str">
        <f>IFERROR(__xludf.DUMMYFUNCTION("""COMPUTED_VALUE"""),"Inaba")</f>
        <v>Inaba</v>
      </c>
      <c r="B111" s="8" t="str">
        <f>IFERROR(__xludf.DUMMYFUNCTION("""COMPUTED_VALUE"""),"Minoru")</f>
        <v>Minoru</v>
      </c>
      <c r="C111" s="8" t="str">
        <f>IFERROR(__xludf.DUMMYFUNCTION("""COMPUTED_VALUE"""),"")</f>
        <v/>
      </c>
      <c r="D111" s="8" t="str">
        <f>IFERROR(__xludf.DUMMYFUNCTION("""COMPUTED_VALUE"""),"UNK")</f>
        <v>UNK</v>
      </c>
      <c r="E111" s="8" t="str">
        <f>IFERROR(__xludf.DUMMYFUNCTION("""COMPUTED_VALUE"""),"Japan")</f>
        <v>Japan</v>
      </c>
      <c r="F111" s="8" t="str">
        <f>IFERROR(__xludf.DUMMYFUNCTION("""COMPUTED_VALUE"""),"DL")</f>
        <v>DL</v>
      </c>
      <c r="G111" s="8" t="str">
        <f>IFERROR(__xludf.DUMMYFUNCTION("""COMPUTED_VALUE"""),"8th")</f>
        <v>8th</v>
      </c>
      <c r="H111" s="8" t="str">
        <f>IFERROR(__xludf.DUMMYFUNCTION("""COMPUTED_VALUE"""),"DL 2018")</f>
        <v>DL 2018</v>
      </c>
      <c r="I111" s="10">
        <f>IFERROR(__xludf.DUMMYFUNCTION("""COMPUTED_VALUE"""),43136.0)</f>
        <v>43136</v>
      </c>
      <c r="J111" s="10">
        <f>IFERROR(__xludf.DUMMYFUNCTION("""COMPUTED_VALUE"""),44348.0)</f>
        <v>44348</v>
      </c>
      <c r="K111" s="15">
        <f>IFERROR(__xludf.DUMMYFUNCTION("""COMPUTED_VALUE"""),45444.0)</f>
        <v>45444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9" t="str">
        <f>IFERROR(__xludf.DUMMYFUNCTION("""COMPUTED_VALUE"""),"Inoue")</f>
        <v>Inoue</v>
      </c>
      <c r="B112" s="8" t="str">
        <f>IFERROR(__xludf.DUMMYFUNCTION("""COMPUTED_VALUE"""),"Shintaro")</f>
        <v>Shintaro</v>
      </c>
      <c r="C112" s="8" t="str">
        <f>IFERROR(__xludf.DUMMYFUNCTION("""COMPUTED_VALUE"""),"")</f>
        <v/>
      </c>
      <c r="D112" s="8" t="str">
        <f>IFERROR(__xludf.DUMMYFUNCTION("""COMPUTED_VALUE"""),"UNK")</f>
        <v>UNK</v>
      </c>
      <c r="E112" s="8" t="str">
        <f>IFERROR(__xludf.DUMMYFUNCTION("""COMPUTED_VALUE"""),"Japan")</f>
        <v>Japan</v>
      </c>
      <c r="F112" s="8" t="str">
        <f>IFERROR(__xludf.DUMMYFUNCTION("""COMPUTED_VALUE"""),"DL")</f>
        <v>DL</v>
      </c>
      <c r="G112" s="8" t="str">
        <f>IFERROR(__xludf.DUMMYFUNCTION("""COMPUTED_VALUE"""),"35th")</f>
        <v>35th</v>
      </c>
      <c r="H112" s="8" t="str">
        <f>IFERROR(__xludf.DUMMYFUNCTION("""COMPUTED_VALUE"""),"DL 2018")</f>
        <v>DL 2018</v>
      </c>
      <c r="I112" s="10">
        <f>IFERROR(__xludf.DUMMYFUNCTION("""COMPUTED_VALUE"""),43136.0)</f>
        <v>43136</v>
      </c>
      <c r="J112" s="10">
        <f>IFERROR(__xludf.DUMMYFUNCTION("""COMPUTED_VALUE"""),44348.0)</f>
        <v>44348</v>
      </c>
      <c r="K112" s="15">
        <f>IFERROR(__xludf.DUMMYFUNCTION("""COMPUTED_VALUE"""),45444.0)</f>
        <v>45444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9" t="str">
        <f>IFERROR(__xludf.DUMMYFUNCTION("""COMPUTED_VALUE"""),"Jacques")</f>
        <v>Jacques</v>
      </c>
      <c r="B113" s="8" t="str">
        <f>IFERROR(__xludf.DUMMYFUNCTION("""COMPUTED_VALUE"""),"William")</f>
        <v>William</v>
      </c>
      <c r="C113" s="8" t="str">
        <f>IFERROR(__xludf.DUMMYFUNCTION("""COMPUTED_VALUE"""),"Riverside")</f>
        <v>Riverside</v>
      </c>
      <c r="D113" s="8" t="str">
        <f>IFERROR(__xludf.DUMMYFUNCTION("""COMPUTED_VALUE"""),"OH")</f>
        <v>OH</v>
      </c>
      <c r="E113" s="8" t="str">
        <f>IFERROR(__xludf.DUMMYFUNCTION("""COMPUTED_VALUE"""),"USA")</f>
        <v>USA</v>
      </c>
      <c r="F113" s="8" t="str">
        <f>IFERROR(__xludf.DUMMYFUNCTION("""COMPUTED_VALUE"""),"Pro/AA Cricket Luck")</f>
        <v>Pro/AA Cricket Luck</v>
      </c>
      <c r="G113" s="8" t="str">
        <f>IFERROR(__xludf.DUMMYFUNCTION("""COMPUTED_VALUE"""),"3rd")</f>
        <v>3rd</v>
      </c>
      <c r="H113" s="8" t="str">
        <f>IFERROR(__xludf.DUMMYFUNCTION("""COMPUTED_VALUE"""),"BullShooter 32")</f>
        <v>BullShooter 32</v>
      </c>
      <c r="I113" s="10">
        <f>IFERROR(__xludf.DUMMYFUNCTION("""COMPUTED_VALUE"""),42887.0)</f>
        <v>42887</v>
      </c>
      <c r="J113" s="10">
        <f>IFERROR(__xludf.DUMMYFUNCTION("""COMPUTED_VALUE"""),43983.0)</f>
        <v>43983</v>
      </c>
      <c r="K113" s="15">
        <f>IFERROR(__xludf.DUMMYFUNCTION("""COMPUTED_VALUE"""),45078.0)</f>
        <v>45078</v>
      </c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9" t="str">
        <f>IFERROR(__xludf.DUMMYFUNCTION("""COMPUTED_VALUE"""),"Jalbert")</f>
        <v>Jalbert</v>
      </c>
      <c r="B114" s="8" t="str">
        <f>IFERROR(__xludf.DUMMYFUNCTION("""COMPUTED_VALUE"""),"Aaron")</f>
        <v>Aaron</v>
      </c>
      <c r="C114" s="8" t="str">
        <f>IFERROR(__xludf.DUMMYFUNCTION("""COMPUTED_VALUE"""),"")</f>
        <v/>
      </c>
      <c r="D114" s="8" t="str">
        <f>IFERROR(__xludf.DUMMYFUNCTION("""COMPUTED_VALUE"""),"UNK")</f>
        <v>UNK</v>
      </c>
      <c r="E114" s="8" t="str">
        <f>IFERROR(__xludf.DUMMYFUNCTION("""COMPUTED_VALUE"""),"USA")</f>
        <v>USA</v>
      </c>
      <c r="F114" s="8" t="str">
        <f>IFERROR(__xludf.DUMMYFUNCTION("""COMPUTED_VALUE"""),"ADO 2018")</f>
        <v>ADO 2018</v>
      </c>
      <c r="G114" s="8" t="str">
        <f>IFERROR(__xludf.DUMMYFUNCTION("""COMPUTED_VALUE"""),"12th")</f>
        <v>12th</v>
      </c>
      <c r="H114" s="8" t="str">
        <f>IFERROR(__xludf.DUMMYFUNCTION("""COMPUTED_VALUE"""),"ADO 2018")</f>
        <v>ADO 2018</v>
      </c>
      <c r="I114" s="10">
        <f>IFERROR(__xludf.DUMMYFUNCTION("""COMPUTED_VALUE"""),43132.0)</f>
        <v>43132</v>
      </c>
      <c r="J114" s="10">
        <f>IFERROR(__xludf.DUMMYFUNCTION("""COMPUTED_VALUE"""),44348.0)</f>
        <v>44348</v>
      </c>
      <c r="K114" s="15">
        <f>IFERROR(__xludf.DUMMYFUNCTION("""COMPUTED_VALUE"""),45444.0)</f>
        <v>45444</v>
      </c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9" t="str">
        <f>IFERROR(__xludf.DUMMYFUNCTION("""COMPUTED_VALUE"""),"Jenkins")</f>
        <v>Jenkins</v>
      </c>
      <c r="B115" s="8" t="str">
        <f>IFERROR(__xludf.DUMMYFUNCTION("""COMPUTED_VALUE"""),"Johnny Lee")</f>
        <v>Johnny Lee</v>
      </c>
      <c r="C115" s="8" t="str">
        <f>IFERROR(__xludf.DUMMYFUNCTION("""COMPUTED_VALUE"""),"Rochester")</f>
        <v>Rochester</v>
      </c>
      <c r="D115" s="8" t="str">
        <f>IFERROR(__xludf.DUMMYFUNCTION("""COMPUTED_VALUE"""),"NY")</f>
        <v>NY</v>
      </c>
      <c r="E115" s="8" t="str">
        <f>IFERROR(__xludf.DUMMYFUNCTION("""COMPUTED_VALUE"""),"USA")</f>
        <v>USA</v>
      </c>
      <c r="F115" s="8" t="str">
        <f>IFERROR(__xludf.DUMMYFUNCTION("""COMPUTED_VALUE"""),"Known Pro")</f>
        <v>Known Pro</v>
      </c>
      <c r="G115" s="8" t="str">
        <f>IFERROR(__xludf.DUMMYFUNCTION("""COMPUTED_VALUE"""),"")</f>
        <v/>
      </c>
      <c r="H115" s="8" t="str">
        <f>IFERROR(__xludf.DUMMYFUNCTION("""COMPUTED_VALUE"""),"Known Ability")</f>
        <v>Known Ability</v>
      </c>
      <c r="I115" s="10">
        <f>IFERROR(__xludf.DUMMYFUNCTION("""COMPUTED_VALUE"""),36892.0)</f>
        <v>36892</v>
      </c>
      <c r="J115" s="10" t="str">
        <f>IFERROR(__xludf.DUMMYFUNCTION("""COMPUTED_VALUE"""),"")</f>
        <v/>
      </c>
      <c r="K115" s="15">
        <f>IFERROR(__xludf.DUMMYFUNCTION("""COMPUTED_VALUE"""),45809.0)</f>
        <v>45809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9" t="str">
        <f>IFERROR(__xludf.DUMMYFUNCTION("""COMPUTED_VALUE"""),"Jenkins")</f>
        <v>Jenkins</v>
      </c>
      <c r="B116" s="8" t="str">
        <f>IFERROR(__xludf.DUMMYFUNCTION("""COMPUTED_VALUE"""),"Terry")</f>
        <v>Terry</v>
      </c>
      <c r="C116" s="8" t="str">
        <f>IFERROR(__xludf.DUMMYFUNCTION("""COMPUTED_VALUE"""),"")</f>
        <v/>
      </c>
      <c r="D116" s="8" t="str">
        <f>IFERROR(__xludf.DUMMYFUNCTION("""COMPUTED_VALUE"""),"UNK")</f>
        <v>UNK</v>
      </c>
      <c r="E116" s="8" t="str">
        <f>IFERROR(__xludf.DUMMYFUNCTION("""COMPUTED_VALUE"""),"England")</f>
        <v>England</v>
      </c>
      <c r="F116" s="8" t="str">
        <f>IFERROR(__xludf.DUMMYFUNCTION("""COMPUTED_VALUE"""),"PDC Merit Ranking")</f>
        <v>PDC Merit Ranking</v>
      </c>
      <c r="G116" s="8" t="str">
        <f>IFERROR(__xludf.DUMMYFUNCTION("""COMPUTED_VALUE"""),"40th")</f>
        <v>40th</v>
      </c>
      <c r="H116" s="8" t="str">
        <f>IFERROR(__xludf.DUMMYFUNCTION("""COMPUTED_VALUE"""),"PDC Merit Ranking")</f>
        <v>PDC Merit Ranking</v>
      </c>
      <c r="I116" s="10">
        <f>IFERROR(__xludf.DUMMYFUNCTION("""COMPUTED_VALUE"""),43132.0)</f>
        <v>43132</v>
      </c>
      <c r="J116" s="10">
        <f>IFERROR(__xludf.DUMMYFUNCTION("""COMPUTED_VALUE"""),44348.0)</f>
        <v>44348</v>
      </c>
      <c r="K116" s="15">
        <f>IFERROR(__xludf.DUMMYFUNCTION("""COMPUTED_VALUE"""),45444.0)</f>
        <v>45444</v>
      </c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9" t="str">
        <f>IFERROR(__xludf.DUMMYFUNCTION("""COMPUTED_VALUE"""),"Joe")</f>
        <v>Joe</v>
      </c>
      <c r="B117" s="8" t="str">
        <f>IFERROR(__xludf.DUMMYFUNCTION("""COMPUTED_VALUE"""),"Donny")</f>
        <v>Donny</v>
      </c>
      <c r="C117" s="8" t="str">
        <f>IFERROR(__xludf.DUMMYFUNCTION("""COMPUTED_VALUE"""),"Houston")</f>
        <v>Houston</v>
      </c>
      <c r="D117" s="8" t="str">
        <f>IFERROR(__xludf.DUMMYFUNCTION("""COMPUTED_VALUE"""),"TX")</f>
        <v>TX</v>
      </c>
      <c r="E117" s="8" t="str">
        <f>IFERROR(__xludf.DUMMYFUNCTION("""COMPUTED_VALUE"""),"USA")</f>
        <v>USA</v>
      </c>
      <c r="F117" s="8" t="str">
        <f>IFERROR(__xludf.DUMMYFUNCTION("""COMPUTED_VALUE"""),"DL")</f>
        <v>DL</v>
      </c>
      <c r="G117" s="8" t="str">
        <f>IFERROR(__xludf.DUMMYFUNCTION("""COMPUTED_VALUE"""),"22nd")</f>
        <v>22nd</v>
      </c>
      <c r="H117" s="8" t="str">
        <f>IFERROR(__xludf.DUMMYFUNCTION("""COMPUTED_VALUE"""),"DL")</f>
        <v>DL</v>
      </c>
      <c r="I117" s="10">
        <f>IFERROR(__xludf.DUMMYFUNCTION("""COMPUTED_VALUE"""),42767.0)</f>
        <v>42767</v>
      </c>
      <c r="J117" s="10">
        <f>IFERROR(__xludf.DUMMYFUNCTION("""COMPUTED_VALUE"""),43983.0)</f>
        <v>43983</v>
      </c>
      <c r="K117" s="15">
        <f>IFERROR(__xludf.DUMMYFUNCTION("""COMPUTED_VALUE"""),45078.0)</f>
        <v>45078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9" t="str">
        <f>IFERROR(__xludf.DUMMYFUNCTION("""COMPUTED_VALUE"""),"Johnson")</f>
        <v>Johnson</v>
      </c>
      <c r="B118" s="8" t="str">
        <f>IFERROR(__xludf.DUMMYFUNCTION("""COMPUTED_VALUE"""),"Jesse")</f>
        <v>Jesse</v>
      </c>
      <c r="C118" s="8" t="str">
        <f>IFERROR(__xludf.DUMMYFUNCTION("""COMPUTED_VALUE"""),"Waupun")</f>
        <v>Waupun</v>
      </c>
      <c r="D118" s="8" t="str">
        <f>IFERROR(__xludf.DUMMYFUNCTION("""COMPUTED_VALUE"""),"WI")</f>
        <v>WI</v>
      </c>
      <c r="E118" s="8" t="str">
        <f>IFERROR(__xludf.DUMMYFUNCTION("""COMPUTED_VALUE"""),"USA")</f>
        <v>USA</v>
      </c>
      <c r="F118" s="8" t="str">
        <f>IFERROR(__xludf.DUMMYFUNCTION("""COMPUTED_VALUE"""),"Pro Cricket Doubles")</f>
        <v>Pro Cricket Doubles</v>
      </c>
      <c r="G118" s="8" t="str">
        <f>IFERROR(__xludf.DUMMYFUNCTION("""COMPUTED_VALUE"""),"2nd")</f>
        <v>2nd</v>
      </c>
      <c r="H118" s="8" t="str">
        <f>IFERROR(__xludf.DUMMYFUNCTION("""COMPUTED_VALUE"""),"BullShooter 34 Finals")</f>
        <v>BullShooter 34 Finals</v>
      </c>
      <c r="I118" s="10">
        <f>IFERROR(__xludf.DUMMYFUNCTION("""COMPUTED_VALUE"""),43617.0)</f>
        <v>43617</v>
      </c>
      <c r="J118" s="10">
        <f>IFERROR(__xludf.DUMMYFUNCTION("""COMPUTED_VALUE"""),44713.0)</f>
        <v>44713</v>
      </c>
      <c r="K118" s="15">
        <f>IFERROR(__xludf.DUMMYFUNCTION("""COMPUTED_VALUE"""),45809.0)</f>
        <v>45809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9" t="str">
        <f>IFERROR(__xludf.DUMMYFUNCTION("""COMPUTED_VALUE"""),"Johnson")</f>
        <v>Johnson</v>
      </c>
      <c r="B119" s="8" t="str">
        <f>IFERROR(__xludf.DUMMYFUNCTION("""COMPUTED_VALUE"""),"Travis")</f>
        <v>Travis</v>
      </c>
      <c r="C119" s="8" t="str">
        <f>IFERROR(__xludf.DUMMYFUNCTION("""COMPUTED_VALUE"""),"Elkton")</f>
        <v>Elkton</v>
      </c>
      <c r="D119" s="8" t="str">
        <f>IFERROR(__xludf.DUMMYFUNCTION("""COMPUTED_VALUE"""),"SD")</f>
        <v>SD</v>
      </c>
      <c r="E119" s="8" t="str">
        <f>IFERROR(__xludf.DUMMYFUNCTION("""COMPUTED_VALUE"""),"USA")</f>
        <v>USA</v>
      </c>
      <c r="F119" s="8" t="str">
        <f>IFERROR(__xludf.DUMMYFUNCTION("""COMPUTED_VALUE"""),"Pro AA Doubles")</f>
        <v>Pro AA Doubles</v>
      </c>
      <c r="G119" s="8" t="str">
        <f>IFERROR(__xludf.DUMMYFUNCTION("""COMPUTED_VALUE"""),"2nd")</f>
        <v>2nd</v>
      </c>
      <c r="H119" s="8" t="str">
        <f>IFERROR(__xludf.DUMMYFUNCTION("""COMPUTED_VALUE"""),"BullShooter 32")</f>
        <v>BullShooter 32</v>
      </c>
      <c r="I119" s="10">
        <f>IFERROR(__xludf.DUMMYFUNCTION("""COMPUTED_VALUE"""),42887.0)</f>
        <v>42887</v>
      </c>
      <c r="J119" s="10">
        <f>IFERROR(__xludf.DUMMYFUNCTION("""COMPUTED_VALUE"""),43983.0)</f>
        <v>43983</v>
      </c>
      <c r="K119" s="15">
        <f>IFERROR(__xludf.DUMMYFUNCTION("""COMPUTED_VALUE"""),45078.0)</f>
        <v>45078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9" t="str">
        <f>IFERROR(__xludf.DUMMYFUNCTION("""COMPUTED_VALUE"""),"Jones")</f>
        <v>Jones</v>
      </c>
      <c r="B120" s="8" t="str">
        <f>IFERROR(__xludf.DUMMYFUNCTION("""COMPUTED_VALUE"""),"Karl")</f>
        <v>Karl</v>
      </c>
      <c r="C120" s="8" t="str">
        <f>IFERROR(__xludf.DUMMYFUNCTION("""COMPUTED_VALUE"""),"Speedway")</f>
        <v>Speedway</v>
      </c>
      <c r="D120" s="8" t="str">
        <f>IFERROR(__xludf.DUMMYFUNCTION("""COMPUTED_VALUE"""),"IN")</f>
        <v>IN</v>
      </c>
      <c r="E120" s="8" t="str">
        <f>IFERROR(__xludf.DUMMYFUNCTION("""COMPUTED_VALUE"""),"USA")</f>
        <v>USA</v>
      </c>
      <c r="F120" s="8" t="str">
        <f>IFERROR(__xludf.DUMMYFUNCTION("""COMPUTED_VALUE"""),"Pro Cricket Doubles")</f>
        <v>Pro Cricket Doubles</v>
      </c>
      <c r="G120" s="8" t="str">
        <f>IFERROR(__xludf.DUMMYFUNCTION("""COMPUTED_VALUE"""),"1st")</f>
        <v>1st</v>
      </c>
      <c r="H120" s="8" t="str">
        <f>IFERROR(__xludf.DUMMYFUNCTION("""COMPUTED_VALUE"""),"OFF AA IN 20")</f>
        <v>OFF AA IN 20</v>
      </c>
      <c r="I120" s="10">
        <f>IFERROR(__xludf.DUMMYFUNCTION("""COMPUTED_VALUE"""),42887.0)</f>
        <v>42887</v>
      </c>
      <c r="J120" s="10">
        <f>IFERROR(__xludf.DUMMYFUNCTION("""COMPUTED_VALUE"""),44348.0)</f>
        <v>44348</v>
      </c>
      <c r="K120" s="15">
        <f>IFERROR(__xludf.DUMMYFUNCTION("""COMPUTED_VALUE"""),45444.0)</f>
        <v>45444</v>
      </c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9" t="str">
        <f>IFERROR(__xludf.DUMMYFUNCTION("""COMPUTED_VALUE"""),"Jurasin")</f>
        <v>Jurasin</v>
      </c>
      <c r="B121" s="8" t="str">
        <f>IFERROR(__xludf.DUMMYFUNCTION("""COMPUTED_VALUE"""),"Patrick")</f>
        <v>Patrick</v>
      </c>
      <c r="C121" s="8" t="str">
        <f>IFERROR(__xludf.DUMMYFUNCTION("""COMPUTED_VALUE"""),"Lake Milton")</f>
        <v>Lake Milton</v>
      </c>
      <c r="D121" s="8" t="str">
        <f>IFERROR(__xludf.DUMMYFUNCTION("""COMPUTED_VALUE"""),"OH")</f>
        <v>OH</v>
      </c>
      <c r="E121" s="8" t="str">
        <f>IFERROR(__xludf.DUMMYFUNCTION("""COMPUTED_VALUE"""),"USA")</f>
        <v>USA</v>
      </c>
      <c r="F121" s="8" t="str">
        <f>IFERROR(__xludf.DUMMYFUNCTION("""COMPUTED_VALUE"""),"Pro Doubles")</f>
        <v>Pro Doubles</v>
      </c>
      <c r="G121" s="8" t="str">
        <f>IFERROR(__xludf.DUMMYFUNCTION("""COMPUTED_VALUE"""),"2nd")</f>
        <v>2nd</v>
      </c>
      <c r="H121" s="8" t="str">
        <f>IFERROR(__xludf.DUMMYFUNCTION("""COMPUTED_VALUE"""),"OFF AA IN 18")</f>
        <v>OFF AA IN 18</v>
      </c>
      <c r="I121" s="10">
        <f>IFERROR(__xludf.DUMMYFUNCTION("""COMPUTED_VALUE"""),42156.0)</f>
        <v>42156</v>
      </c>
      <c r="J121" s="10">
        <f>IFERROR(__xludf.DUMMYFUNCTION("""COMPUTED_VALUE"""),44348.0)</f>
        <v>44348</v>
      </c>
      <c r="K121" s="15">
        <f>IFERROR(__xludf.DUMMYFUNCTION("""COMPUTED_VALUE"""),45444.0)</f>
        <v>45444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9" t="str">
        <f>IFERROR(__xludf.DUMMYFUNCTION("""COMPUTED_VALUE"""),"Kai Fan")</f>
        <v>Kai Fan</v>
      </c>
      <c r="B122" s="8" t="str">
        <f>IFERROR(__xludf.DUMMYFUNCTION("""COMPUTED_VALUE"""),"Leung")</f>
        <v>Leung</v>
      </c>
      <c r="C122" s="8" t="str">
        <f>IFERROR(__xludf.DUMMYFUNCTION("""COMPUTED_VALUE"""),"")</f>
        <v/>
      </c>
      <c r="D122" s="8" t="str">
        <f>IFERROR(__xludf.DUMMYFUNCTION("""COMPUTED_VALUE"""),"UNK")</f>
        <v>UNK</v>
      </c>
      <c r="E122" s="8" t="str">
        <f>IFERROR(__xludf.DUMMYFUNCTION("""COMPUTED_VALUE"""),"HONG KONG")</f>
        <v>HONG KONG</v>
      </c>
      <c r="F122" s="8" t="str">
        <f>IFERROR(__xludf.DUMMYFUNCTION("""COMPUTED_VALUE"""),"DL")</f>
        <v>DL</v>
      </c>
      <c r="G122" s="8" t="str">
        <f>IFERROR(__xludf.DUMMYFUNCTION("""COMPUTED_VALUE"""),"32nd")</f>
        <v>32nd</v>
      </c>
      <c r="H122" s="8" t="str">
        <f>IFERROR(__xludf.DUMMYFUNCTION("""COMPUTED_VALUE"""),"DL 2018")</f>
        <v>DL 2018</v>
      </c>
      <c r="I122" s="10">
        <f>IFERROR(__xludf.DUMMYFUNCTION("""COMPUTED_VALUE"""),43136.0)</f>
        <v>43136</v>
      </c>
      <c r="J122" s="10">
        <f>IFERROR(__xludf.DUMMYFUNCTION("""COMPUTED_VALUE"""),44348.0)</f>
        <v>44348</v>
      </c>
      <c r="K122" s="15">
        <f>IFERROR(__xludf.DUMMYFUNCTION("""COMPUTED_VALUE"""),45444.0)</f>
        <v>45444</v>
      </c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9" t="str">
        <f>IFERROR(__xludf.DUMMYFUNCTION("""COMPUTED_VALUE"""),"Katsumi")</f>
        <v>Katsumi</v>
      </c>
      <c r="B123" s="8" t="str">
        <f>IFERROR(__xludf.DUMMYFUNCTION("""COMPUTED_VALUE"""),"Sho")</f>
        <v>Sho</v>
      </c>
      <c r="C123" s="8" t="str">
        <f>IFERROR(__xludf.DUMMYFUNCTION("""COMPUTED_VALUE"""),"")</f>
        <v/>
      </c>
      <c r="D123" s="8" t="str">
        <f>IFERROR(__xludf.DUMMYFUNCTION("""COMPUTED_VALUE"""),"UNK")</f>
        <v>UNK</v>
      </c>
      <c r="E123" s="8" t="str">
        <f>IFERROR(__xludf.DUMMYFUNCTION("""COMPUTED_VALUE"""),"Japan")</f>
        <v>Japan</v>
      </c>
      <c r="F123" s="8" t="str">
        <f>IFERROR(__xludf.DUMMYFUNCTION("""COMPUTED_VALUE"""),"DL")</f>
        <v>DL</v>
      </c>
      <c r="G123" s="8" t="str">
        <f>IFERROR(__xludf.DUMMYFUNCTION("""COMPUTED_VALUE"""),"13th")</f>
        <v>13th</v>
      </c>
      <c r="H123" s="8" t="str">
        <f>IFERROR(__xludf.DUMMYFUNCTION("""COMPUTED_VALUE"""),"DL 2018")</f>
        <v>DL 2018</v>
      </c>
      <c r="I123" s="10">
        <f>IFERROR(__xludf.DUMMYFUNCTION("""COMPUTED_VALUE"""),43136.0)</f>
        <v>43136</v>
      </c>
      <c r="J123" s="10">
        <f>IFERROR(__xludf.DUMMYFUNCTION("""COMPUTED_VALUE"""),44348.0)</f>
        <v>44348</v>
      </c>
      <c r="K123" s="15">
        <f>IFERROR(__xludf.DUMMYFUNCTION("""COMPUTED_VALUE"""),45444.0)</f>
        <v>45444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9" t="str">
        <f>IFERROR(__xludf.DUMMYFUNCTION("""COMPUTED_VALUE"""),"Kawakami")</f>
        <v>Kawakami</v>
      </c>
      <c r="B124" s="8" t="str">
        <f>IFERROR(__xludf.DUMMYFUNCTION("""COMPUTED_VALUE"""),"Mana")</f>
        <v>Mana</v>
      </c>
      <c r="C124" s="8" t="str">
        <f>IFERROR(__xludf.DUMMYFUNCTION("""COMPUTED_VALUE"""),"")</f>
        <v/>
      </c>
      <c r="D124" s="8" t="str">
        <f>IFERROR(__xludf.DUMMYFUNCTION("""COMPUTED_VALUE"""),"UNK")</f>
        <v>UNK</v>
      </c>
      <c r="E124" s="8" t="str">
        <f>IFERROR(__xludf.DUMMYFUNCTION("""COMPUTED_VALUE"""),"JAPAN")</f>
        <v>JAPAN</v>
      </c>
      <c r="F124" s="8" t="str">
        <f>IFERROR(__xludf.DUMMYFUNCTION("""COMPUTED_VALUE"""),"DL")</f>
        <v>DL</v>
      </c>
      <c r="G124" s="8" t="str">
        <f>IFERROR(__xludf.DUMMYFUNCTION("""COMPUTED_VALUE"""),"52nd")</f>
        <v>52nd</v>
      </c>
      <c r="H124" s="8" t="str">
        <f>IFERROR(__xludf.DUMMYFUNCTION("""COMPUTED_VALUE"""),"DL 2018")</f>
        <v>DL 2018</v>
      </c>
      <c r="I124" s="10">
        <f>IFERROR(__xludf.DUMMYFUNCTION("""COMPUTED_VALUE"""),43136.0)</f>
        <v>43136</v>
      </c>
      <c r="J124" s="10">
        <f>IFERROR(__xludf.DUMMYFUNCTION("""COMPUTED_VALUE"""),44348.0)</f>
        <v>44348</v>
      </c>
      <c r="K124" s="15">
        <f>IFERROR(__xludf.DUMMYFUNCTION("""COMPUTED_VALUE"""),45444.0)</f>
        <v>45444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9" t="str">
        <f>IFERROR(__xludf.DUMMYFUNCTION("""COMPUTED_VALUE"""),"Kazama")</f>
        <v>Kazama</v>
      </c>
      <c r="B125" s="8" t="str">
        <f>IFERROR(__xludf.DUMMYFUNCTION("""COMPUTED_VALUE"""),"Yuta")</f>
        <v>Yuta</v>
      </c>
      <c r="C125" s="8" t="str">
        <f>IFERROR(__xludf.DUMMYFUNCTION("""COMPUTED_VALUE"""),"")</f>
        <v/>
      </c>
      <c r="D125" s="8" t="str">
        <f>IFERROR(__xludf.DUMMYFUNCTION("""COMPUTED_VALUE"""),"UNK")</f>
        <v>UNK</v>
      </c>
      <c r="E125" s="8" t="str">
        <f>IFERROR(__xludf.DUMMYFUNCTION("""COMPUTED_VALUE"""),"Japan")</f>
        <v>Japan</v>
      </c>
      <c r="F125" s="8" t="str">
        <f>IFERROR(__xludf.DUMMYFUNCTION("""COMPUTED_VALUE"""),"DL")</f>
        <v>DL</v>
      </c>
      <c r="G125" s="8" t="str">
        <f>IFERROR(__xludf.DUMMYFUNCTION("""COMPUTED_VALUE"""),"28th")</f>
        <v>28th</v>
      </c>
      <c r="H125" s="8" t="str">
        <f>IFERROR(__xludf.DUMMYFUNCTION("""COMPUTED_VALUE"""),"DL 2018")</f>
        <v>DL 2018</v>
      </c>
      <c r="I125" s="10">
        <f>IFERROR(__xludf.DUMMYFUNCTION("""COMPUTED_VALUE"""),43136.0)</f>
        <v>43136</v>
      </c>
      <c r="J125" s="10">
        <f>IFERROR(__xludf.DUMMYFUNCTION("""COMPUTED_VALUE"""),44348.0)</f>
        <v>44348</v>
      </c>
      <c r="K125" s="15">
        <f>IFERROR(__xludf.DUMMYFUNCTION("""COMPUTED_VALUE"""),45444.0)</f>
        <v>45444</v>
      </c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9" t="str">
        <f>IFERROR(__xludf.DUMMYFUNCTION("""COMPUTED_VALUE"""),"Kessler")</f>
        <v>Kessler</v>
      </c>
      <c r="B126" s="8" t="str">
        <f>IFERROR(__xludf.DUMMYFUNCTION("""COMPUTED_VALUE"""),"Brandon")</f>
        <v>Brandon</v>
      </c>
      <c r="C126" s="8" t="str">
        <f>IFERROR(__xludf.DUMMYFUNCTION("""COMPUTED_VALUE"""),"Carey")</f>
        <v>Carey</v>
      </c>
      <c r="D126" s="8" t="str">
        <f>IFERROR(__xludf.DUMMYFUNCTION("""COMPUTED_VALUE"""),"OH")</f>
        <v>OH</v>
      </c>
      <c r="E126" s="8" t="str">
        <f>IFERROR(__xludf.DUMMYFUNCTION("""COMPUTED_VALUE"""),"USA")</f>
        <v>USA</v>
      </c>
      <c r="F126" s="8" t="str">
        <f>IFERROR(__xludf.DUMMYFUNCTION("""COMPUTED_VALUE"""),"Pro/Am Cricket")</f>
        <v>Pro/Am Cricket</v>
      </c>
      <c r="G126" s="8" t="str">
        <f>IFERROR(__xludf.DUMMYFUNCTION("""COMPUTED_VALUE"""),"1st")</f>
        <v>1st</v>
      </c>
      <c r="H126" s="8" t="str">
        <f>IFERROR(__xludf.DUMMYFUNCTION("""COMPUTED_VALUE"""),"Ohio BS 34")</f>
        <v>Ohio BS 34</v>
      </c>
      <c r="I126" s="10">
        <f>IFERROR(__xludf.DUMMYFUNCTION("""COMPUTED_VALUE"""),43617.0)</f>
        <v>43617</v>
      </c>
      <c r="J126" s="10">
        <f>IFERROR(__xludf.DUMMYFUNCTION("""COMPUTED_VALUE"""),44348.0)</f>
        <v>44348</v>
      </c>
      <c r="K126" s="15">
        <f>IFERROR(__xludf.DUMMYFUNCTION("""COMPUTED_VALUE"""),45444.0)</f>
        <v>45444</v>
      </c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9" t="str">
        <f>IFERROR(__xludf.DUMMYFUNCTION("""COMPUTED_VALUE"""),"King")</f>
        <v>King</v>
      </c>
      <c r="B127" s="8" t="str">
        <f>IFERROR(__xludf.DUMMYFUNCTION("""COMPUTED_VALUE"""),"Mervyn")</f>
        <v>Mervyn</v>
      </c>
      <c r="C127" s="8" t="str">
        <f>IFERROR(__xludf.DUMMYFUNCTION("""COMPUTED_VALUE"""),"")</f>
        <v/>
      </c>
      <c r="D127" s="8" t="str">
        <f>IFERROR(__xludf.DUMMYFUNCTION("""COMPUTED_VALUE"""),"UNK")</f>
        <v>UNK</v>
      </c>
      <c r="E127" s="8" t="str">
        <f>IFERROR(__xludf.DUMMYFUNCTION("""COMPUTED_VALUE"""),"England")</f>
        <v>England</v>
      </c>
      <c r="F127" s="8" t="str">
        <f>IFERROR(__xludf.DUMMYFUNCTION("""COMPUTED_VALUE"""),"PDC Merit Ranking")</f>
        <v>PDC Merit Ranking</v>
      </c>
      <c r="G127" s="8" t="str">
        <f>IFERROR(__xludf.DUMMYFUNCTION("""COMPUTED_VALUE"""),"23nd")</f>
        <v>23nd</v>
      </c>
      <c r="H127" s="8" t="str">
        <f>IFERROR(__xludf.DUMMYFUNCTION("""COMPUTED_VALUE"""),"PDC Merit Ranking")</f>
        <v>PDC Merit Ranking</v>
      </c>
      <c r="I127" s="10">
        <f>IFERROR(__xludf.DUMMYFUNCTION("""COMPUTED_VALUE"""),43132.0)</f>
        <v>43132</v>
      </c>
      <c r="J127" s="10">
        <f>IFERROR(__xludf.DUMMYFUNCTION("""COMPUTED_VALUE"""),44348.0)</f>
        <v>44348</v>
      </c>
      <c r="K127" s="15">
        <f>IFERROR(__xludf.DUMMYFUNCTION("""COMPUTED_VALUE"""),45444.0)</f>
        <v>45444</v>
      </c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9" t="str">
        <f>IFERROR(__xludf.DUMMYFUNCTION("""COMPUTED_VALUE"""),"Kinney")</f>
        <v>Kinney</v>
      </c>
      <c r="B128" s="8" t="str">
        <f>IFERROR(__xludf.DUMMYFUNCTION("""COMPUTED_VALUE"""),"James")</f>
        <v>James</v>
      </c>
      <c r="C128" s="8" t="str">
        <f>IFERROR(__xludf.DUMMYFUNCTION("""COMPUTED_VALUE"""),"")</f>
        <v/>
      </c>
      <c r="D128" s="8" t="str">
        <f>IFERROR(__xludf.DUMMYFUNCTION("""COMPUTED_VALUE"""),"UNK")</f>
        <v>UNK</v>
      </c>
      <c r="E128" s="8" t="str">
        <f>IFERROR(__xludf.DUMMYFUNCTION("""COMPUTED_VALUE"""),"USA")</f>
        <v>USA</v>
      </c>
      <c r="F128" s="8" t="str">
        <f>IFERROR(__xludf.DUMMYFUNCTION("""COMPUTED_VALUE"""),"ADO 2018")</f>
        <v>ADO 2018</v>
      </c>
      <c r="G128" s="8" t="str">
        <f>IFERROR(__xludf.DUMMYFUNCTION("""COMPUTED_VALUE"""),"10th")</f>
        <v>10th</v>
      </c>
      <c r="H128" s="8" t="str">
        <f>IFERROR(__xludf.DUMMYFUNCTION("""COMPUTED_VALUE"""),"ADO 2018")</f>
        <v>ADO 2018</v>
      </c>
      <c r="I128" s="10">
        <f>IFERROR(__xludf.DUMMYFUNCTION("""COMPUTED_VALUE"""),43132.0)</f>
        <v>43132</v>
      </c>
      <c r="J128" s="10">
        <f>IFERROR(__xludf.DUMMYFUNCTION("""COMPUTED_VALUE"""),44348.0)</f>
        <v>44348</v>
      </c>
      <c r="K128" s="15">
        <f>IFERROR(__xludf.DUMMYFUNCTION("""COMPUTED_VALUE"""),45444.0)</f>
        <v>45444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9" t="str">
        <f>IFERROR(__xludf.DUMMYFUNCTION("""COMPUTED_VALUE"""),"Kirchner")</f>
        <v>Kirchner</v>
      </c>
      <c r="B129" s="8" t="str">
        <f>IFERROR(__xludf.DUMMYFUNCTION("""COMPUTED_VALUE"""),"Scott")</f>
        <v>Scott</v>
      </c>
      <c r="C129" s="8" t="str">
        <f>IFERROR(__xludf.DUMMYFUNCTION("""COMPUTED_VALUE"""),"Janesville")</f>
        <v>Janesville</v>
      </c>
      <c r="D129" s="8" t="str">
        <f>IFERROR(__xludf.DUMMYFUNCTION("""COMPUTED_VALUE"""),"WI")</f>
        <v>WI</v>
      </c>
      <c r="E129" s="8" t="str">
        <f>IFERROR(__xludf.DUMMYFUNCTION("""COMPUTED_VALUE"""),"USA")</f>
        <v>USA</v>
      </c>
      <c r="F129" s="8" t="str">
        <f>IFERROR(__xludf.DUMMYFUNCTION("""COMPUTED_VALUE"""),"DL")</f>
        <v>DL</v>
      </c>
      <c r="G129" s="8" t="str">
        <f>IFERROR(__xludf.DUMMYFUNCTION("""COMPUTED_VALUE"""),"13th")</f>
        <v>13th</v>
      </c>
      <c r="H129" s="8" t="str">
        <f>IFERROR(__xludf.DUMMYFUNCTION("""COMPUTED_VALUE"""),"Known Ability")</f>
        <v>Known Ability</v>
      </c>
      <c r="I129" s="10">
        <f>IFERROR(__xludf.DUMMYFUNCTION("""COMPUTED_VALUE"""),43136.0)</f>
        <v>43136</v>
      </c>
      <c r="J129" s="10">
        <f>IFERROR(__xludf.DUMMYFUNCTION("""COMPUTED_VALUE"""),44348.0)</f>
        <v>44348</v>
      </c>
      <c r="K129" s="15">
        <f>IFERROR(__xludf.DUMMYFUNCTION("""COMPUTED_VALUE"""),45809.0)</f>
        <v>45809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9" t="str">
        <f>IFERROR(__xludf.DUMMYFUNCTION("""COMPUTED_VALUE"""),"Kist")</f>
        <v>Kist</v>
      </c>
      <c r="B130" s="8" t="str">
        <f>IFERROR(__xludf.DUMMYFUNCTION("""COMPUTED_VALUE"""),"Christian")</f>
        <v>Christian</v>
      </c>
      <c r="C130" s="8" t="str">
        <f>IFERROR(__xludf.DUMMYFUNCTION("""COMPUTED_VALUE"""),"")</f>
        <v/>
      </c>
      <c r="D130" s="8" t="str">
        <f>IFERROR(__xludf.DUMMYFUNCTION("""COMPUTED_VALUE"""),"UNK")</f>
        <v>UNK</v>
      </c>
      <c r="E130" s="8" t="str">
        <f>IFERROR(__xludf.DUMMYFUNCTION("""COMPUTED_VALUE"""),"Netherlands")</f>
        <v>Netherlands</v>
      </c>
      <c r="F130" s="8" t="str">
        <f>IFERROR(__xludf.DUMMYFUNCTION("""COMPUTED_VALUE"""),"PDC Merit Ranking")</f>
        <v>PDC Merit Ranking</v>
      </c>
      <c r="G130" s="8" t="str">
        <f>IFERROR(__xludf.DUMMYFUNCTION("""COMPUTED_VALUE"""),"37th")</f>
        <v>37th</v>
      </c>
      <c r="H130" s="8" t="str">
        <f>IFERROR(__xludf.DUMMYFUNCTION("""COMPUTED_VALUE"""),"PDC Merit Ranking")</f>
        <v>PDC Merit Ranking</v>
      </c>
      <c r="I130" s="10">
        <f>IFERROR(__xludf.DUMMYFUNCTION("""COMPUTED_VALUE"""),43132.0)</f>
        <v>43132</v>
      </c>
      <c r="J130" s="10">
        <f>IFERROR(__xludf.DUMMYFUNCTION("""COMPUTED_VALUE"""),44348.0)</f>
        <v>44348</v>
      </c>
      <c r="K130" s="15">
        <f>IFERROR(__xludf.DUMMYFUNCTION("""COMPUTED_VALUE"""),45444.0)</f>
        <v>45444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9" t="str">
        <f>IFERROR(__xludf.DUMMYFUNCTION("""COMPUTED_VALUE"""),"Kithi")</f>
        <v>Kithi</v>
      </c>
      <c r="B131" s="8" t="str">
        <f>IFERROR(__xludf.DUMMYFUNCTION("""COMPUTED_VALUE"""),"Patrick")</f>
        <v>Patrick</v>
      </c>
      <c r="C131" s="8" t="str">
        <f>IFERROR(__xludf.DUMMYFUNCTION("""COMPUTED_VALUE"""),"")</f>
        <v/>
      </c>
      <c r="D131" s="8" t="str">
        <f>IFERROR(__xludf.DUMMYFUNCTION("""COMPUTED_VALUE"""),"UNK")</f>
        <v>UNK</v>
      </c>
      <c r="E131" s="8" t="str">
        <f>IFERROR(__xludf.DUMMYFUNCTION("""COMPUTED_VALUE"""),"USA")</f>
        <v>USA</v>
      </c>
      <c r="F131" s="8" t="str">
        <f>IFERROR(__xludf.DUMMYFUNCTION("""COMPUTED_VALUE"""),"ADO 2018")</f>
        <v>ADO 2018</v>
      </c>
      <c r="G131" s="8" t="str">
        <f>IFERROR(__xludf.DUMMYFUNCTION("""COMPUTED_VALUE"""),"39th")</f>
        <v>39th</v>
      </c>
      <c r="H131" s="8" t="str">
        <f>IFERROR(__xludf.DUMMYFUNCTION("""COMPUTED_VALUE"""),"ADO 2018")</f>
        <v>ADO 2018</v>
      </c>
      <c r="I131" s="10">
        <f>IFERROR(__xludf.DUMMYFUNCTION("""COMPUTED_VALUE"""),43132.0)</f>
        <v>43132</v>
      </c>
      <c r="J131" s="10">
        <f>IFERROR(__xludf.DUMMYFUNCTION("""COMPUTED_VALUE"""),44348.0)</f>
        <v>44348</v>
      </c>
      <c r="K131" s="15">
        <f>IFERROR(__xludf.DUMMYFUNCTION("""COMPUTED_VALUE"""),45444.0)</f>
        <v>45444</v>
      </c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9" t="str">
        <f>IFERROR(__xludf.DUMMYFUNCTION("""COMPUTED_VALUE"""),"Klaasen")</f>
        <v>Klaasen</v>
      </c>
      <c r="B132" s="8" t="str">
        <f>IFERROR(__xludf.DUMMYFUNCTION("""COMPUTED_VALUE"""),"Jelle")</f>
        <v>Jelle</v>
      </c>
      <c r="C132" s="8" t="str">
        <f>IFERROR(__xludf.DUMMYFUNCTION("""COMPUTED_VALUE"""),"")</f>
        <v/>
      </c>
      <c r="D132" s="8" t="str">
        <f>IFERROR(__xludf.DUMMYFUNCTION("""COMPUTED_VALUE"""),"UNK")</f>
        <v>UNK</v>
      </c>
      <c r="E132" s="8" t="str">
        <f>IFERROR(__xludf.DUMMYFUNCTION("""COMPUTED_VALUE"""),"Netherlands")</f>
        <v>Netherlands</v>
      </c>
      <c r="F132" s="8" t="str">
        <f>IFERROR(__xludf.DUMMYFUNCTION("""COMPUTED_VALUE"""),"PDC Merit Ranking")</f>
        <v>PDC Merit Ranking</v>
      </c>
      <c r="G132" s="8" t="str">
        <f>IFERROR(__xludf.DUMMYFUNCTION("""COMPUTED_VALUE"""),"17th")</f>
        <v>17th</v>
      </c>
      <c r="H132" s="8" t="str">
        <f>IFERROR(__xludf.DUMMYFUNCTION("""COMPUTED_VALUE"""),"PDC Merit Ranking")</f>
        <v>PDC Merit Ranking</v>
      </c>
      <c r="I132" s="10">
        <f>IFERROR(__xludf.DUMMYFUNCTION("""COMPUTED_VALUE"""),43132.0)</f>
        <v>43132</v>
      </c>
      <c r="J132" s="10">
        <f>IFERROR(__xludf.DUMMYFUNCTION("""COMPUTED_VALUE"""),44348.0)</f>
        <v>44348</v>
      </c>
      <c r="K132" s="15">
        <f>IFERROR(__xludf.DUMMYFUNCTION("""COMPUTED_VALUE"""),45444.0)</f>
        <v>45444</v>
      </c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9" t="str">
        <f>IFERROR(__xludf.DUMMYFUNCTION("""COMPUTED_VALUE"""),"Krcmar")</f>
        <v>Krcmar</v>
      </c>
      <c r="B133" s="8" t="str">
        <f>IFERROR(__xludf.DUMMYFUNCTION("""COMPUTED_VALUE"""),"Boris")</f>
        <v>Boris</v>
      </c>
      <c r="C133" s="8" t="str">
        <f>IFERROR(__xludf.DUMMYFUNCTION("""COMPUTED_VALUE"""),"")</f>
        <v/>
      </c>
      <c r="D133" s="8" t="str">
        <f>IFERROR(__xludf.DUMMYFUNCTION("""COMPUTED_VALUE"""),"")</f>
        <v/>
      </c>
      <c r="E133" s="8" t="str">
        <f>IFERROR(__xludf.DUMMYFUNCTION("""COMPUTED_VALUE"""),"CROATIA")</f>
        <v>CROATIA</v>
      </c>
      <c r="F133" s="8" t="str">
        <f>IFERROR(__xludf.DUMMYFUNCTION("""COMPUTED_VALUE"""),"TopGun Pro A/AA Singles")</f>
        <v>TopGun Pro A/AA Singles</v>
      </c>
      <c r="G133" s="8" t="str">
        <f>IFERROR(__xludf.DUMMYFUNCTION("""COMPUTED_VALUE"""),"1st")</f>
        <v>1st</v>
      </c>
      <c r="H133" s="8" t="str">
        <f>IFERROR(__xludf.DUMMYFUNCTION("""COMPUTED_VALUE"""),"BullShooter 34 Finals")</f>
        <v>BullShooter 34 Finals</v>
      </c>
      <c r="I133" s="10">
        <f>IFERROR(__xludf.DUMMYFUNCTION("""COMPUTED_VALUE"""),43617.0)</f>
        <v>43617</v>
      </c>
      <c r="J133" s="10">
        <f>IFERROR(__xludf.DUMMYFUNCTION("""COMPUTED_VALUE"""),44713.0)</f>
        <v>44713</v>
      </c>
      <c r="K133" s="15">
        <f>IFERROR(__xludf.DUMMYFUNCTION("""COMPUTED_VALUE"""),45809.0)</f>
        <v>45809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9" t="str">
        <f>IFERROR(__xludf.DUMMYFUNCTION("""COMPUTED_VALUE"""),"Kushibiki")</f>
        <v>Kushibiki</v>
      </c>
      <c r="B134" s="8" t="str">
        <f>IFERROR(__xludf.DUMMYFUNCTION("""COMPUTED_VALUE"""),"Yuzuru")</f>
        <v>Yuzuru</v>
      </c>
      <c r="C134" s="8" t="str">
        <f>IFERROR(__xludf.DUMMYFUNCTION("""COMPUTED_VALUE"""),"")</f>
        <v/>
      </c>
      <c r="D134" s="8" t="str">
        <f>IFERROR(__xludf.DUMMYFUNCTION("""COMPUTED_VALUE"""),"UNK")</f>
        <v>UNK</v>
      </c>
      <c r="E134" s="8" t="str">
        <f>IFERROR(__xludf.DUMMYFUNCTION("""COMPUTED_VALUE"""),"Japan")</f>
        <v>Japan</v>
      </c>
      <c r="F134" s="8" t="str">
        <f>IFERROR(__xludf.DUMMYFUNCTION("""COMPUTED_VALUE"""),"DL")</f>
        <v>DL</v>
      </c>
      <c r="G134" s="8" t="str">
        <f>IFERROR(__xludf.DUMMYFUNCTION("""COMPUTED_VALUE"""),"35th")</f>
        <v>35th</v>
      </c>
      <c r="H134" s="8" t="str">
        <f>IFERROR(__xludf.DUMMYFUNCTION("""COMPUTED_VALUE"""),"DL")</f>
        <v>DL</v>
      </c>
      <c r="I134" s="10">
        <f>IFERROR(__xludf.DUMMYFUNCTION("""COMPUTED_VALUE"""),42767.0)</f>
        <v>42767</v>
      </c>
      <c r="J134" s="10">
        <f>IFERROR(__xludf.DUMMYFUNCTION("""COMPUTED_VALUE"""),43983.0)</f>
        <v>43983</v>
      </c>
      <c r="K134" s="15">
        <f>IFERROR(__xludf.DUMMYFUNCTION("""COMPUTED_VALUE"""),45078.0)</f>
        <v>45078</v>
      </c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9" t="str">
        <f>IFERROR(__xludf.DUMMYFUNCTION("""COMPUTED_VALUE"""),"Lackey")</f>
        <v>Lackey</v>
      </c>
      <c r="B135" s="8" t="str">
        <f>IFERROR(__xludf.DUMMYFUNCTION("""COMPUTED_VALUE"""),"Johnny")</f>
        <v>Johnny</v>
      </c>
      <c r="C135" s="8" t="str">
        <f>IFERROR(__xludf.DUMMYFUNCTION("""COMPUTED_VALUE"""),"Houston")</f>
        <v>Houston</v>
      </c>
      <c r="D135" s="8" t="str">
        <f>IFERROR(__xludf.DUMMYFUNCTION("""COMPUTED_VALUE"""),"TX")</f>
        <v>TX</v>
      </c>
      <c r="E135" s="8" t="str">
        <f>IFERROR(__xludf.DUMMYFUNCTION("""COMPUTED_VALUE"""),"USA")</f>
        <v>USA</v>
      </c>
      <c r="F135" s="8" t="str">
        <f>IFERROR(__xludf.DUMMYFUNCTION("""COMPUTED_VALUE"""),"Pro 501 Doubles")</f>
        <v>Pro 501 Doubles</v>
      </c>
      <c r="G135" s="8" t="str">
        <f>IFERROR(__xludf.DUMMYFUNCTION("""COMPUTED_VALUE"""),"3rd")</f>
        <v>3rd</v>
      </c>
      <c r="H135" s="8" t="str">
        <f>IFERROR(__xludf.DUMMYFUNCTION("""COMPUTED_VALUE"""),"BullShooter 34 Finals")</f>
        <v>BullShooter 34 Finals</v>
      </c>
      <c r="I135" s="10">
        <f>IFERROR(__xludf.DUMMYFUNCTION("""COMPUTED_VALUE"""),43617.0)</f>
        <v>43617</v>
      </c>
      <c r="J135" s="10">
        <f>IFERROR(__xludf.DUMMYFUNCTION("""COMPUTED_VALUE"""),44713.0)</f>
        <v>44713</v>
      </c>
      <c r="K135" s="15">
        <f>IFERROR(__xludf.DUMMYFUNCTION("""COMPUTED_VALUE"""),45809.0)</f>
        <v>45809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9" t="str">
        <f>IFERROR(__xludf.DUMMYFUNCTION("""COMPUTED_VALUE"""),"Lam")</f>
        <v>Lam</v>
      </c>
      <c r="B136" s="8" t="str">
        <f>IFERROR(__xludf.DUMMYFUNCTION("""COMPUTED_VALUE"""),"Royden")</f>
        <v>Royden</v>
      </c>
      <c r="C136" s="8" t="str">
        <f>IFERROR(__xludf.DUMMYFUNCTION("""COMPUTED_VALUE"""),"")</f>
        <v/>
      </c>
      <c r="D136" s="8" t="str">
        <f>IFERROR(__xludf.DUMMYFUNCTION("""COMPUTED_VALUE"""),"UNK")</f>
        <v>UNK</v>
      </c>
      <c r="E136" s="8" t="str">
        <f>IFERROR(__xludf.DUMMYFUNCTION("""COMPUTED_VALUE"""),"Hong Kong")</f>
        <v>Hong Kong</v>
      </c>
      <c r="F136" s="8" t="str">
        <f>IFERROR(__xludf.DUMMYFUNCTION("""COMPUTED_VALUE"""),"DL")</f>
        <v>DL</v>
      </c>
      <c r="G136" s="8" t="str">
        <f>IFERROR(__xludf.DUMMYFUNCTION("""COMPUTED_VALUE"""),"2nd")</f>
        <v>2nd</v>
      </c>
      <c r="H136" s="8" t="str">
        <f>IFERROR(__xludf.DUMMYFUNCTION("""COMPUTED_VALUE"""),"DL")</f>
        <v>DL</v>
      </c>
      <c r="I136" s="10">
        <f>IFERROR(__xludf.DUMMYFUNCTION("""COMPUTED_VALUE"""),43136.0)</f>
        <v>43136</v>
      </c>
      <c r="J136" s="10">
        <f>IFERROR(__xludf.DUMMYFUNCTION("""COMPUTED_VALUE"""),44348.0)</f>
        <v>44348</v>
      </c>
      <c r="K136" s="15">
        <f>IFERROR(__xludf.DUMMYFUNCTION("""COMPUTED_VALUE"""),45444.0)</f>
        <v>45444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9" t="str">
        <f>IFERROR(__xludf.DUMMYFUNCTION("""COMPUTED_VALUE"""),"Langley")</f>
        <v>Langley</v>
      </c>
      <c r="B137" s="8" t="str">
        <f>IFERROR(__xludf.DUMMYFUNCTION("""COMPUTED_VALUE"""),"Bryan")</f>
        <v>Bryan</v>
      </c>
      <c r="C137" s="8" t="str">
        <f>IFERROR(__xludf.DUMMYFUNCTION("""COMPUTED_VALUE"""),"Knoxville")</f>
        <v>Knoxville</v>
      </c>
      <c r="D137" s="8" t="str">
        <f>IFERROR(__xludf.DUMMYFUNCTION("""COMPUTED_VALUE"""),"TN")</f>
        <v>TN</v>
      </c>
      <c r="E137" s="8" t="str">
        <f>IFERROR(__xludf.DUMMYFUNCTION("""COMPUTED_VALUE"""),"USA")</f>
        <v>USA</v>
      </c>
      <c r="F137" s="8" t="str">
        <f>IFERROR(__xludf.DUMMYFUNCTION("""COMPUTED_VALUE"""),"Pro AA Luck")</f>
        <v>Pro AA Luck</v>
      </c>
      <c r="G137" s="8" t="str">
        <f>IFERROR(__xludf.DUMMYFUNCTION("""COMPUTED_VALUE"""),"2nd")</f>
        <v>2nd</v>
      </c>
      <c r="H137" s="8" t="str">
        <f>IFERROR(__xludf.DUMMYFUNCTION("""COMPUTED_VALUE"""),"BullShooter 34 Finals")</f>
        <v>BullShooter 34 Finals</v>
      </c>
      <c r="I137" s="10">
        <f>IFERROR(__xludf.DUMMYFUNCTION("""COMPUTED_VALUE"""),43617.0)</f>
        <v>43617</v>
      </c>
      <c r="J137" s="10">
        <f>IFERROR(__xludf.DUMMYFUNCTION("""COMPUTED_VALUE"""),44713.0)</f>
        <v>44713</v>
      </c>
      <c r="K137" s="15">
        <f>IFERROR(__xludf.DUMMYFUNCTION("""COMPUTED_VALUE"""),45809.0)</f>
        <v>45809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9" t="str">
        <f>IFERROR(__xludf.DUMMYFUNCTION("""COMPUTED_VALUE"""),"Lapine")</f>
        <v>Lapine</v>
      </c>
      <c r="B138" s="8" t="str">
        <f>IFERROR(__xludf.DUMMYFUNCTION("""COMPUTED_VALUE"""),"Skyler")</f>
        <v>Skyler</v>
      </c>
      <c r="C138" s="8" t="str">
        <f>IFERROR(__xludf.DUMMYFUNCTION("""COMPUTED_VALUE"""),"Waupaca")</f>
        <v>Waupaca</v>
      </c>
      <c r="D138" s="8" t="str">
        <f>IFERROR(__xludf.DUMMYFUNCTION("""COMPUTED_VALUE"""),"WI")</f>
        <v>WI</v>
      </c>
      <c r="E138" s="8" t="str">
        <f>IFERROR(__xludf.DUMMYFUNCTION("""COMPUTED_VALUE"""),"USA")</f>
        <v>USA</v>
      </c>
      <c r="F138" s="8" t="str">
        <f>IFERROR(__xludf.DUMMYFUNCTION("""COMPUTED_VALUE"""),"Pro Doubles 501")</f>
        <v>Pro Doubles 501</v>
      </c>
      <c r="G138" s="8" t="str">
        <f>IFERROR(__xludf.DUMMYFUNCTION("""COMPUTED_VALUE"""),"2nd")</f>
        <v>2nd</v>
      </c>
      <c r="H138" s="8" t="str">
        <f>IFERROR(__xludf.DUMMYFUNCTION("""COMPUTED_VALUE"""),"Wisconsin BS 34")</f>
        <v>Wisconsin BS 34</v>
      </c>
      <c r="I138" s="10">
        <f>IFERROR(__xludf.DUMMYFUNCTION("""COMPUTED_VALUE"""),43617.0)</f>
        <v>43617</v>
      </c>
      <c r="J138" s="10">
        <f>IFERROR(__xludf.DUMMYFUNCTION("""COMPUTED_VALUE"""),43983.0)</f>
        <v>43983</v>
      </c>
      <c r="K138" s="15">
        <f>IFERROR(__xludf.DUMMYFUNCTION("""COMPUTED_VALUE"""),45078.0)</f>
        <v>45078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9" t="str">
        <f>IFERROR(__xludf.DUMMYFUNCTION("""COMPUTED_VALUE"""),"Larscheidt")</f>
        <v>Larscheidt</v>
      </c>
      <c r="B139" s="8" t="str">
        <f>IFERROR(__xludf.DUMMYFUNCTION("""COMPUTED_VALUE"""),"Ryan")</f>
        <v>Ryan</v>
      </c>
      <c r="C139" s="8" t="str">
        <f>IFERROR(__xludf.DUMMYFUNCTION("""COMPUTED_VALUE"""),"West Allis")</f>
        <v>West Allis</v>
      </c>
      <c r="D139" s="8" t="str">
        <f>IFERROR(__xludf.DUMMYFUNCTION("""COMPUTED_VALUE"""),"WI")</f>
        <v>WI</v>
      </c>
      <c r="E139" s="8" t="str">
        <f>IFERROR(__xludf.DUMMYFUNCTION("""COMPUTED_VALUE"""),"USA")</f>
        <v>USA</v>
      </c>
      <c r="F139" s="8" t="str">
        <f>IFERROR(__xludf.DUMMYFUNCTION("""COMPUTED_VALUE"""),"Pro Cricket Doubles")</f>
        <v>Pro Cricket Doubles</v>
      </c>
      <c r="G139" s="8" t="str">
        <f>IFERROR(__xludf.DUMMYFUNCTION("""COMPUTED_VALUE"""),"3rd")</f>
        <v>3rd</v>
      </c>
      <c r="H139" s="8" t="str">
        <f>IFERROR(__xludf.DUMMYFUNCTION("""COMPUTED_VALUE"""),"BullShooter 34 Finals")</f>
        <v>BullShooter 34 Finals</v>
      </c>
      <c r="I139" s="10">
        <f>IFERROR(__xludf.DUMMYFUNCTION("""COMPUTED_VALUE"""),43617.0)</f>
        <v>43617</v>
      </c>
      <c r="J139" s="10">
        <f>IFERROR(__xludf.DUMMYFUNCTION("""COMPUTED_VALUE"""),44713.0)</f>
        <v>44713</v>
      </c>
      <c r="K139" s="15">
        <f>IFERROR(__xludf.DUMMYFUNCTION("""COMPUTED_VALUE"""),45809.0)</f>
        <v>45809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9" t="str">
        <f>IFERROR(__xludf.DUMMYFUNCTION("""COMPUTED_VALUE"""),"Lauby II")</f>
        <v>Lauby II</v>
      </c>
      <c r="B140" s="8" t="str">
        <f>IFERROR(__xludf.DUMMYFUNCTION("""COMPUTED_VALUE"""),"Dan")</f>
        <v>Dan</v>
      </c>
      <c r="C140" s="8" t="str">
        <f>IFERROR(__xludf.DUMMYFUNCTION("""COMPUTED_VALUE"""),"Terre Haute")</f>
        <v>Terre Haute</v>
      </c>
      <c r="D140" s="8" t="str">
        <f>IFERROR(__xludf.DUMMYFUNCTION("""COMPUTED_VALUE"""),"IN")</f>
        <v>IN</v>
      </c>
      <c r="E140" s="8" t="str">
        <f>IFERROR(__xludf.DUMMYFUNCTION("""COMPUTED_VALUE"""),"USA")</f>
        <v>USA</v>
      </c>
      <c r="F140" s="8" t="str">
        <f>IFERROR(__xludf.DUMMYFUNCTION("""COMPUTED_VALUE"""),"NAPDA 2018")</f>
        <v>NAPDA 2018</v>
      </c>
      <c r="G140" s="8" t="str">
        <f>IFERROR(__xludf.DUMMYFUNCTION("""COMPUTED_VALUE"""),"18th")</f>
        <v>18th</v>
      </c>
      <c r="H140" s="8" t="str">
        <f>IFERROR(__xludf.DUMMYFUNCTION("""COMPUTED_VALUE"""),"NAPDA 2018")</f>
        <v>NAPDA 2018</v>
      </c>
      <c r="I140" s="10">
        <f>IFERROR(__xludf.DUMMYFUNCTION("""COMPUTED_VALUE"""),43132.0)</f>
        <v>43132</v>
      </c>
      <c r="J140" s="10">
        <f>IFERROR(__xludf.DUMMYFUNCTION("""COMPUTED_VALUE"""),44348.0)</f>
        <v>44348</v>
      </c>
      <c r="K140" s="15">
        <f>IFERROR(__xludf.DUMMYFUNCTION("""COMPUTED_VALUE"""),45444.0)</f>
        <v>45444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9" t="str">
        <f>IFERROR(__xludf.DUMMYFUNCTION("""COMPUTED_VALUE"""),"Lauby Sr.")</f>
        <v>Lauby Sr.</v>
      </c>
      <c r="B141" s="8" t="str">
        <f>IFERROR(__xludf.DUMMYFUNCTION("""COMPUTED_VALUE"""),"Dan")</f>
        <v>Dan</v>
      </c>
      <c r="C141" s="8" t="str">
        <f>IFERROR(__xludf.DUMMYFUNCTION("""COMPUTED_VALUE"""),"Terre Haute")</f>
        <v>Terre Haute</v>
      </c>
      <c r="D141" s="8" t="str">
        <f>IFERROR(__xludf.DUMMYFUNCTION("""COMPUTED_VALUE"""),"IN")</f>
        <v>IN</v>
      </c>
      <c r="E141" s="8" t="str">
        <f>IFERROR(__xludf.DUMMYFUNCTION("""COMPUTED_VALUE"""),"USA")</f>
        <v>USA</v>
      </c>
      <c r="F141" s="8" t="str">
        <f>IFERROR(__xludf.DUMMYFUNCTION("""COMPUTED_VALUE"""),"NAPDA 2018")</f>
        <v>NAPDA 2018</v>
      </c>
      <c r="G141" s="8" t="str">
        <f>IFERROR(__xludf.DUMMYFUNCTION("""COMPUTED_VALUE"""),"24th")</f>
        <v>24th</v>
      </c>
      <c r="H141" s="8" t="str">
        <f>IFERROR(__xludf.DUMMYFUNCTION("""COMPUTED_VALUE"""),"Known Ability")</f>
        <v>Known Ability</v>
      </c>
      <c r="I141" s="10">
        <f>IFERROR(__xludf.DUMMYFUNCTION("""COMPUTED_VALUE"""),43132.0)</f>
        <v>43132</v>
      </c>
      <c r="J141" s="10">
        <f>IFERROR(__xludf.DUMMYFUNCTION("""COMPUTED_VALUE"""),44348.0)</f>
        <v>44348</v>
      </c>
      <c r="K141" s="15">
        <f>IFERROR(__xludf.DUMMYFUNCTION("""COMPUTED_VALUE"""),45809.0)</f>
        <v>45809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9" t="str">
        <f>IFERROR(__xludf.DUMMYFUNCTION("""COMPUTED_VALUE"""),"Laviolette")</f>
        <v>Laviolette</v>
      </c>
      <c r="B142" s="8" t="str">
        <f>IFERROR(__xludf.DUMMYFUNCTION("""COMPUTED_VALUE"""),"Dion")</f>
        <v>Dion</v>
      </c>
      <c r="C142" s="8" t="str">
        <f>IFERROR(__xludf.DUMMYFUNCTION("""COMPUTED_VALUE"""),"")</f>
        <v/>
      </c>
      <c r="D142" s="8" t="str">
        <f>IFERROR(__xludf.DUMMYFUNCTION("""COMPUTED_VALUE"""),"CA")</f>
        <v>CA</v>
      </c>
      <c r="E142" s="8" t="str">
        <f>IFERROR(__xludf.DUMMYFUNCTION("""COMPUTED_VALUE"""),"USA")</f>
        <v>USA</v>
      </c>
      <c r="F142" s="8" t="str">
        <f>IFERROR(__xludf.DUMMYFUNCTION("""COMPUTED_VALUE"""),"NAPDA 2017")</f>
        <v>NAPDA 2017</v>
      </c>
      <c r="G142" s="8" t="str">
        <f>IFERROR(__xludf.DUMMYFUNCTION("""COMPUTED_VALUE"""),"37th")</f>
        <v>37th</v>
      </c>
      <c r="H142" s="8" t="str">
        <f>IFERROR(__xludf.DUMMYFUNCTION("""COMPUTED_VALUE"""),"NAPDA 2017")</f>
        <v>NAPDA 2017</v>
      </c>
      <c r="I142" s="10">
        <f>IFERROR(__xludf.DUMMYFUNCTION("""COMPUTED_VALUE"""),42772.0)</f>
        <v>42772</v>
      </c>
      <c r="J142" s="10">
        <f>IFERROR(__xludf.DUMMYFUNCTION("""COMPUTED_VALUE"""),43983.0)</f>
        <v>43983</v>
      </c>
      <c r="K142" s="15">
        <f>IFERROR(__xludf.DUMMYFUNCTION("""COMPUTED_VALUE"""),45078.0)</f>
        <v>45078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9" t="str">
        <f>IFERROR(__xludf.DUMMYFUNCTION("""COMPUTED_VALUE"""),"Lawrence")</f>
        <v>Lawrence</v>
      </c>
      <c r="B143" s="8" t="str">
        <f>IFERROR(__xludf.DUMMYFUNCTION("""COMPUTED_VALUE"""),"Charles")</f>
        <v>Charles</v>
      </c>
      <c r="C143" s="8" t="str">
        <f>IFERROR(__xludf.DUMMYFUNCTION("""COMPUTED_VALUE"""),"Taylor")</f>
        <v>Taylor</v>
      </c>
      <c r="D143" s="8" t="str">
        <f>IFERROR(__xludf.DUMMYFUNCTION("""COMPUTED_VALUE"""),"MI")</f>
        <v>MI</v>
      </c>
      <c r="E143" s="8" t="str">
        <f>IFERROR(__xludf.DUMMYFUNCTION("""COMPUTED_VALUE"""),"USA")</f>
        <v>USA</v>
      </c>
      <c r="F143" s="8" t="str">
        <f>IFERROR(__xludf.DUMMYFUNCTION("""COMPUTED_VALUE"""),"Pro Doubles")</f>
        <v>Pro Doubles</v>
      </c>
      <c r="G143" s="8" t="str">
        <f>IFERROR(__xludf.DUMMYFUNCTION("""COMPUTED_VALUE"""),"3rd")</f>
        <v>3rd</v>
      </c>
      <c r="H143" s="8" t="str">
        <f>IFERROR(__xludf.DUMMYFUNCTION("""COMPUTED_VALUE"""),"BullShooter 32")</f>
        <v>BullShooter 32</v>
      </c>
      <c r="I143" s="10">
        <f>IFERROR(__xludf.DUMMYFUNCTION("""COMPUTED_VALUE"""),42887.0)</f>
        <v>42887</v>
      </c>
      <c r="J143" s="10">
        <f>IFERROR(__xludf.DUMMYFUNCTION("""COMPUTED_VALUE"""),43983.0)</f>
        <v>43983</v>
      </c>
      <c r="K143" s="15">
        <f>IFERROR(__xludf.DUMMYFUNCTION("""COMPUTED_VALUE"""),45078.0)</f>
        <v>45078</v>
      </c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9" t="str">
        <f>IFERROR(__xludf.DUMMYFUNCTION("""COMPUTED_VALUE"""),"Le Cam")</f>
        <v>Le Cam</v>
      </c>
      <c r="B144" s="8" t="str">
        <f>IFERROR(__xludf.DUMMYFUNCTION("""COMPUTED_VALUE"""),"Sylvain")</f>
        <v>Sylvain</v>
      </c>
      <c r="C144" s="8" t="str">
        <f>IFERROR(__xludf.DUMMYFUNCTION("""COMPUTED_VALUE"""),"")</f>
        <v/>
      </c>
      <c r="D144" s="8" t="str">
        <f>IFERROR(__xludf.DUMMYFUNCTION("""COMPUTED_VALUE"""),"")</f>
        <v/>
      </c>
      <c r="E144" s="8" t="str">
        <f>IFERROR(__xludf.DUMMYFUNCTION("""COMPUTED_VALUE"""),"France")</f>
        <v>France</v>
      </c>
      <c r="F144" s="8" t="str">
        <f>IFERROR(__xludf.DUMMYFUNCTION("""COMPUTED_VALUE"""),"Pro Cricket Doubles")</f>
        <v>Pro Cricket Doubles</v>
      </c>
      <c r="G144" s="8" t="str">
        <f>IFERROR(__xludf.DUMMYFUNCTION("""COMPUTED_VALUE"""),"4th")</f>
        <v>4th</v>
      </c>
      <c r="H144" s="8" t="str">
        <f>IFERROR(__xludf.DUMMYFUNCTION("""COMPUTED_VALUE"""),"BS 33 Finals")</f>
        <v>BS 33 Finals</v>
      </c>
      <c r="I144" s="10">
        <f>IFERROR(__xludf.DUMMYFUNCTION("""COMPUTED_VALUE"""),43252.0)</f>
        <v>43252</v>
      </c>
      <c r="J144" s="10">
        <f>IFERROR(__xludf.DUMMYFUNCTION("""COMPUTED_VALUE"""),44348.0)</f>
        <v>44348</v>
      </c>
      <c r="K144" s="15">
        <f>IFERROR(__xludf.DUMMYFUNCTION("""COMPUTED_VALUE"""),45444.0)</f>
        <v>45444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9" t="str">
        <f>IFERROR(__xludf.DUMMYFUNCTION("""COMPUTED_VALUE"""),"Leung")</f>
        <v>Leung</v>
      </c>
      <c r="B145" s="8" t="str">
        <f>IFERROR(__xludf.DUMMYFUNCTION("""COMPUTED_VALUE"""),"Haze")</f>
        <v>Haze</v>
      </c>
      <c r="C145" s="8" t="str">
        <f>IFERROR(__xludf.DUMMYFUNCTION("""COMPUTED_VALUE"""),"")</f>
        <v/>
      </c>
      <c r="D145" s="8" t="str">
        <f>IFERROR(__xludf.DUMMYFUNCTION("""COMPUTED_VALUE"""),"UNK")</f>
        <v>UNK</v>
      </c>
      <c r="E145" s="8" t="str">
        <f>IFERROR(__xludf.DUMMYFUNCTION("""COMPUTED_VALUE"""),"Hong Kong")</f>
        <v>Hong Kong</v>
      </c>
      <c r="F145" s="8" t="str">
        <f>IFERROR(__xludf.DUMMYFUNCTION("""COMPUTED_VALUE"""),"DL")</f>
        <v>DL</v>
      </c>
      <c r="G145" s="8" t="str">
        <f>IFERROR(__xludf.DUMMYFUNCTION("""COMPUTED_VALUE"""),"40th")</f>
        <v>40th</v>
      </c>
      <c r="H145" s="8" t="str">
        <f>IFERROR(__xludf.DUMMYFUNCTION("""COMPUTED_VALUE"""),"DL 2018")</f>
        <v>DL 2018</v>
      </c>
      <c r="I145" s="10">
        <f>IFERROR(__xludf.DUMMYFUNCTION("""COMPUTED_VALUE"""),43136.0)</f>
        <v>43136</v>
      </c>
      <c r="J145" s="10">
        <f>IFERROR(__xludf.DUMMYFUNCTION("""COMPUTED_VALUE"""),44348.0)</f>
        <v>44348</v>
      </c>
      <c r="K145" s="15">
        <f>IFERROR(__xludf.DUMMYFUNCTION("""COMPUTED_VALUE"""),45444.0)</f>
        <v>45444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9" t="str">
        <f>IFERROR(__xludf.DUMMYFUNCTION("""COMPUTED_VALUE"""),"Leung")</f>
        <v>Leung</v>
      </c>
      <c r="B146" s="8" t="str">
        <f>IFERROR(__xludf.DUMMYFUNCTION("""COMPUTED_VALUE"""),"Kai Fan")</f>
        <v>Kai Fan</v>
      </c>
      <c r="C146" s="8" t="str">
        <f>IFERROR(__xludf.DUMMYFUNCTION("""COMPUTED_VALUE"""),"")</f>
        <v/>
      </c>
      <c r="D146" s="8" t="str">
        <f>IFERROR(__xludf.DUMMYFUNCTION("""COMPUTED_VALUE"""),"UNK")</f>
        <v>UNK</v>
      </c>
      <c r="E146" s="8" t="str">
        <f>IFERROR(__xludf.DUMMYFUNCTION("""COMPUTED_VALUE"""),"Hong Kong")</f>
        <v>Hong Kong</v>
      </c>
      <c r="F146" s="8" t="str">
        <f>IFERROR(__xludf.DUMMYFUNCTION("""COMPUTED_VALUE"""),"DL")</f>
        <v>DL</v>
      </c>
      <c r="G146" s="8" t="str">
        <f>IFERROR(__xludf.DUMMYFUNCTION("""COMPUTED_VALUE"""),"33rd")</f>
        <v>33rd</v>
      </c>
      <c r="H146" s="8" t="str">
        <f>IFERROR(__xludf.DUMMYFUNCTION("""COMPUTED_VALUE"""),"DL")</f>
        <v>DL</v>
      </c>
      <c r="I146" s="10">
        <f>IFERROR(__xludf.DUMMYFUNCTION("""COMPUTED_VALUE"""),42767.0)</f>
        <v>42767</v>
      </c>
      <c r="J146" s="10">
        <f>IFERROR(__xludf.DUMMYFUNCTION("""COMPUTED_VALUE"""),43983.0)</f>
        <v>43983</v>
      </c>
      <c r="K146" s="15">
        <f>IFERROR(__xludf.DUMMYFUNCTION("""COMPUTED_VALUE"""),45078.0)</f>
        <v>45078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9" t="str">
        <f>IFERROR(__xludf.DUMMYFUNCTION("""COMPUTED_VALUE"""),"Lewis")</f>
        <v>Lewis</v>
      </c>
      <c r="B147" s="8" t="str">
        <f>IFERROR(__xludf.DUMMYFUNCTION("""COMPUTED_VALUE"""),"Adrian")</f>
        <v>Adrian</v>
      </c>
      <c r="C147" s="8" t="str">
        <f>IFERROR(__xludf.DUMMYFUNCTION("""COMPUTED_VALUE"""),"")</f>
        <v/>
      </c>
      <c r="D147" s="8" t="str">
        <f>IFERROR(__xludf.DUMMYFUNCTION("""COMPUTED_VALUE"""),"UNK")</f>
        <v>UNK</v>
      </c>
      <c r="E147" s="8" t="str">
        <f>IFERROR(__xludf.DUMMYFUNCTION("""COMPUTED_VALUE"""),"England")</f>
        <v>England</v>
      </c>
      <c r="F147" s="8" t="str">
        <f>IFERROR(__xludf.DUMMYFUNCTION("""COMPUTED_VALUE"""),"PDC Merit Ranking")</f>
        <v>PDC Merit Ranking</v>
      </c>
      <c r="G147" s="8" t="str">
        <f>IFERROR(__xludf.DUMMYFUNCTION("""COMPUTED_VALUE"""),"20th")</f>
        <v>20th</v>
      </c>
      <c r="H147" s="8" t="str">
        <f>IFERROR(__xludf.DUMMYFUNCTION("""COMPUTED_VALUE"""),"PDC Merit Ranking")</f>
        <v>PDC Merit Ranking</v>
      </c>
      <c r="I147" s="10">
        <f>IFERROR(__xludf.DUMMYFUNCTION("""COMPUTED_VALUE"""),43132.0)</f>
        <v>43132</v>
      </c>
      <c r="J147" s="10">
        <f>IFERROR(__xludf.DUMMYFUNCTION("""COMPUTED_VALUE"""),44348.0)</f>
        <v>44348</v>
      </c>
      <c r="K147" s="15">
        <f>IFERROR(__xludf.DUMMYFUNCTION("""COMPUTED_VALUE"""),45444.0)</f>
        <v>45444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9" t="str">
        <f>IFERROR(__xludf.DUMMYFUNCTION("""COMPUTED_VALUE"""),"Lewis")</f>
        <v>Lewis</v>
      </c>
      <c r="B148" s="8" t="str">
        <f>IFERROR(__xludf.DUMMYFUNCTION("""COMPUTED_VALUE"""),"Jamie")</f>
        <v>Jamie</v>
      </c>
      <c r="C148" s="8" t="str">
        <f>IFERROR(__xludf.DUMMYFUNCTION("""COMPUTED_VALUE"""),"")</f>
        <v/>
      </c>
      <c r="D148" s="8" t="str">
        <f>IFERROR(__xludf.DUMMYFUNCTION("""COMPUTED_VALUE"""),"UNK")</f>
        <v>UNK</v>
      </c>
      <c r="E148" s="8" t="str">
        <f>IFERROR(__xludf.DUMMYFUNCTION("""COMPUTED_VALUE"""),"Wales")</f>
        <v>Wales</v>
      </c>
      <c r="F148" s="8" t="str">
        <f>IFERROR(__xludf.DUMMYFUNCTION("""COMPUTED_VALUE"""),"PDC Merit Ranking")</f>
        <v>PDC Merit Ranking</v>
      </c>
      <c r="G148" s="8" t="str">
        <f>IFERROR(__xludf.DUMMYFUNCTION("""COMPUTED_VALUE"""),"29th")</f>
        <v>29th</v>
      </c>
      <c r="H148" s="8" t="str">
        <f>IFERROR(__xludf.DUMMYFUNCTION("""COMPUTED_VALUE"""),"PDC Merit Ranking")</f>
        <v>PDC Merit Ranking</v>
      </c>
      <c r="I148" s="10">
        <f>IFERROR(__xludf.DUMMYFUNCTION("""COMPUTED_VALUE"""),43132.0)</f>
        <v>43132</v>
      </c>
      <c r="J148" s="10">
        <f>IFERROR(__xludf.DUMMYFUNCTION("""COMPUTED_VALUE"""),44348.0)</f>
        <v>44348</v>
      </c>
      <c r="K148" s="15">
        <f>IFERROR(__xludf.DUMMYFUNCTION("""COMPUTED_VALUE"""),45444.0)</f>
        <v>45444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9" t="str">
        <f>IFERROR(__xludf.DUMMYFUNCTION("""COMPUTED_VALUE"""),"Liddeke")</f>
        <v>Liddeke</v>
      </c>
      <c r="B149" s="8" t="str">
        <f>IFERROR(__xludf.DUMMYFUNCTION("""COMPUTED_VALUE"""),"Kyle")</f>
        <v>Kyle</v>
      </c>
      <c r="C149" s="8" t="str">
        <f>IFERROR(__xludf.DUMMYFUNCTION("""COMPUTED_VALUE"""),"Mitchell")</f>
        <v>Mitchell</v>
      </c>
      <c r="D149" s="8" t="str">
        <f>IFERROR(__xludf.DUMMYFUNCTION("""COMPUTED_VALUE"""),"SD")</f>
        <v>SD</v>
      </c>
      <c r="E149" s="8" t="str">
        <f>IFERROR(__xludf.DUMMYFUNCTION("""COMPUTED_VALUE"""),"USA")</f>
        <v>USA</v>
      </c>
      <c r="F149" s="8" t="str">
        <f>IFERROR(__xludf.DUMMYFUNCTION("""COMPUTED_VALUE"""),"Pro Doubles")</f>
        <v>Pro Doubles</v>
      </c>
      <c r="G149" s="8" t="str">
        <f>IFERROR(__xludf.DUMMYFUNCTION("""COMPUTED_VALUE"""),"1st")</f>
        <v>1st</v>
      </c>
      <c r="H149" s="8" t="str">
        <f>IFERROR(__xludf.DUMMYFUNCTION("""COMPUTED_VALUE"""),"BS 33 Finals")</f>
        <v>BS 33 Finals</v>
      </c>
      <c r="I149" s="10">
        <f>IFERROR(__xludf.DUMMYFUNCTION("""COMPUTED_VALUE"""),43252.0)</f>
        <v>43252</v>
      </c>
      <c r="J149" s="10">
        <f>IFERROR(__xludf.DUMMYFUNCTION("""COMPUTED_VALUE"""),44348.0)</f>
        <v>44348</v>
      </c>
      <c r="K149" s="15">
        <f>IFERROR(__xludf.DUMMYFUNCTION("""COMPUTED_VALUE"""),45444.0)</f>
        <v>45444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9" t="str">
        <f>IFERROR(__xludf.DUMMYFUNCTION("""COMPUTED_VALUE"""),"Lim")</f>
        <v>Lim</v>
      </c>
      <c r="B150" s="8" t="str">
        <f>IFERROR(__xludf.DUMMYFUNCTION("""COMPUTED_VALUE"""),"Chris")</f>
        <v>Chris</v>
      </c>
      <c r="C150" s="8" t="str">
        <f>IFERROR(__xludf.DUMMYFUNCTION("""COMPUTED_VALUE"""),"San Bernadino")</f>
        <v>San Bernadino</v>
      </c>
      <c r="D150" s="8" t="str">
        <f>IFERROR(__xludf.DUMMYFUNCTION("""COMPUTED_VALUE"""),"CA")</f>
        <v>CA</v>
      </c>
      <c r="E150" s="8" t="str">
        <f>IFERROR(__xludf.DUMMYFUNCTION("""COMPUTED_VALUE"""),"USA")</f>
        <v>USA</v>
      </c>
      <c r="F150" s="8" t="str">
        <f>IFERROR(__xludf.DUMMYFUNCTION("""COMPUTED_VALUE"""),"Pro AA Doubles")</f>
        <v>Pro AA Doubles</v>
      </c>
      <c r="G150" s="8" t="str">
        <f>IFERROR(__xludf.DUMMYFUNCTION("""COMPUTED_VALUE"""),"2nd")</f>
        <v>2nd</v>
      </c>
      <c r="H150" s="8" t="str">
        <f>IFERROR(__xludf.DUMMYFUNCTION("""COMPUTED_VALUE"""),"BS 33 Finals")</f>
        <v>BS 33 Finals</v>
      </c>
      <c r="I150" s="10">
        <f>IFERROR(__xludf.DUMMYFUNCTION("""COMPUTED_VALUE"""),43252.0)</f>
        <v>43252</v>
      </c>
      <c r="J150" s="10">
        <f>IFERROR(__xludf.DUMMYFUNCTION("""COMPUTED_VALUE"""),44348.0)</f>
        <v>44348</v>
      </c>
      <c r="K150" s="15">
        <f>IFERROR(__xludf.DUMMYFUNCTION("""COMPUTED_VALUE"""),45444.0)</f>
        <v>45444</v>
      </c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9" t="str">
        <f>IFERROR(__xludf.DUMMYFUNCTION("""COMPUTED_VALUE"""),"Lim")</f>
        <v>Lim</v>
      </c>
      <c r="B151" s="8" t="str">
        <f>IFERROR(__xludf.DUMMYFUNCTION("""COMPUTED_VALUE"""),"Harith")</f>
        <v>Harith</v>
      </c>
      <c r="C151" s="8" t="str">
        <f>IFERROR(__xludf.DUMMYFUNCTION("""COMPUTED_VALUE"""),"")</f>
        <v/>
      </c>
      <c r="D151" s="8" t="str">
        <f>IFERROR(__xludf.DUMMYFUNCTION("""COMPUTED_VALUE"""),"UNK")</f>
        <v>UNK</v>
      </c>
      <c r="E151" s="8" t="str">
        <f>IFERROR(__xludf.DUMMYFUNCTION("""COMPUTED_VALUE"""),"Singapore")</f>
        <v>Singapore</v>
      </c>
      <c r="F151" s="8" t="str">
        <f>IFERROR(__xludf.DUMMYFUNCTION("""COMPUTED_VALUE"""),"DL")</f>
        <v>DL</v>
      </c>
      <c r="G151" s="8" t="str">
        <f>IFERROR(__xludf.DUMMYFUNCTION("""COMPUTED_VALUE"""),"5th")</f>
        <v>5th</v>
      </c>
      <c r="H151" s="8" t="str">
        <f>IFERROR(__xludf.DUMMYFUNCTION("""COMPUTED_VALUE"""),"DL 2018")</f>
        <v>DL 2018</v>
      </c>
      <c r="I151" s="10">
        <f>IFERROR(__xludf.DUMMYFUNCTION("""COMPUTED_VALUE"""),43136.0)</f>
        <v>43136</v>
      </c>
      <c r="J151" s="10">
        <f>IFERROR(__xludf.DUMMYFUNCTION("""COMPUTED_VALUE"""),44348.0)</f>
        <v>44348</v>
      </c>
      <c r="K151" s="15">
        <f>IFERROR(__xludf.DUMMYFUNCTION("""COMPUTED_VALUE"""),45444.0)</f>
        <v>45444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9" t="str">
        <f>IFERROR(__xludf.DUMMYFUNCTION("""COMPUTED_VALUE"""),"Linberg")</f>
        <v>Linberg</v>
      </c>
      <c r="B152" s="8" t="str">
        <f>IFERROR(__xludf.DUMMYFUNCTION("""COMPUTED_VALUE"""),"Nick")</f>
        <v>Nick</v>
      </c>
      <c r="C152" s="8" t="str">
        <f>IFERROR(__xludf.DUMMYFUNCTION("""COMPUTED_VALUE"""),"Liberty Twp")</f>
        <v>Liberty Twp</v>
      </c>
      <c r="D152" s="8" t="str">
        <f>IFERROR(__xludf.DUMMYFUNCTION("""COMPUTED_VALUE"""),"OH")</f>
        <v>OH</v>
      </c>
      <c r="E152" s="8" t="str">
        <f>IFERROR(__xludf.DUMMYFUNCTION("""COMPUTED_VALUE"""),"USA")</f>
        <v>USA</v>
      </c>
      <c r="F152" s="8" t="str">
        <f>IFERROR(__xludf.DUMMYFUNCTION("""COMPUTED_VALUE"""),"NAPDA 2018")</f>
        <v>NAPDA 2018</v>
      </c>
      <c r="G152" s="8" t="str">
        <f>IFERROR(__xludf.DUMMYFUNCTION("""COMPUTED_VALUE"""),"17th")</f>
        <v>17th</v>
      </c>
      <c r="H152" s="8" t="str">
        <f>IFERROR(__xludf.DUMMYFUNCTION("""COMPUTED_VALUE"""),"NAPDA 2018")</f>
        <v>NAPDA 2018</v>
      </c>
      <c r="I152" s="10">
        <f>IFERROR(__xludf.DUMMYFUNCTION("""COMPUTED_VALUE"""),43132.0)</f>
        <v>43132</v>
      </c>
      <c r="J152" s="10">
        <f>IFERROR(__xludf.DUMMYFUNCTION("""COMPUTED_VALUE"""),44348.0)</f>
        <v>44348</v>
      </c>
      <c r="K152" s="15">
        <f>IFERROR(__xludf.DUMMYFUNCTION("""COMPUTED_VALUE"""),45444.0)</f>
        <v>45444</v>
      </c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9" t="str">
        <f>IFERROR(__xludf.DUMMYFUNCTION("""COMPUTED_VALUE"""),"Linkous")</f>
        <v>Linkous</v>
      </c>
      <c r="B153" s="8" t="str">
        <f>IFERROR(__xludf.DUMMYFUNCTION("""COMPUTED_VALUE"""),"Chris")</f>
        <v>Chris</v>
      </c>
      <c r="C153" s="8" t="str">
        <f>IFERROR(__xludf.DUMMYFUNCTION("""COMPUTED_VALUE"""),"")</f>
        <v/>
      </c>
      <c r="D153" s="8" t="str">
        <f>IFERROR(__xludf.DUMMYFUNCTION("""COMPUTED_VALUE"""),"UNK")</f>
        <v>UNK</v>
      </c>
      <c r="E153" s="8" t="str">
        <f>IFERROR(__xludf.DUMMYFUNCTION("""COMPUTED_VALUE"""),"USA")</f>
        <v>USA</v>
      </c>
      <c r="F153" s="8" t="str">
        <f>IFERROR(__xludf.DUMMYFUNCTION("""COMPUTED_VALUE"""),"ADO 2018")</f>
        <v>ADO 2018</v>
      </c>
      <c r="G153" s="8" t="str">
        <f>IFERROR(__xludf.DUMMYFUNCTION("""COMPUTED_VALUE"""),"49th")</f>
        <v>49th</v>
      </c>
      <c r="H153" s="8" t="str">
        <f>IFERROR(__xludf.DUMMYFUNCTION("""COMPUTED_VALUE"""),"ADO 2018")</f>
        <v>ADO 2018</v>
      </c>
      <c r="I153" s="10">
        <f>IFERROR(__xludf.DUMMYFUNCTION("""COMPUTED_VALUE"""),43132.0)</f>
        <v>43132</v>
      </c>
      <c r="J153" s="10">
        <f>IFERROR(__xludf.DUMMYFUNCTION("""COMPUTED_VALUE"""),44348.0)</f>
        <v>44348</v>
      </c>
      <c r="K153" s="15">
        <f>IFERROR(__xludf.DUMMYFUNCTION("""COMPUTED_VALUE"""),45444.0)</f>
        <v>45444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9" t="str">
        <f>IFERROR(__xludf.DUMMYFUNCTION("""COMPUTED_VALUE"""),"Lippert")</f>
        <v>Lippert</v>
      </c>
      <c r="B154" s="8" t="str">
        <f>IFERROR(__xludf.DUMMYFUNCTION("""COMPUTED_VALUE"""),"Wes")</f>
        <v>Wes</v>
      </c>
      <c r="C154" s="8" t="str">
        <f>IFERROR(__xludf.DUMMYFUNCTION("""COMPUTED_VALUE"""),"Thomasville")</f>
        <v>Thomasville</v>
      </c>
      <c r="D154" s="8" t="str">
        <f>IFERROR(__xludf.DUMMYFUNCTION("""COMPUTED_VALUE"""),"NC")</f>
        <v>NC</v>
      </c>
      <c r="E154" s="8" t="str">
        <f>IFERROR(__xludf.DUMMYFUNCTION("""COMPUTED_VALUE"""),"USA")</f>
        <v>USA</v>
      </c>
      <c r="F154" s="8" t="str">
        <f>IFERROR(__xludf.DUMMYFUNCTION("""COMPUTED_VALUE"""),"ADO 2018")</f>
        <v>ADO 2018</v>
      </c>
      <c r="G154" s="8" t="str">
        <f>IFERROR(__xludf.DUMMYFUNCTION("""COMPUTED_VALUE"""),"35th")</f>
        <v>35th</v>
      </c>
      <c r="H154" s="8" t="str">
        <f>IFERROR(__xludf.DUMMYFUNCTION("""COMPUTED_VALUE"""),"ADO 2018")</f>
        <v>ADO 2018</v>
      </c>
      <c r="I154" s="10">
        <f>IFERROR(__xludf.DUMMYFUNCTION("""COMPUTED_VALUE"""),43132.0)</f>
        <v>43132</v>
      </c>
      <c r="J154" s="10">
        <f>IFERROR(__xludf.DUMMYFUNCTION("""COMPUTED_VALUE"""),44348.0)</f>
        <v>44348</v>
      </c>
      <c r="K154" s="15">
        <f>IFERROR(__xludf.DUMMYFUNCTION("""COMPUTED_VALUE"""),45444.0)</f>
        <v>45444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9" t="str">
        <f>IFERROR(__xludf.DUMMYFUNCTION("""COMPUTED_VALUE"""),"Ljubic")</f>
        <v>Ljubic</v>
      </c>
      <c r="B155" s="8" t="str">
        <f>IFERROR(__xludf.DUMMYFUNCTION("""COMPUTED_VALUE"""),"Alan")</f>
        <v>Alan</v>
      </c>
      <c r="C155" s="8" t="str">
        <f>IFERROR(__xludf.DUMMYFUNCTION("""COMPUTED_VALUE"""),"")</f>
        <v/>
      </c>
      <c r="D155" s="8" t="str">
        <f>IFERROR(__xludf.DUMMYFUNCTION("""COMPUTED_VALUE"""),"UNK")</f>
        <v>UNK</v>
      </c>
      <c r="E155" s="8" t="str">
        <f>IFERROR(__xludf.DUMMYFUNCTION("""COMPUTED_VALUE"""),"Croatia")</f>
        <v>Croatia</v>
      </c>
      <c r="F155" s="8" t="str">
        <f>IFERROR(__xludf.DUMMYFUNCTION("""COMPUTED_VALUE"""),"DL")</f>
        <v>DL</v>
      </c>
      <c r="G155" s="8" t="str">
        <f>IFERROR(__xludf.DUMMYFUNCTION("""COMPUTED_VALUE"""),"10th")</f>
        <v>10th</v>
      </c>
      <c r="H155" s="8" t="str">
        <f>IFERROR(__xludf.DUMMYFUNCTION("""COMPUTED_VALUE"""),"DL 2018")</f>
        <v>DL 2018</v>
      </c>
      <c r="I155" s="10">
        <f>IFERROR(__xludf.DUMMYFUNCTION("""COMPUTED_VALUE"""),43136.0)</f>
        <v>43136</v>
      </c>
      <c r="J155" s="10">
        <f>IFERROR(__xludf.DUMMYFUNCTION("""COMPUTED_VALUE"""),44348.0)</f>
        <v>44348</v>
      </c>
      <c r="K155" s="15">
        <f>IFERROR(__xludf.DUMMYFUNCTION("""COMPUTED_VALUE"""),45444.0)</f>
        <v>45444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9" t="str">
        <f>IFERROR(__xludf.DUMMYFUNCTION("""COMPUTED_VALUE"""),"Llerena")</f>
        <v>Llerena</v>
      </c>
      <c r="B156" s="8" t="str">
        <f>IFERROR(__xludf.DUMMYFUNCTION("""COMPUTED_VALUE"""),"David")</f>
        <v>David</v>
      </c>
      <c r="C156" s="8" t="str">
        <f>IFERROR(__xludf.DUMMYFUNCTION("""COMPUTED_VALUE"""),"Terraceia")</f>
        <v>Terraceia</v>
      </c>
      <c r="D156" s="8" t="str">
        <f>IFERROR(__xludf.DUMMYFUNCTION("""COMPUTED_VALUE"""),"FL")</f>
        <v>FL</v>
      </c>
      <c r="E156" s="8" t="str">
        <f>IFERROR(__xludf.DUMMYFUNCTION("""COMPUTED_VALUE"""),"USA")</f>
        <v>USA</v>
      </c>
      <c r="F156" s="8" t="str">
        <f>IFERROR(__xludf.DUMMYFUNCTION("""COMPUTED_VALUE"""),"ADO 2018")</f>
        <v>ADO 2018</v>
      </c>
      <c r="G156" s="8" t="str">
        <f>IFERROR(__xludf.DUMMYFUNCTION("""COMPUTED_VALUE"""),"38th")</f>
        <v>38th</v>
      </c>
      <c r="H156" s="8" t="str">
        <f>IFERROR(__xludf.DUMMYFUNCTION("""COMPUTED_VALUE"""),"ADO 2018")</f>
        <v>ADO 2018</v>
      </c>
      <c r="I156" s="10">
        <f>IFERROR(__xludf.DUMMYFUNCTION("""COMPUTED_VALUE"""),43132.0)</f>
        <v>43132</v>
      </c>
      <c r="J156" s="10">
        <f>IFERROR(__xludf.DUMMYFUNCTION("""COMPUTED_VALUE"""),44348.0)</f>
        <v>44348</v>
      </c>
      <c r="K156" s="15">
        <f>IFERROR(__xludf.DUMMYFUNCTION("""COMPUTED_VALUE"""),45444.0)</f>
        <v>45444</v>
      </c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9" t="str">
        <f>IFERROR(__xludf.DUMMYFUNCTION("""COMPUTED_VALUE"""),"Lopes")</f>
        <v>Lopes</v>
      </c>
      <c r="B157" s="8" t="str">
        <f>IFERROR(__xludf.DUMMYFUNCTION("""COMPUTED_VALUE"""),"Ricardo")</f>
        <v>Ricardo</v>
      </c>
      <c r="C157" s="8" t="str">
        <f>IFERROR(__xludf.DUMMYFUNCTION("""COMPUTED_VALUE"""),"")</f>
        <v/>
      </c>
      <c r="D157" s="8" t="str">
        <f>IFERROR(__xludf.DUMMYFUNCTION("""COMPUTED_VALUE"""),"UNK")</f>
        <v>UNK</v>
      </c>
      <c r="E157" s="8" t="str">
        <f>IFERROR(__xludf.DUMMYFUNCTION("""COMPUTED_VALUE"""),"Portugal")</f>
        <v>Portugal</v>
      </c>
      <c r="F157" s="8" t="str">
        <f>IFERROR(__xludf.DUMMYFUNCTION("""COMPUTED_VALUE"""),"Pro Cricket Singles")</f>
        <v>Pro Cricket Singles</v>
      </c>
      <c r="G157" s="8" t="str">
        <f>IFERROR(__xludf.DUMMYFUNCTION("""COMPUTED_VALUE"""),"3rd")</f>
        <v>3rd</v>
      </c>
      <c r="H157" s="8" t="str">
        <f>IFERROR(__xludf.DUMMYFUNCTION("""COMPUTED_VALUE"""),"Euro BullShooter XXV")</f>
        <v>Euro BullShooter XXV</v>
      </c>
      <c r="I157" s="10">
        <f>IFERROR(__xludf.DUMMYFUNCTION("""COMPUTED_VALUE"""),42828.0)</f>
        <v>42828</v>
      </c>
      <c r="J157" s="10">
        <f>IFERROR(__xludf.DUMMYFUNCTION("""COMPUTED_VALUE"""),43983.0)</f>
        <v>43983</v>
      </c>
      <c r="K157" s="15">
        <f>IFERROR(__xludf.DUMMYFUNCTION("""COMPUTED_VALUE"""),45078.0)</f>
        <v>45078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9" t="str">
        <f>IFERROR(__xludf.DUMMYFUNCTION("""COMPUTED_VALUE"""),"Luke")</f>
        <v>Luke</v>
      </c>
      <c r="B158" s="8" t="str">
        <f>IFERROR(__xludf.DUMMYFUNCTION("""COMPUTED_VALUE"""),"Kevin")</f>
        <v>Kevin</v>
      </c>
      <c r="C158" s="8" t="str">
        <f>IFERROR(__xludf.DUMMYFUNCTION("""COMPUTED_VALUE"""),"Sunnyside")</f>
        <v>Sunnyside</v>
      </c>
      <c r="D158" s="8" t="str">
        <f>IFERROR(__xludf.DUMMYFUNCTION("""COMPUTED_VALUE"""),"WA")</f>
        <v>WA</v>
      </c>
      <c r="E158" s="8" t="str">
        <f>IFERROR(__xludf.DUMMYFUNCTION("""COMPUTED_VALUE"""),"USA")</f>
        <v>USA</v>
      </c>
      <c r="F158" s="8" t="str">
        <f>IFERROR(__xludf.DUMMYFUNCTION("""COMPUTED_VALUE"""),"Pro AA 501 Singles")</f>
        <v>Pro AA 501 Singles</v>
      </c>
      <c r="G158" s="8" t="str">
        <f>IFERROR(__xludf.DUMMYFUNCTION("""COMPUTED_VALUE"""),"2nd")</f>
        <v>2nd</v>
      </c>
      <c r="H158" s="8" t="str">
        <f>IFERROR(__xludf.DUMMYFUNCTION("""COMPUTED_VALUE"""),"BullShooter 34 Finals")</f>
        <v>BullShooter 34 Finals</v>
      </c>
      <c r="I158" s="10">
        <f>IFERROR(__xludf.DUMMYFUNCTION("""COMPUTED_VALUE"""),43617.0)</f>
        <v>43617</v>
      </c>
      <c r="J158" s="10">
        <f>IFERROR(__xludf.DUMMYFUNCTION("""COMPUTED_VALUE"""),44713.0)</f>
        <v>44713</v>
      </c>
      <c r="K158" s="15">
        <f>IFERROR(__xludf.DUMMYFUNCTION("""COMPUTED_VALUE"""),45809.0)</f>
        <v>45809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9" t="str">
        <f>IFERROR(__xludf.DUMMYFUNCTION("""COMPUTED_VALUE"""),"Lyzak")</f>
        <v>Lyzak</v>
      </c>
      <c r="B159" s="8" t="str">
        <f>IFERROR(__xludf.DUMMYFUNCTION("""COMPUTED_VALUE"""),"Russ")</f>
        <v>Russ</v>
      </c>
      <c r="C159" s="8" t="str">
        <f>IFERROR(__xludf.DUMMYFUNCTION("""COMPUTED_VALUE"""),"")</f>
        <v/>
      </c>
      <c r="D159" s="8" t="str">
        <f>IFERROR(__xludf.DUMMYFUNCTION("""COMPUTED_VALUE"""),"UNK")</f>
        <v>UNK</v>
      </c>
      <c r="E159" s="8" t="str">
        <f>IFERROR(__xludf.DUMMYFUNCTION("""COMPUTED_VALUE"""),"USA")</f>
        <v>USA</v>
      </c>
      <c r="F159" s="8" t="str">
        <f>IFERROR(__xludf.DUMMYFUNCTION("""COMPUTED_VALUE"""),"ADO 2018")</f>
        <v>ADO 2018</v>
      </c>
      <c r="G159" s="8" t="str">
        <f>IFERROR(__xludf.DUMMYFUNCTION("""COMPUTED_VALUE"""),"44th")</f>
        <v>44th</v>
      </c>
      <c r="H159" s="8" t="str">
        <f>IFERROR(__xludf.DUMMYFUNCTION("""COMPUTED_VALUE"""),"ADO 2018")</f>
        <v>ADO 2018</v>
      </c>
      <c r="I159" s="10">
        <f>IFERROR(__xludf.DUMMYFUNCTION("""COMPUTED_VALUE"""),43132.0)</f>
        <v>43132</v>
      </c>
      <c r="J159" s="10">
        <f>IFERROR(__xludf.DUMMYFUNCTION("""COMPUTED_VALUE"""),44348.0)</f>
        <v>44348</v>
      </c>
      <c r="K159" s="15">
        <f>IFERROR(__xludf.DUMMYFUNCTION("""COMPUTED_VALUE"""),45444.0)</f>
        <v>45444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12" t="str">
        <f>IFERROR(__xludf.DUMMYFUNCTION("""COMPUTED_VALUE"""),"Maloney")</f>
        <v>Maloney</v>
      </c>
      <c r="B160" s="13" t="str">
        <f>IFERROR(__xludf.DUMMYFUNCTION("""COMPUTED_VALUE"""),"Mike")</f>
        <v>Mike</v>
      </c>
      <c r="C160" s="13" t="str">
        <f>IFERROR(__xludf.DUMMYFUNCTION("""COMPUTED_VALUE"""),"Joliet")</f>
        <v>Joliet</v>
      </c>
      <c r="D160" s="13" t="str">
        <f>IFERROR(__xludf.DUMMYFUNCTION("""COMPUTED_VALUE"""),"IL")</f>
        <v>IL</v>
      </c>
      <c r="E160" s="13" t="str">
        <f>IFERROR(__xludf.DUMMYFUNCTION("""COMPUTED_VALUE"""),"USA")</f>
        <v>USA</v>
      </c>
      <c r="F160" s="13" t="str">
        <f>IFERROR(__xludf.DUMMYFUNCTION("""COMPUTED_VALUE"""),"Pro Doubles 501")</f>
        <v>Pro Doubles 501</v>
      </c>
      <c r="G160" s="13" t="str">
        <f>IFERROR(__xludf.DUMMYFUNCTION("""COMPUTED_VALUE"""),"1st")</f>
        <v>1st</v>
      </c>
      <c r="H160" s="13" t="str">
        <f>IFERROR(__xludf.DUMMYFUNCTION("""COMPUTED_VALUE"""),"Wisconsin BS 34")</f>
        <v>Wisconsin BS 34</v>
      </c>
      <c r="I160" s="14">
        <f>IFERROR(__xludf.DUMMYFUNCTION("""COMPUTED_VALUE"""),43617.0)</f>
        <v>43617</v>
      </c>
      <c r="J160" s="14">
        <f>IFERROR(__xludf.DUMMYFUNCTION("""COMPUTED_VALUE"""),43983.0)</f>
        <v>43983</v>
      </c>
      <c r="K160" s="15">
        <f>IFERROR(__xludf.DUMMYFUNCTION("""COMPUTED_VALUE"""),45078.0)</f>
        <v>45078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9" t="str">
        <f>IFERROR(__xludf.DUMMYFUNCTION("""COMPUTED_VALUE"""),"Marcelino")</f>
        <v>Marcelino</v>
      </c>
      <c r="B161" s="8" t="str">
        <f>IFERROR(__xludf.DUMMYFUNCTION("""COMPUTED_VALUE"""),"Adrian")</f>
        <v>Adrian</v>
      </c>
      <c r="C161" s="8" t="str">
        <f>IFERROR(__xludf.DUMMYFUNCTION("""COMPUTED_VALUE"""),"")</f>
        <v/>
      </c>
      <c r="D161" s="8" t="str">
        <f>IFERROR(__xludf.DUMMYFUNCTION("""COMPUTED_VALUE"""),"UNK")</f>
        <v>UNK</v>
      </c>
      <c r="E161" s="8" t="str">
        <f>IFERROR(__xludf.DUMMYFUNCTION("""COMPUTED_VALUE"""),"Philippines")</f>
        <v>Philippines</v>
      </c>
      <c r="F161" s="8" t="str">
        <f>IFERROR(__xludf.DUMMYFUNCTION("""COMPUTED_VALUE"""),"DL")</f>
        <v>DL</v>
      </c>
      <c r="G161" s="8" t="str">
        <f>IFERROR(__xludf.DUMMYFUNCTION("""COMPUTED_VALUE"""),"56th")</f>
        <v>56th</v>
      </c>
      <c r="H161" s="8" t="str">
        <f>IFERROR(__xludf.DUMMYFUNCTION("""COMPUTED_VALUE"""),"DL 2018")</f>
        <v>DL 2018</v>
      </c>
      <c r="I161" s="10">
        <f>IFERROR(__xludf.DUMMYFUNCTION("""COMPUTED_VALUE"""),43136.0)</f>
        <v>43136</v>
      </c>
      <c r="J161" s="10">
        <f>IFERROR(__xludf.DUMMYFUNCTION("""COMPUTED_VALUE"""),44348.0)</f>
        <v>44348</v>
      </c>
      <c r="K161" s="15">
        <f>IFERROR(__xludf.DUMMYFUNCTION("""COMPUTED_VALUE"""),45444.0)</f>
        <v>45444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9" t="str">
        <f>IFERROR(__xludf.DUMMYFUNCTION("""COMPUTED_VALUE"""),"Marijanovic")</f>
        <v>Marijanovic</v>
      </c>
      <c r="B162" s="8" t="str">
        <f>IFERROR(__xludf.DUMMYFUNCTION("""COMPUTED_VALUE"""),"Robert")</f>
        <v>Robert</v>
      </c>
      <c r="C162" s="8" t="str">
        <f>IFERROR(__xludf.DUMMYFUNCTION("""COMPUTED_VALUE"""),"")</f>
        <v/>
      </c>
      <c r="D162" s="8" t="str">
        <f>IFERROR(__xludf.DUMMYFUNCTION("""COMPUTED_VALUE"""),"UNK")</f>
        <v>UNK</v>
      </c>
      <c r="E162" s="8" t="str">
        <f>IFERROR(__xludf.DUMMYFUNCTION("""COMPUTED_VALUE"""),"Croatia")</f>
        <v>Croatia</v>
      </c>
      <c r="F162" s="8" t="str">
        <f>IFERROR(__xludf.DUMMYFUNCTION("""COMPUTED_VALUE"""),"Pro/AA Cricket Luck")</f>
        <v>Pro/AA Cricket Luck</v>
      </c>
      <c r="G162" s="8" t="str">
        <f>IFERROR(__xludf.DUMMYFUNCTION("""COMPUTED_VALUE"""),"1st")</f>
        <v>1st</v>
      </c>
      <c r="H162" s="8" t="str">
        <f>IFERROR(__xludf.DUMMYFUNCTION("""COMPUTED_VALUE"""),"BullShooter 32")</f>
        <v>BullShooter 32</v>
      </c>
      <c r="I162" s="10">
        <f>IFERROR(__xludf.DUMMYFUNCTION("""COMPUTED_VALUE"""),42887.0)</f>
        <v>42887</v>
      </c>
      <c r="J162" s="10">
        <f>IFERROR(__xludf.DUMMYFUNCTION("""COMPUTED_VALUE"""),43983.0)</f>
        <v>43983</v>
      </c>
      <c r="K162" s="15">
        <f>IFERROR(__xludf.DUMMYFUNCTION("""COMPUTED_VALUE"""),45078.0)</f>
        <v>45078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9" t="str">
        <f>IFERROR(__xludf.DUMMYFUNCTION("""COMPUTED_VALUE"""),"Martin")</f>
        <v>Martin</v>
      </c>
      <c r="B163" s="8" t="str">
        <f>IFERROR(__xludf.DUMMYFUNCTION("""COMPUTED_VALUE"""),"Christopher")</f>
        <v>Christopher</v>
      </c>
      <c r="C163" s="8" t="str">
        <f>IFERROR(__xludf.DUMMYFUNCTION("""COMPUTED_VALUE"""),"")</f>
        <v/>
      </c>
      <c r="D163" s="8" t="str">
        <f>IFERROR(__xludf.DUMMYFUNCTION("""COMPUTED_VALUE"""),"UNK")</f>
        <v>UNK</v>
      </c>
      <c r="E163" s="8" t="str">
        <f>IFERROR(__xludf.DUMMYFUNCTION("""COMPUTED_VALUE"""),"USA")</f>
        <v>USA</v>
      </c>
      <c r="F163" s="8" t="str">
        <f>IFERROR(__xludf.DUMMYFUNCTION("""COMPUTED_VALUE"""),"ADO 2018")</f>
        <v>ADO 2018</v>
      </c>
      <c r="G163" s="8" t="str">
        <f>IFERROR(__xludf.DUMMYFUNCTION("""COMPUTED_VALUE"""),"40th")</f>
        <v>40th</v>
      </c>
      <c r="H163" s="8" t="str">
        <f>IFERROR(__xludf.DUMMYFUNCTION("""COMPUTED_VALUE"""),"ADO 2018")</f>
        <v>ADO 2018</v>
      </c>
      <c r="I163" s="10">
        <f>IFERROR(__xludf.DUMMYFUNCTION("""COMPUTED_VALUE"""),43132.0)</f>
        <v>43132</v>
      </c>
      <c r="J163" s="10">
        <f>IFERROR(__xludf.DUMMYFUNCTION("""COMPUTED_VALUE"""),44348.0)</f>
        <v>44348</v>
      </c>
      <c r="K163" s="15">
        <f>IFERROR(__xludf.DUMMYFUNCTION("""COMPUTED_VALUE"""),45444.0)</f>
        <v>45444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9" t="str">
        <f>IFERROR(__xludf.DUMMYFUNCTION("""COMPUTED_VALUE"""),"Martin")</f>
        <v>Martin</v>
      </c>
      <c r="B164" s="8" t="str">
        <f>IFERROR(__xludf.DUMMYFUNCTION("""COMPUTED_VALUE"""),"Tony")</f>
        <v>Tony</v>
      </c>
      <c r="C164" s="8" t="str">
        <f>IFERROR(__xludf.DUMMYFUNCTION("""COMPUTED_VALUE"""),"")</f>
        <v/>
      </c>
      <c r="D164" s="8" t="str">
        <f>IFERROR(__xludf.DUMMYFUNCTION("""COMPUTED_VALUE"""),"UNK")</f>
        <v>UNK</v>
      </c>
      <c r="E164" s="8" t="str">
        <f>IFERROR(__xludf.DUMMYFUNCTION("""COMPUTED_VALUE"""),"United Kingdom")</f>
        <v>United Kingdom</v>
      </c>
      <c r="F164" s="8" t="str">
        <f>IFERROR(__xludf.DUMMYFUNCTION("""COMPUTED_VALUE"""),"DL")</f>
        <v>DL</v>
      </c>
      <c r="G164" s="8" t="str">
        <f>IFERROR(__xludf.DUMMYFUNCTION("""COMPUTED_VALUE"""),"17th")</f>
        <v>17th</v>
      </c>
      <c r="H164" s="8" t="str">
        <f>IFERROR(__xludf.DUMMYFUNCTION("""COMPUTED_VALUE"""),"DL")</f>
        <v>DL</v>
      </c>
      <c r="I164" s="10">
        <f>IFERROR(__xludf.DUMMYFUNCTION("""COMPUTED_VALUE"""),42767.0)</f>
        <v>42767</v>
      </c>
      <c r="J164" s="10">
        <f>IFERROR(__xludf.DUMMYFUNCTION("""COMPUTED_VALUE"""),43983.0)</f>
        <v>43983</v>
      </c>
      <c r="K164" s="15">
        <f>IFERROR(__xludf.DUMMYFUNCTION("""COMPUTED_VALUE"""),45078.0)</f>
        <v>45078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8.0" customHeight="1">
      <c r="A165" s="9" t="str">
        <f>IFERROR(__xludf.DUMMYFUNCTION("""COMPUTED_VALUE"""),"Matsumoto")</f>
        <v>Matsumoto</v>
      </c>
      <c r="B165" s="8" t="str">
        <f>IFERROR(__xludf.DUMMYFUNCTION("""COMPUTED_VALUE"""),"Arashi")</f>
        <v>Arashi</v>
      </c>
      <c r="C165" s="8" t="str">
        <f>IFERROR(__xludf.DUMMYFUNCTION("""COMPUTED_VALUE"""),"")</f>
        <v/>
      </c>
      <c r="D165" s="8" t="str">
        <f>IFERROR(__xludf.DUMMYFUNCTION("""COMPUTED_VALUE"""),"UNK")</f>
        <v>UNK</v>
      </c>
      <c r="E165" s="8" t="str">
        <f>IFERROR(__xludf.DUMMYFUNCTION("""COMPUTED_VALUE"""),"Japan")</f>
        <v>Japan</v>
      </c>
      <c r="F165" s="8" t="str">
        <f>IFERROR(__xludf.DUMMYFUNCTION("""COMPUTED_VALUE"""),"DL")</f>
        <v>DL</v>
      </c>
      <c r="G165" s="8" t="str">
        <f>IFERROR(__xludf.DUMMYFUNCTION("""COMPUTED_VALUE"""),"26st")</f>
        <v>26st</v>
      </c>
      <c r="H165" s="8" t="str">
        <f>IFERROR(__xludf.DUMMYFUNCTION("""COMPUTED_VALUE"""),"DL 2018")</f>
        <v>DL 2018</v>
      </c>
      <c r="I165" s="10">
        <f>IFERROR(__xludf.DUMMYFUNCTION("""COMPUTED_VALUE"""),43136.0)</f>
        <v>43136</v>
      </c>
      <c r="J165" s="10">
        <f>IFERROR(__xludf.DUMMYFUNCTION("""COMPUTED_VALUE"""),44348.0)</f>
        <v>44348</v>
      </c>
      <c r="K165" s="15">
        <f>IFERROR(__xludf.DUMMYFUNCTION("""COMPUTED_VALUE"""),45444.0)</f>
        <v>45444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9" t="str">
        <f>IFERROR(__xludf.DUMMYFUNCTION("""COMPUTED_VALUE"""),"Mawson")</f>
        <v>Mawson</v>
      </c>
      <c r="B166" s="8" t="str">
        <f>IFERROR(__xludf.DUMMYFUNCTION("""COMPUTED_VALUE"""),"Gary")</f>
        <v>Gary</v>
      </c>
      <c r="C166" s="8" t="str">
        <f>IFERROR(__xludf.DUMMYFUNCTION("""COMPUTED_VALUE"""),"N. Royalton")</f>
        <v>N. Royalton</v>
      </c>
      <c r="D166" s="8" t="str">
        <f>IFERROR(__xludf.DUMMYFUNCTION("""COMPUTED_VALUE"""),"OH")</f>
        <v>OH</v>
      </c>
      <c r="E166" s="8" t="str">
        <f>IFERROR(__xludf.DUMMYFUNCTION("""COMPUTED_VALUE"""),"USA")</f>
        <v>USA</v>
      </c>
      <c r="F166" s="8" t="str">
        <f>IFERROR(__xludf.DUMMYFUNCTION("""COMPUTED_VALUE"""),"NAPDA 2018")</f>
        <v>NAPDA 2018</v>
      </c>
      <c r="G166" s="8" t="str">
        <f>IFERROR(__xludf.DUMMYFUNCTION("""COMPUTED_VALUE"""),"11th")</f>
        <v>11th</v>
      </c>
      <c r="H166" s="8" t="str">
        <f>IFERROR(__xludf.DUMMYFUNCTION("""COMPUTED_VALUE"""),"Known Ability")</f>
        <v>Known Ability</v>
      </c>
      <c r="I166" s="10">
        <f>IFERROR(__xludf.DUMMYFUNCTION("""COMPUTED_VALUE"""),43132.0)</f>
        <v>43132</v>
      </c>
      <c r="J166" s="10">
        <f>IFERROR(__xludf.DUMMYFUNCTION("""COMPUTED_VALUE"""),44348.0)</f>
        <v>44348</v>
      </c>
      <c r="K166" s="15">
        <f>IFERROR(__xludf.DUMMYFUNCTION("""COMPUTED_VALUE"""),45809.0)</f>
        <v>45809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9" t="str">
        <f>IFERROR(__xludf.DUMMYFUNCTION("""COMPUTED_VALUE"""),"Mc Coy")</f>
        <v>Mc Coy</v>
      </c>
      <c r="B167" s="8" t="str">
        <f>IFERROR(__xludf.DUMMYFUNCTION("""COMPUTED_VALUE"""),"Robert")</f>
        <v>Robert</v>
      </c>
      <c r="C167" s="8" t="str">
        <f>IFERROR(__xludf.DUMMYFUNCTION("""COMPUTED_VALUE"""),"Waterman")</f>
        <v>Waterman</v>
      </c>
      <c r="D167" s="8" t="str">
        <f>IFERROR(__xludf.DUMMYFUNCTION("""COMPUTED_VALUE"""),"IL")</f>
        <v>IL</v>
      </c>
      <c r="E167" s="8" t="str">
        <f>IFERROR(__xludf.DUMMYFUNCTION("""COMPUTED_VALUE"""),"USA")</f>
        <v>USA</v>
      </c>
      <c r="F167" s="8" t="str">
        <f>IFERROR(__xludf.DUMMYFUNCTION("""COMPUTED_VALUE"""),"Pro Singles")</f>
        <v>Pro Singles</v>
      </c>
      <c r="G167" s="8" t="str">
        <f>IFERROR(__xludf.DUMMYFUNCTION("""COMPUTED_VALUE"""),"4th")</f>
        <v>4th</v>
      </c>
      <c r="H167" s="8" t="str">
        <f>IFERROR(__xludf.DUMMYFUNCTION("""COMPUTED_VALUE"""),"BS 33 Finals")</f>
        <v>BS 33 Finals</v>
      </c>
      <c r="I167" s="10">
        <f>IFERROR(__xludf.DUMMYFUNCTION("""COMPUTED_VALUE"""),43252.0)</f>
        <v>43252</v>
      </c>
      <c r="J167" s="10">
        <f>IFERROR(__xludf.DUMMYFUNCTION("""COMPUTED_VALUE"""),44348.0)</f>
        <v>44348</v>
      </c>
      <c r="K167" s="15">
        <f>IFERROR(__xludf.DUMMYFUNCTION("""COMPUTED_VALUE"""),45444.0)</f>
        <v>45444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9" t="str">
        <f>IFERROR(__xludf.DUMMYFUNCTION("""COMPUTED_VALUE"""),"McConnell")</f>
        <v>McConnell</v>
      </c>
      <c r="B168" s="8" t="str">
        <f>IFERROR(__xludf.DUMMYFUNCTION("""COMPUTED_VALUE"""),"Brian")</f>
        <v>Brian</v>
      </c>
      <c r="C168" s="8" t="str">
        <f>IFERROR(__xludf.DUMMYFUNCTION("""COMPUTED_VALUE"""),"Watertown")</f>
        <v>Watertown</v>
      </c>
      <c r="D168" s="8" t="str">
        <f>IFERROR(__xludf.DUMMYFUNCTION("""COMPUTED_VALUE"""),"NY")</f>
        <v>NY</v>
      </c>
      <c r="E168" s="8" t="str">
        <f>IFERROR(__xludf.DUMMYFUNCTION("""COMPUTED_VALUE"""),"USA")</f>
        <v>USA</v>
      </c>
      <c r="F168" s="8" t="str">
        <f>IFERROR(__xludf.DUMMYFUNCTION("""COMPUTED_VALUE"""),"Pro/Am Cricket")</f>
        <v>Pro/Am Cricket</v>
      </c>
      <c r="G168" s="8" t="str">
        <f>IFERROR(__xludf.DUMMYFUNCTION("""COMPUTED_VALUE"""),"2nd")</f>
        <v>2nd</v>
      </c>
      <c r="H168" s="8" t="str">
        <f>IFERROR(__xludf.DUMMYFUNCTION("""COMPUTED_VALUE"""),"OFF AA IN 20")</f>
        <v>OFF AA IN 20</v>
      </c>
      <c r="I168" s="10">
        <f>IFERROR(__xludf.DUMMYFUNCTION("""COMPUTED_VALUE"""),42887.0)</f>
        <v>42887</v>
      </c>
      <c r="J168" s="10">
        <f>IFERROR(__xludf.DUMMYFUNCTION("""COMPUTED_VALUE"""),44348.0)</f>
        <v>44348</v>
      </c>
      <c r="K168" s="15">
        <f>IFERROR(__xludf.DUMMYFUNCTION("""COMPUTED_VALUE"""),45444.0)</f>
        <v>45444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9" t="str">
        <f>IFERROR(__xludf.DUMMYFUNCTION("""COMPUTED_VALUE"""),"Meares")</f>
        <v>Meares</v>
      </c>
      <c r="B169" s="8" t="str">
        <f>IFERROR(__xludf.DUMMYFUNCTION("""COMPUTED_VALUE"""),"Mark")</f>
        <v>Mark</v>
      </c>
      <c r="C169" s="8" t="str">
        <f>IFERROR(__xludf.DUMMYFUNCTION("""COMPUTED_VALUE"""),"Sarasota")</f>
        <v>Sarasota</v>
      </c>
      <c r="D169" s="8" t="str">
        <f>IFERROR(__xludf.DUMMYFUNCTION("""COMPUTED_VALUE"""),"FL")</f>
        <v>FL</v>
      </c>
      <c r="E169" s="8" t="str">
        <f>IFERROR(__xludf.DUMMYFUNCTION("""COMPUTED_VALUE"""),"USA")</f>
        <v>USA</v>
      </c>
      <c r="F169" s="8" t="str">
        <f>IFERROR(__xludf.DUMMYFUNCTION("""COMPUTED_VALUE"""),"Pro Singles Cricket")</f>
        <v>Pro Singles Cricket</v>
      </c>
      <c r="G169" s="8" t="str">
        <f>IFERROR(__xludf.DUMMYFUNCTION("""COMPUTED_VALUE"""),"2nd")</f>
        <v>2nd</v>
      </c>
      <c r="H169" s="8" t="str">
        <f>IFERROR(__xludf.DUMMYFUNCTION("""COMPUTED_VALUE"""),"Pennsylvania BS 34")</f>
        <v>Pennsylvania BS 34</v>
      </c>
      <c r="I169" s="10">
        <f>IFERROR(__xludf.DUMMYFUNCTION("""COMPUTED_VALUE"""),43617.0)</f>
        <v>43617</v>
      </c>
      <c r="J169" s="10">
        <f>IFERROR(__xludf.DUMMYFUNCTION("""COMPUTED_VALUE"""),43983.0)</f>
        <v>43983</v>
      </c>
      <c r="K169" s="15">
        <f>IFERROR(__xludf.DUMMYFUNCTION("""COMPUTED_VALUE"""),45078.0)</f>
        <v>45078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9" t="str">
        <f>IFERROR(__xludf.DUMMYFUNCTION("""COMPUTED_VALUE"""),"Merlijn")</f>
        <v>Merlijn</v>
      </c>
      <c r="B170" s="8" t="str">
        <f>IFERROR(__xludf.DUMMYFUNCTION("""COMPUTED_VALUE"""),"Danny")</f>
        <v>Danny</v>
      </c>
      <c r="C170" s="8" t="str">
        <f>IFERROR(__xludf.DUMMYFUNCTION("""COMPUTED_VALUE"""),"")</f>
        <v/>
      </c>
      <c r="D170" s="8" t="str">
        <f>IFERROR(__xludf.DUMMYFUNCTION("""COMPUTED_VALUE"""),"UNK")</f>
        <v>UNK</v>
      </c>
      <c r="E170" s="8" t="str">
        <f>IFERROR(__xludf.DUMMYFUNCTION("""COMPUTED_VALUE"""),"Holland")</f>
        <v>Holland</v>
      </c>
      <c r="F170" s="8" t="str">
        <f>IFERROR(__xludf.DUMMYFUNCTION("""COMPUTED_VALUE"""),"Pro Cricket Doubles")</f>
        <v>Pro Cricket Doubles</v>
      </c>
      <c r="G170" s="8" t="str">
        <f>IFERROR(__xludf.DUMMYFUNCTION("""COMPUTED_VALUE"""),"1st")</f>
        <v>1st</v>
      </c>
      <c r="H170" s="8" t="str">
        <f>IFERROR(__xludf.DUMMYFUNCTION("""COMPUTED_VALUE"""),"Known Ability")</f>
        <v>Known Ability</v>
      </c>
      <c r="I170" s="10">
        <f>IFERROR(__xludf.DUMMYFUNCTION("""COMPUTED_VALUE"""),42828.0)</f>
        <v>42828</v>
      </c>
      <c r="J170" s="10">
        <f>IFERROR(__xludf.DUMMYFUNCTION("""COMPUTED_VALUE"""),43983.0)</f>
        <v>43983</v>
      </c>
      <c r="K170" s="15">
        <f>IFERROR(__xludf.DUMMYFUNCTION("""COMPUTED_VALUE"""),45078.0)</f>
        <v>45078</v>
      </c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9" t="str">
        <f>IFERROR(__xludf.DUMMYFUNCTION("""COMPUTED_VALUE"""),"Milk")</f>
        <v>Milk</v>
      </c>
      <c r="B171" s="8" t="str">
        <f>IFERROR(__xludf.DUMMYFUNCTION("""COMPUTED_VALUE"""),"Elliott")</f>
        <v>Elliott</v>
      </c>
      <c r="C171" s="8" t="str">
        <f>IFERROR(__xludf.DUMMYFUNCTION("""COMPUTED_VALUE"""),"Lake Andes")</f>
        <v>Lake Andes</v>
      </c>
      <c r="D171" s="8" t="str">
        <f>IFERROR(__xludf.DUMMYFUNCTION("""COMPUTED_VALUE"""),"SD")</f>
        <v>SD</v>
      </c>
      <c r="E171" s="8" t="str">
        <f>IFERROR(__xludf.DUMMYFUNCTION("""COMPUTED_VALUE"""),"USA")</f>
        <v>USA</v>
      </c>
      <c r="F171" s="8" t="str">
        <f>IFERROR(__xludf.DUMMYFUNCTION("""COMPUTED_VALUE"""),"TopGun A/AA Triples")</f>
        <v>TopGun A/AA Triples</v>
      </c>
      <c r="G171" s="8" t="str">
        <f>IFERROR(__xludf.DUMMYFUNCTION("""COMPUTED_VALUE"""),"3rd")</f>
        <v>3rd</v>
      </c>
      <c r="H171" s="8" t="str">
        <f>IFERROR(__xludf.DUMMYFUNCTION("""COMPUTED_VALUE"""),"BullShooter 34 Finals")</f>
        <v>BullShooter 34 Finals</v>
      </c>
      <c r="I171" s="10">
        <f>IFERROR(__xludf.DUMMYFUNCTION("""COMPUTED_VALUE"""),43617.0)</f>
        <v>43617</v>
      </c>
      <c r="J171" s="10">
        <f>IFERROR(__xludf.DUMMYFUNCTION("""COMPUTED_VALUE"""),44713.0)</f>
        <v>44713</v>
      </c>
      <c r="K171" s="15">
        <f>IFERROR(__xludf.DUMMYFUNCTION("""COMPUTED_VALUE"""),45809.0)</f>
        <v>45809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12" t="str">
        <f>IFERROR(__xludf.DUMMYFUNCTION("""COMPUTED_VALUE"""),"Millar")</f>
        <v>Millar</v>
      </c>
      <c r="B172" s="13" t="str">
        <f>IFERROR(__xludf.DUMMYFUNCTION("""COMPUTED_VALUE"""),"Jeremiah")</f>
        <v>Jeremiah</v>
      </c>
      <c r="C172" s="13" t="str">
        <f>IFERROR(__xludf.DUMMYFUNCTION("""COMPUTED_VALUE"""),"Oxford")</f>
        <v>Oxford</v>
      </c>
      <c r="D172" s="13" t="str">
        <f>IFERROR(__xludf.DUMMYFUNCTION("""COMPUTED_VALUE"""),"MI")</f>
        <v>MI</v>
      </c>
      <c r="E172" s="13" t="str">
        <f>IFERROR(__xludf.DUMMYFUNCTION("""COMPUTED_VALUE"""),"USA")</f>
        <v>USA</v>
      </c>
      <c r="F172" s="13" t="str">
        <f>IFERROR(__xludf.DUMMYFUNCTION("""COMPUTED_VALUE"""),"TopGun Pro A/AA Singles")</f>
        <v>TopGun Pro A/AA Singles</v>
      </c>
      <c r="G172" s="13" t="str">
        <f>IFERROR(__xludf.DUMMYFUNCTION("""COMPUTED_VALUE"""),"2nd")</f>
        <v>2nd</v>
      </c>
      <c r="H172" s="13" t="str">
        <f>IFERROR(__xludf.DUMMYFUNCTION("""COMPUTED_VALUE"""),"BullShooter 34 Finals")</f>
        <v>BullShooter 34 Finals</v>
      </c>
      <c r="I172" s="14">
        <f>IFERROR(__xludf.DUMMYFUNCTION("""COMPUTED_VALUE"""),43617.0)</f>
        <v>43617</v>
      </c>
      <c r="J172" s="14">
        <f>IFERROR(__xludf.DUMMYFUNCTION("""COMPUTED_VALUE"""),44713.0)</f>
        <v>44713</v>
      </c>
      <c r="K172" s="15">
        <f>IFERROR(__xludf.DUMMYFUNCTION("""COMPUTED_VALUE"""),45809.0)</f>
        <v>45809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9" t="str">
        <f>IFERROR(__xludf.DUMMYFUNCTION("""COMPUTED_VALUE"""),"Miller")</f>
        <v>Miller</v>
      </c>
      <c r="B173" s="8" t="str">
        <f>IFERROR(__xludf.DUMMYFUNCTION("""COMPUTED_VALUE"""),"Geoff")</f>
        <v>Geoff</v>
      </c>
      <c r="C173" s="8" t="str">
        <f>IFERROR(__xludf.DUMMYFUNCTION("""COMPUTED_VALUE"""),"Hixson")</f>
        <v>Hixson</v>
      </c>
      <c r="D173" s="8" t="str">
        <f>IFERROR(__xludf.DUMMYFUNCTION("""COMPUTED_VALUE"""),"TX")</f>
        <v>TX</v>
      </c>
      <c r="E173" s="8" t="str">
        <f>IFERROR(__xludf.DUMMYFUNCTION("""COMPUTED_VALUE"""),"USA")</f>
        <v>USA</v>
      </c>
      <c r="F173" s="8" t="str">
        <f>IFERROR(__xludf.DUMMYFUNCTION("""COMPUTED_VALUE"""),"ADO 2018")</f>
        <v>ADO 2018</v>
      </c>
      <c r="G173" s="8" t="str">
        <f>IFERROR(__xludf.DUMMYFUNCTION("""COMPUTED_VALUE"""),"23rd")</f>
        <v>23rd</v>
      </c>
      <c r="H173" s="8" t="str">
        <f>IFERROR(__xludf.DUMMYFUNCTION("""COMPUTED_VALUE"""),"ADO 2018")</f>
        <v>ADO 2018</v>
      </c>
      <c r="I173" s="10">
        <f>IFERROR(__xludf.DUMMYFUNCTION("""COMPUTED_VALUE"""),43132.0)</f>
        <v>43132</v>
      </c>
      <c r="J173" s="10">
        <f>IFERROR(__xludf.DUMMYFUNCTION("""COMPUTED_VALUE"""),44348.0)</f>
        <v>44348</v>
      </c>
      <c r="K173" s="15">
        <f>IFERROR(__xludf.DUMMYFUNCTION("""COMPUTED_VALUE"""),45444.0)</f>
        <v>45444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9" t="str">
        <f>IFERROR(__xludf.DUMMYFUNCTION("""COMPUTED_VALUE"""),"Miller, Sr.")</f>
        <v>Miller, Sr.</v>
      </c>
      <c r="B174" s="8" t="str">
        <f>IFERROR(__xludf.DUMMYFUNCTION("""COMPUTED_VALUE"""),"Mark")</f>
        <v>Mark</v>
      </c>
      <c r="C174" s="8" t="str">
        <f>IFERROR(__xludf.DUMMYFUNCTION("""COMPUTED_VALUE"""),"Hampton")</f>
        <v>Hampton</v>
      </c>
      <c r="D174" s="8" t="str">
        <f>IFERROR(__xludf.DUMMYFUNCTION("""COMPUTED_VALUE"""),"IL")</f>
        <v>IL</v>
      </c>
      <c r="E174" s="8" t="str">
        <f>IFERROR(__xludf.DUMMYFUNCTION("""COMPUTED_VALUE"""),"USA")</f>
        <v>USA</v>
      </c>
      <c r="F174" s="8" t="str">
        <f>IFERROR(__xludf.DUMMYFUNCTION("""COMPUTED_VALUE"""),"Pro AA Doubles")</f>
        <v>Pro AA Doubles</v>
      </c>
      <c r="G174" s="8" t="str">
        <f>IFERROR(__xludf.DUMMYFUNCTION("""COMPUTED_VALUE"""),"1st")</f>
        <v>1st</v>
      </c>
      <c r="H174" s="8" t="str">
        <f>IFERROR(__xludf.DUMMYFUNCTION("""COMPUTED_VALUE"""),"BullShooter 32")</f>
        <v>BullShooter 32</v>
      </c>
      <c r="I174" s="10">
        <f>IFERROR(__xludf.DUMMYFUNCTION("""COMPUTED_VALUE"""),42887.0)</f>
        <v>42887</v>
      </c>
      <c r="J174" s="10">
        <f>IFERROR(__xludf.DUMMYFUNCTION("""COMPUTED_VALUE"""),43983.0)</f>
        <v>43983</v>
      </c>
      <c r="K174" s="15">
        <f>IFERROR(__xludf.DUMMYFUNCTION("""COMPUTED_VALUE"""),45078.0)</f>
        <v>45078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9" t="str">
        <f>IFERROR(__xludf.DUMMYFUNCTION("""COMPUTED_VALUE"""),"Morey")</f>
        <v>Morey</v>
      </c>
      <c r="B175" s="8" t="str">
        <f>IFERROR(__xludf.DUMMYFUNCTION("""COMPUTED_VALUE"""),"Ryan")</f>
        <v>Ryan</v>
      </c>
      <c r="C175" s="8" t="str">
        <f>IFERROR(__xludf.DUMMYFUNCTION("""COMPUTED_VALUE"""),"Syracuse")</f>
        <v>Syracuse</v>
      </c>
      <c r="D175" s="8" t="str">
        <f>IFERROR(__xludf.DUMMYFUNCTION("""COMPUTED_VALUE"""),"NY")</f>
        <v>NY</v>
      </c>
      <c r="E175" s="8" t="str">
        <f>IFERROR(__xludf.DUMMYFUNCTION("""COMPUTED_VALUE"""),"USA")</f>
        <v>USA</v>
      </c>
      <c r="F175" s="8" t="str">
        <f>IFERROR(__xludf.DUMMYFUNCTION("""COMPUTED_VALUE"""),"NAPDA 2017")</f>
        <v>NAPDA 2017</v>
      </c>
      <c r="G175" s="8" t="str">
        <f>IFERROR(__xludf.DUMMYFUNCTION("""COMPUTED_VALUE"""),"50th")</f>
        <v>50th</v>
      </c>
      <c r="H175" s="8" t="str">
        <f>IFERROR(__xludf.DUMMYFUNCTION("""COMPUTED_VALUE"""),"NAPDA 2017")</f>
        <v>NAPDA 2017</v>
      </c>
      <c r="I175" s="10">
        <f>IFERROR(__xludf.DUMMYFUNCTION("""COMPUTED_VALUE"""),42772.0)</f>
        <v>42772</v>
      </c>
      <c r="J175" s="10">
        <f>IFERROR(__xludf.DUMMYFUNCTION("""COMPUTED_VALUE"""),43983.0)</f>
        <v>43983</v>
      </c>
      <c r="K175" s="15">
        <f>IFERROR(__xludf.DUMMYFUNCTION("""COMPUTED_VALUE"""),45078.0)</f>
        <v>45078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9" t="str">
        <f>IFERROR(__xludf.DUMMYFUNCTION("""COMPUTED_VALUE"""),"Morgan")</f>
        <v>Morgan</v>
      </c>
      <c r="B176" s="8" t="str">
        <f>IFERROR(__xludf.DUMMYFUNCTION("""COMPUTED_VALUE"""),"Ray")</f>
        <v>Ray</v>
      </c>
      <c r="C176" s="8" t="str">
        <f>IFERROR(__xludf.DUMMYFUNCTION("""COMPUTED_VALUE"""),"Sioux Falls")</f>
        <v>Sioux Falls</v>
      </c>
      <c r="D176" s="8" t="str">
        <f>IFERROR(__xludf.DUMMYFUNCTION("""COMPUTED_VALUE"""),"SD")</f>
        <v>SD</v>
      </c>
      <c r="E176" s="8" t="str">
        <f>IFERROR(__xludf.DUMMYFUNCTION("""COMPUTED_VALUE"""),"USA")</f>
        <v>USA</v>
      </c>
      <c r="F176" s="8" t="str">
        <f>IFERROR(__xludf.DUMMYFUNCTION("""COMPUTED_VALUE"""),"TopGun A/AA Triples")</f>
        <v>TopGun A/AA Triples</v>
      </c>
      <c r="G176" s="8" t="str">
        <f>IFERROR(__xludf.DUMMYFUNCTION("""COMPUTED_VALUE"""),"3rd")</f>
        <v>3rd</v>
      </c>
      <c r="H176" s="8" t="str">
        <f>IFERROR(__xludf.DUMMYFUNCTION("""COMPUTED_VALUE"""),"BullShooter 34 Finals")</f>
        <v>BullShooter 34 Finals</v>
      </c>
      <c r="I176" s="10">
        <f>IFERROR(__xludf.DUMMYFUNCTION("""COMPUTED_VALUE"""),43617.0)</f>
        <v>43617</v>
      </c>
      <c r="J176" s="10">
        <f>IFERROR(__xludf.DUMMYFUNCTION("""COMPUTED_VALUE"""),44713.0)</f>
        <v>44713</v>
      </c>
      <c r="K176" s="15">
        <f>IFERROR(__xludf.DUMMYFUNCTION("""COMPUTED_VALUE"""),45809.0)</f>
        <v>45809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9" t="str">
        <f>IFERROR(__xludf.DUMMYFUNCTION("""COMPUTED_VALUE"""),"Moseley")</f>
        <v>Moseley</v>
      </c>
      <c r="B177" s="8" t="str">
        <f>IFERROR(__xludf.DUMMYFUNCTION("""COMPUTED_VALUE"""),"Brandon")</f>
        <v>Brandon</v>
      </c>
      <c r="C177" s="8" t="str">
        <f>IFERROR(__xludf.DUMMYFUNCTION("""COMPUTED_VALUE"""),"Columbus")</f>
        <v>Columbus</v>
      </c>
      <c r="D177" s="8" t="str">
        <f>IFERROR(__xludf.DUMMYFUNCTION("""COMPUTED_VALUE"""),"GA")</f>
        <v>GA</v>
      </c>
      <c r="E177" s="8" t="str">
        <f>IFERROR(__xludf.DUMMYFUNCTION("""COMPUTED_VALUE"""),"USA")</f>
        <v>USA</v>
      </c>
      <c r="F177" s="8" t="str">
        <f>IFERROR(__xludf.DUMMYFUNCTION("""COMPUTED_VALUE"""),"Pro/Am Cricket")</f>
        <v>Pro/Am Cricket</v>
      </c>
      <c r="G177" s="8" t="str">
        <f>IFERROR(__xludf.DUMMYFUNCTION("""COMPUTED_VALUE"""),"2nd")</f>
        <v>2nd</v>
      </c>
      <c r="H177" s="8" t="str">
        <f>IFERROR(__xludf.DUMMYFUNCTION("""COMPUTED_VALUE"""),"Georgia BS 34")</f>
        <v>Georgia BS 34</v>
      </c>
      <c r="I177" s="10">
        <f>IFERROR(__xludf.DUMMYFUNCTION("""COMPUTED_VALUE"""),43617.0)</f>
        <v>43617</v>
      </c>
      <c r="J177" s="10">
        <f>IFERROR(__xludf.DUMMYFUNCTION("""COMPUTED_VALUE"""),43983.0)</f>
        <v>43983</v>
      </c>
      <c r="K177" s="15">
        <f>IFERROR(__xludf.DUMMYFUNCTION("""COMPUTED_VALUE"""),45078.0)</f>
        <v>45078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9" t="str">
        <f>IFERROR(__xludf.DUMMYFUNCTION("""COMPUTED_VALUE"""),"Muramatsu")</f>
        <v>Muramatsu</v>
      </c>
      <c r="B178" s="8" t="str">
        <f>IFERROR(__xludf.DUMMYFUNCTION("""COMPUTED_VALUE"""),"Haruki")</f>
        <v>Haruki</v>
      </c>
      <c r="C178" s="8" t="str">
        <f>IFERROR(__xludf.DUMMYFUNCTION("""COMPUTED_VALUE"""),"")</f>
        <v/>
      </c>
      <c r="D178" s="8" t="str">
        <f>IFERROR(__xludf.DUMMYFUNCTION("""COMPUTED_VALUE"""),"UNK")</f>
        <v>UNK</v>
      </c>
      <c r="E178" s="8" t="str">
        <f>IFERROR(__xludf.DUMMYFUNCTION("""COMPUTED_VALUE"""),"Japan")</f>
        <v>Japan</v>
      </c>
      <c r="F178" s="8" t="str">
        <f>IFERROR(__xludf.DUMMYFUNCTION("""COMPUTED_VALUE"""),"DL")</f>
        <v>DL</v>
      </c>
      <c r="G178" s="8" t="str">
        <f>IFERROR(__xludf.DUMMYFUNCTION("""COMPUTED_VALUE"""),"21th")</f>
        <v>21th</v>
      </c>
      <c r="H178" s="8" t="str">
        <f>IFERROR(__xludf.DUMMYFUNCTION("""COMPUTED_VALUE"""),"DL 2018")</f>
        <v>DL 2018</v>
      </c>
      <c r="I178" s="10">
        <f>IFERROR(__xludf.DUMMYFUNCTION("""COMPUTED_VALUE"""),43136.0)</f>
        <v>43136</v>
      </c>
      <c r="J178" s="10">
        <f>IFERROR(__xludf.DUMMYFUNCTION("""COMPUTED_VALUE"""),44348.0)</f>
        <v>44348</v>
      </c>
      <c r="K178" s="15">
        <f>IFERROR(__xludf.DUMMYFUNCTION("""COMPUTED_VALUE"""),45444.0)</f>
        <v>45444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7.25" customHeight="1">
      <c r="A179" s="9" t="str">
        <f>IFERROR(__xludf.DUMMYFUNCTION("""COMPUTED_VALUE"""),"Murnan")</f>
        <v>Murnan</v>
      </c>
      <c r="B179" s="8" t="str">
        <f>IFERROR(__xludf.DUMMYFUNCTION("""COMPUTED_VALUE"""),"Joe")</f>
        <v>Joe</v>
      </c>
      <c r="C179" s="8" t="str">
        <f>IFERROR(__xludf.DUMMYFUNCTION("""COMPUTED_VALUE"""),"")</f>
        <v/>
      </c>
      <c r="D179" s="8" t="str">
        <f>IFERROR(__xludf.DUMMYFUNCTION("""COMPUTED_VALUE"""),"UNK")</f>
        <v>UNK</v>
      </c>
      <c r="E179" s="8" t="str">
        <f>IFERROR(__xludf.DUMMYFUNCTION("""COMPUTED_VALUE"""),"England")</f>
        <v>England</v>
      </c>
      <c r="F179" s="8" t="str">
        <f>IFERROR(__xludf.DUMMYFUNCTION("""COMPUTED_VALUE"""),"PDC Merit Ranking")</f>
        <v>PDC Merit Ranking</v>
      </c>
      <c r="G179" s="8" t="str">
        <f>IFERROR(__xludf.DUMMYFUNCTION("""COMPUTED_VALUE"""),"37th")</f>
        <v>37th</v>
      </c>
      <c r="H179" s="8" t="str">
        <f>IFERROR(__xludf.DUMMYFUNCTION("""COMPUTED_VALUE"""),"PDC Merit Ranking")</f>
        <v>PDC Merit Ranking</v>
      </c>
      <c r="I179" s="10">
        <f>IFERROR(__xludf.DUMMYFUNCTION("""COMPUTED_VALUE"""),42767.0)</f>
        <v>42767</v>
      </c>
      <c r="J179" s="10">
        <f>IFERROR(__xludf.DUMMYFUNCTION("""COMPUTED_VALUE"""),43983.0)</f>
        <v>43983</v>
      </c>
      <c r="K179" s="15">
        <f>IFERROR(__xludf.DUMMYFUNCTION("""COMPUTED_VALUE"""),45078.0)</f>
        <v>45078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9" t="str">
        <f>IFERROR(__xludf.DUMMYFUNCTION("""COMPUTED_VALUE"""),"Murschell")</f>
        <v>Murschell</v>
      </c>
      <c r="B180" s="8" t="str">
        <f>IFERROR(__xludf.DUMMYFUNCTION("""COMPUTED_VALUE"""),"Dawson")</f>
        <v>Dawson</v>
      </c>
      <c r="C180" s="8" t="str">
        <f>IFERROR(__xludf.DUMMYFUNCTION("""COMPUTED_VALUE"""),"")</f>
        <v/>
      </c>
      <c r="D180" s="8" t="str">
        <f>IFERROR(__xludf.DUMMYFUNCTION("""COMPUTED_VALUE"""),"UNK")</f>
        <v>UNK</v>
      </c>
      <c r="E180" s="8" t="str">
        <f>IFERROR(__xludf.DUMMYFUNCTION("""COMPUTED_VALUE"""),"Canada")</f>
        <v>Canada</v>
      </c>
      <c r="F180" s="8" t="str">
        <f>IFERROR(__xludf.DUMMYFUNCTION("""COMPUTED_VALUE"""),"NAPDA 2017")</f>
        <v>NAPDA 2017</v>
      </c>
      <c r="G180" s="8" t="str">
        <f>IFERROR(__xludf.DUMMYFUNCTION("""COMPUTED_VALUE"""),"25th")</f>
        <v>25th</v>
      </c>
      <c r="H180" s="8" t="str">
        <f>IFERROR(__xludf.DUMMYFUNCTION("""COMPUTED_VALUE"""),"NAPDA 2017")</f>
        <v>NAPDA 2017</v>
      </c>
      <c r="I180" s="10">
        <f>IFERROR(__xludf.DUMMYFUNCTION("""COMPUTED_VALUE"""),42769.0)</f>
        <v>42769</v>
      </c>
      <c r="J180" s="10">
        <f>IFERROR(__xludf.DUMMYFUNCTION("""COMPUTED_VALUE"""),43983.0)</f>
        <v>43983</v>
      </c>
      <c r="K180" s="15">
        <f>IFERROR(__xludf.DUMMYFUNCTION("""COMPUTED_VALUE"""),45078.0)</f>
        <v>45078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9" t="str">
        <f>IFERROR(__xludf.DUMMYFUNCTION("""COMPUTED_VALUE"""),"Nakamura")</f>
        <v>Nakamura</v>
      </c>
      <c r="B181" s="8" t="str">
        <f>IFERROR(__xludf.DUMMYFUNCTION("""COMPUTED_VALUE"""),"Shuntaro")</f>
        <v>Shuntaro</v>
      </c>
      <c r="C181" s="8" t="str">
        <f>IFERROR(__xludf.DUMMYFUNCTION("""COMPUTED_VALUE"""),"")</f>
        <v/>
      </c>
      <c r="D181" s="8" t="str">
        <f>IFERROR(__xludf.DUMMYFUNCTION("""COMPUTED_VALUE"""),"UNK")</f>
        <v>UNK</v>
      </c>
      <c r="E181" s="8" t="str">
        <f>IFERROR(__xludf.DUMMYFUNCTION("""COMPUTED_VALUE"""),"JAPAN")</f>
        <v>JAPAN</v>
      </c>
      <c r="F181" s="8" t="str">
        <f>IFERROR(__xludf.DUMMYFUNCTION("""COMPUTED_VALUE"""),"DL")</f>
        <v>DL</v>
      </c>
      <c r="G181" s="8" t="str">
        <f>IFERROR(__xludf.DUMMYFUNCTION("""COMPUTED_VALUE"""),"19th")</f>
        <v>19th</v>
      </c>
      <c r="H181" s="8" t="str">
        <f>IFERROR(__xludf.DUMMYFUNCTION("""COMPUTED_VALUE"""),"DL 2018")</f>
        <v>DL 2018</v>
      </c>
      <c r="I181" s="10">
        <f>IFERROR(__xludf.DUMMYFUNCTION("""COMPUTED_VALUE"""),43136.0)</f>
        <v>43136</v>
      </c>
      <c r="J181" s="10">
        <f>IFERROR(__xludf.DUMMYFUNCTION("""COMPUTED_VALUE"""),44348.0)</f>
        <v>44348</v>
      </c>
      <c r="K181" s="15">
        <f>IFERROR(__xludf.DUMMYFUNCTION("""COMPUTED_VALUE"""),45444.0)</f>
        <v>45444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12" t="str">
        <f>IFERROR(__xludf.DUMMYFUNCTION("""COMPUTED_VALUE"""),"Neubert")</f>
        <v>Neubert</v>
      </c>
      <c r="B182" s="13" t="str">
        <f>IFERROR(__xludf.DUMMYFUNCTION("""COMPUTED_VALUE"""),"Michael")</f>
        <v>Michael</v>
      </c>
      <c r="C182" s="13" t="str">
        <f>IFERROR(__xludf.DUMMYFUNCTION("""COMPUTED_VALUE"""),"")</f>
        <v/>
      </c>
      <c r="D182" s="13" t="str">
        <f>IFERROR(__xludf.DUMMYFUNCTION("""COMPUTED_VALUE"""),"UNK")</f>
        <v>UNK</v>
      </c>
      <c r="E182" s="13" t="str">
        <f>IFERROR(__xludf.DUMMYFUNCTION("""COMPUTED_VALUE"""),"UNK")</f>
        <v>UNK</v>
      </c>
      <c r="F182" s="13" t="str">
        <f>IFERROR(__xludf.DUMMYFUNCTION("""COMPUTED_VALUE"""),"ADO 2018")</f>
        <v>ADO 2018</v>
      </c>
      <c r="G182" s="13" t="str">
        <f>IFERROR(__xludf.DUMMYFUNCTION("""COMPUTED_VALUE"""),"33rd")</f>
        <v>33rd</v>
      </c>
      <c r="H182" s="13" t="str">
        <f>IFERROR(__xludf.DUMMYFUNCTION("""COMPUTED_VALUE"""),"ADO 2018")</f>
        <v>ADO 2018</v>
      </c>
      <c r="I182" s="14">
        <f>IFERROR(__xludf.DUMMYFUNCTION("""COMPUTED_VALUE"""),43132.0)</f>
        <v>43132</v>
      </c>
      <c r="J182" s="14">
        <f>IFERROR(__xludf.DUMMYFUNCTION("""COMPUTED_VALUE"""),44348.0)</f>
        <v>44348</v>
      </c>
      <c r="K182" s="15">
        <f>IFERROR(__xludf.DUMMYFUNCTION("""COMPUTED_VALUE"""),45444.0)</f>
        <v>45444</v>
      </c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9" t="str">
        <f>IFERROR(__xludf.DUMMYFUNCTION("""COMPUTED_VALUE"""),"Newman")</f>
        <v>Newman</v>
      </c>
      <c r="B183" s="8" t="str">
        <f>IFERROR(__xludf.DUMMYFUNCTION("""COMPUTED_VALUE"""),"J. D.")</f>
        <v>J. D.</v>
      </c>
      <c r="C183" s="8" t="str">
        <f>IFERROR(__xludf.DUMMYFUNCTION("""COMPUTED_VALUE"""),"")</f>
        <v/>
      </c>
      <c r="D183" s="8" t="str">
        <f>IFERROR(__xludf.DUMMYFUNCTION("""COMPUTED_VALUE"""),"UNK")</f>
        <v>UNK</v>
      </c>
      <c r="E183" s="8" t="str">
        <f>IFERROR(__xludf.DUMMYFUNCTION("""COMPUTED_VALUE"""),"UNK")</f>
        <v>UNK</v>
      </c>
      <c r="F183" s="8" t="str">
        <f>IFERROR(__xludf.DUMMYFUNCTION("""COMPUTED_VALUE"""),"ADO 2018")</f>
        <v>ADO 2018</v>
      </c>
      <c r="G183" s="8" t="str">
        <f>IFERROR(__xludf.DUMMYFUNCTION("""COMPUTED_VALUE"""),"19th")</f>
        <v>19th</v>
      </c>
      <c r="H183" s="8" t="str">
        <f>IFERROR(__xludf.DUMMYFUNCTION("""COMPUTED_VALUE"""),"ADO 2018")</f>
        <v>ADO 2018</v>
      </c>
      <c r="I183" s="10">
        <f>IFERROR(__xludf.DUMMYFUNCTION("""COMPUTED_VALUE"""),43132.0)</f>
        <v>43132</v>
      </c>
      <c r="J183" s="10">
        <f>IFERROR(__xludf.DUMMYFUNCTION("""COMPUTED_VALUE"""),44348.0)</f>
        <v>44348</v>
      </c>
      <c r="K183" s="15">
        <f>IFERROR(__xludf.DUMMYFUNCTION("""COMPUTED_VALUE"""),45444.0)</f>
        <v>45444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9" t="str">
        <f>IFERROR(__xludf.DUMMYFUNCTION("""COMPUTED_VALUE"""),"Newsome")</f>
        <v>Newsome</v>
      </c>
      <c r="B184" s="8" t="str">
        <f>IFERROR(__xludf.DUMMYFUNCTION("""COMPUTED_VALUE"""),"John")</f>
        <v>John</v>
      </c>
      <c r="C184" s="8" t="str">
        <f>IFERROR(__xludf.DUMMYFUNCTION("""COMPUTED_VALUE"""),"Claymont")</f>
        <v>Claymont</v>
      </c>
      <c r="D184" s="8" t="str">
        <f>IFERROR(__xludf.DUMMYFUNCTION("""COMPUTED_VALUE"""),"DE")</f>
        <v>DE</v>
      </c>
      <c r="E184" s="8" t="str">
        <f>IFERROR(__xludf.DUMMYFUNCTION("""COMPUTED_VALUE"""),"USA")</f>
        <v>USA</v>
      </c>
      <c r="F184" s="8" t="str">
        <f>IFERROR(__xludf.DUMMYFUNCTION("""COMPUTED_VALUE"""),"Pro Doubles")</f>
        <v>Pro Doubles</v>
      </c>
      <c r="G184" s="8" t="str">
        <f>IFERROR(__xludf.DUMMYFUNCTION("""COMPUTED_VALUE"""),"3rd")</f>
        <v>3rd</v>
      </c>
      <c r="H184" s="8" t="str">
        <f>IFERROR(__xludf.DUMMYFUNCTION("""COMPUTED_VALUE"""),"BS 33 Finals")</f>
        <v>BS 33 Finals</v>
      </c>
      <c r="I184" s="10">
        <f>IFERROR(__xludf.DUMMYFUNCTION("""COMPUTED_VALUE"""),43252.0)</f>
        <v>43252</v>
      </c>
      <c r="J184" s="10">
        <f>IFERROR(__xludf.DUMMYFUNCTION("""COMPUTED_VALUE"""),44348.0)</f>
        <v>44348</v>
      </c>
      <c r="K184" s="15">
        <f>IFERROR(__xludf.DUMMYFUNCTION("""COMPUTED_VALUE"""),45444.0)</f>
        <v>45444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9" t="str">
        <f>IFERROR(__xludf.DUMMYFUNCTION("""COMPUTED_VALUE"""),"Nichols")</f>
        <v>Nichols</v>
      </c>
      <c r="B185" s="8" t="str">
        <f>IFERROR(__xludf.DUMMYFUNCTION("""COMPUTED_VALUE"""),"Brad")</f>
        <v>Brad</v>
      </c>
      <c r="C185" s="8" t="str">
        <f>IFERROR(__xludf.DUMMYFUNCTION("""COMPUTED_VALUE"""),"Elgin")</f>
        <v>Elgin</v>
      </c>
      <c r="D185" s="8" t="str">
        <f>IFERROR(__xludf.DUMMYFUNCTION("""COMPUTED_VALUE"""),"IL")</f>
        <v>IL</v>
      </c>
      <c r="E185" s="8" t="str">
        <f>IFERROR(__xludf.DUMMYFUNCTION("""COMPUTED_VALUE"""),"USA")</f>
        <v>USA</v>
      </c>
      <c r="F185" s="8" t="str">
        <f>IFERROR(__xludf.DUMMYFUNCTION("""COMPUTED_VALUE"""),"Pro Doubles")</f>
        <v>Pro Doubles</v>
      </c>
      <c r="G185" s="8" t="str">
        <f>IFERROR(__xludf.DUMMYFUNCTION("""COMPUTED_VALUE"""),"2nd")</f>
        <v>2nd</v>
      </c>
      <c r="H185" s="8" t="str">
        <f>IFERROR(__xludf.DUMMYFUNCTION("""COMPUTED_VALUE"""),"BS 33 Finals")</f>
        <v>BS 33 Finals</v>
      </c>
      <c r="I185" s="10">
        <f>IFERROR(__xludf.DUMMYFUNCTION("""COMPUTED_VALUE"""),43252.0)</f>
        <v>43252</v>
      </c>
      <c r="J185" s="10">
        <f>IFERROR(__xludf.DUMMYFUNCTION("""COMPUTED_VALUE"""),44348.0)</f>
        <v>44348</v>
      </c>
      <c r="K185" s="15">
        <f>IFERROR(__xludf.DUMMYFUNCTION("""COMPUTED_VALUE"""),45444.0)</f>
        <v>45444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20.25" customHeight="1">
      <c r="A186" s="9" t="str">
        <f>IFERROR(__xludf.DUMMYFUNCTION("""COMPUTED_VALUE"""),"Nicoll")</f>
        <v>Nicoll</v>
      </c>
      <c r="B186" s="8" t="str">
        <f>IFERROR(__xludf.DUMMYFUNCTION("""COMPUTED_VALUE"""),"Tim")</f>
        <v>Tim</v>
      </c>
      <c r="C186" s="8" t="str">
        <f>IFERROR(__xludf.DUMMYFUNCTION("""COMPUTED_VALUE"""),"Centerville")</f>
        <v>Centerville</v>
      </c>
      <c r="D186" s="8" t="str">
        <f>IFERROR(__xludf.DUMMYFUNCTION("""COMPUTED_VALUE"""),"OH")</f>
        <v>OH</v>
      </c>
      <c r="E186" s="8" t="str">
        <f>IFERROR(__xludf.DUMMYFUNCTION("""COMPUTED_VALUE"""),"USA")</f>
        <v>USA</v>
      </c>
      <c r="F186" s="8" t="str">
        <f>IFERROR(__xludf.DUMMYFUNCTION("""COMPUTED_VALUE"""),"ADO 2018")</f>
        <v>ADO 2018</v>
      </c>
      <c r="G186" s="8" t="str">
        <f>IFERROR(__xludf.DUMMYFUNCTION("""COMPUTED_VALUE"""),"14th")</f>
        <v>14th</v>
      </c>
      <c r="H186" s="8" t="str">
        <f>IFERROR(__xludf.DUMMYFUNCTION("""COMPUTED_VALUE"""),"ADO 2018")</f>
        <v>ADO 2018</v>
      </c>
      <c r="I186" s="10">
        <f>IFERROR(__xludf.DUMMYFUNCTION("""COMPUTED_VALUE"""),43132.0)</f>
        <v>43132</v>
      </c>
      <c r="J186" s="10">
        <f>IFERROR(__xludf.DUMMYFUNCTION("""COMPUTED_VALUE"""),44348.0)</f>
        <v>44348</v>
      </c>
      <c r="K186" s="15">
        <f>IFERROR(__xludf.DUMMYFUNCTION("""COMPUTED_VALUE"""),45444.0)</f>
        <v>45444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9" t="str">
        <f>IFERROR(__xludf.DUMMYFUNCTION("""COMPUTED_VALUE"""),"Noge")</f>
        <v>Noge</v>
      </c>
      <c r="B187" s="8" t="str">
        <f>IFERROR(__xludf.DUMMYFUNCTION("""COMPUTED_VALUE"""),"Shunpei")</f>
        <v>Shunpei</v>
      </c>
      <c r="C187" s="8" t="str">
        <f>IFERROR(__xludf.DUMMYFUNCTION("""COMPUTED_VALUE"""),"")</f>
        <v/>
      </c>
      <c r="D187" s="8" t="str">
        <f>IFERROR(__xludf.DUMMYFUNCTION("""COMPUTED_VALUE"""),"UNK")</f>
        <v>UNK</v>
      </c>
      <c r="E187" s="8" t="str">
        <f>IFERROR(__xludf.DUMMYFUNCTION("""COMPUTED_VALUE"""),"Japan")</f>
        <v>Japan</v>
      </c>
      <c r="F187" s="8" t="str">
        <f>IFERROR(__xludf.DUMMYFUNCTION("""COMPUTED_VALUE"""),"DL")</f>
        <v>DL</v>
      </c>
      <c r="G187" s="8" t="str">
        <f>IFERROR(__xludf.DUMMYFUNCTION("""COMPUTED_VALUE"""),"28th")</f>
        <v>28th</v>
      </c>
      <c r="H187" s="8" t="str">
        <f>IFERROR(__xludf.DUMMYFUNCTION("""COMPUTED_VALUE"""),"DL")</f>
        <v>DL</v>
      </c>
      <c r="I187" s="10">
        <f>IFERROR(__xludf.DUMMYFUNCTION("""COMPUTED_VALUE"""),42767.0)</f>
        <v>42767</v>
      </c>
      <c r="J187" s="10">
        <f>IFERROR(__xludf.DUMMYFUNCTION("""COMPUTED_VALUE"""),43983.0)</f>
        <v>43983</v>
      </c>
      <c r="K187" s="15">
        <f>IFERROR(__xludf.DUMMYFUNCTION("""COMPUTED_VALUE"""),45078.0)</f>
        <v>45078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9" t="str">
        <f>IFERROR(__xludf.DUMMYFUNCTION("""COMPUTED_VALUE"""),"Norris")</f>
        <v>Norris</v>
      </c>
      <c r="B188" s="8" t="str">
        <f>IFERROR(__xludf.DUMMYFUNCTION("""COMPUTED_VALUE"""),"Alan")</f>
        <v>Alan</v>
      </c>
      <c r="C188" s="8" t="str">
        <f>IFERROR(__xludf.DUMMYFUNCTION("""COMPUTED_VALUE"""),"")</f>
        <v/>
      </c>
      <c r="D188" s="8" t="str">
        <f>IFERROR(__xludf.DUMMYFUNCTION("""COMPUTED_VALUE"""),"UNK")</f>
        <v>UNK</v>
      </c>
      <c r="E188" s="8" t="str">
        <f>IFERROR(__xludf.DUMMYFUNCTION("""COMPUTED_VALUE"""),"England")</f>
        <v>England</v>
      </c>
      <c r="F188" s="8" t="str">
        <f>IFERROR(__xludf.DUMMYFUNCTION("""COMPUTED_VALUE"""),"PDC Merit Ranking")</f>
        <v>PDC Merit Ranking</v>
      </c>
      <c r="G188" s="8" t="str">
        <f>IFERROR(__xludf.DUMMYFUNCTION("""COMPUTED_VALUE"""),"15th")</f>
        <v>15th</v>
      </c>
      <c r="H188" s="8" t="str">
        <f>IFERROR(__xludf.DUMMYFUNCTION("""COMPUTED_VALUE"""),"PDC Merit Ranking")</f>
        <v>PDC Merit Ranking</v>
      </c>
      <c r="I188" s="10">
        <f>IFERROR(__xludf.DUMMYFUNCTION("""COMPUTED_VALUE"""),43132.0)</f>
        <v>43132</v>
      </c>
      <c r="J188" s="10">
        <f>IFERROR(__xludf.DUMMYFUNCTION("""COMPUTED_VALUE"""),44348.0)</f>
        <v>44348</v>
      </c>
      <c r="K188" s="15">
        <f>IFERROR(__xludf.DUMMYFUNCTION("""COMPUTED_VALUE"""),45444.0)</f>
        <v>45444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9" t="str">
        <f>IFERROR(__xludf.DUMMYFUNCTION("""COMPUTED_VALUE"""),"Nykanen")</f>
        <v>Nykanen</v>
      </c>
      <c r="B189" s="8" t="str">
        <f>IFERROR(__xludf.DUMMYFUNCTION("""COMPUTED_VALUE"""),"Darrell")</f>
        <v>Darrell</v>
      </c>
      <c r="C189" s="8" t="str">
        <f>IFERROR(__xludf.DUMMYFUNCTION("""COMPUTED_VALUE"""),"Clayton")</f>
        <v>Clayton</v>
      </c>
      <c r="D189" s="8" t="str">
        <f>IFERROR(__xludf.DUMMYFUNCTION("""COMPUTED_VALUE"""),"WI")</f>
        <v>WI</v>
      </c>
      <c r="E189" s="8" t="str">
        <f>IFERROR(__xludf.DUMMYFUNCTION("""COMPUTED_VALUE"""),"USA")</f>
        <v>USA</v>
      </c>
      <c r="F189" s="8" t="str">
        <f>IFERROR(__xludf.DUMMYFUNCTION("""COMPUTED_VALUE"""),"Pro Singles")</f>
        <v>Pro Singles</v>
      </c>
      <c r="G189" s="8" t="str">
        <f>IFERROR(__xludf.DUMMYFUNCTION("""COMPUTED_VALUE"""),"1st")</f>
        <v>1st</v>
      </c>
      <c r="H189" s="8" t="str">
        <f>IFERROR(__xludf.DUMMYFUNCTION("""COMPUTED_VALUE"""),"BS 33 Finals")</f>
        <v>BS 33 Finals</v>
      </c>
      <c r="I189" s="10">
        <f>IFERROR(__xludf.DUMMYFUNCTION("""COMPUTED_VALUE"""),43252.0)</f>
        <v>43252</v>
      </c>
      <c r="J189" s="10">
        <f>IFERROR(__xludf.DUMMYFUNCTION("""COMPUTED_VALUE"""),44348.0)</f>
        <v>44348</v>
      </c>
      <c r="K189" s="15">
        <f>IFERROR(__xludf.DUMMYFUNCTION("""COMPUTED_VALUE"""),45444.0)</f>
        <v>45444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9" t="str">
        <f>IFERROR(__xludf.DUMMYFUNCTION("""COMPUTED_VALUE"""),"O'Brien")</f>
        <v>O'Brien</v>
      </c>
      <c r="B190" s="8" t="str">
        <f>IFERROR(__xludf.DUMMYFUNCTION("""COMPUTED_VALUE"""),"Maria")</f>
        <v>Maria</v>
      </c>
      <c r="C190" s="8" t="str">
        <f>IFERROR(__xludf.DUMMYFUNCTION("""COMPUTED_VALUE"""),"")</f>
        <v/>
      </c>
      <c r="D190" s="8" t="str">
        <f>IFERROR(__xludf.DUMMYFUNCTION("""COMPUTED_VALUE"""),"UNK")</f>
        <v>UNK</v>
      </c>
      <c r="E190" s="8" t="str">
        <f>IFERROR(__xludf.DUMMYFUNCTION("""COMPUTED_VALUE"""),"Great Britain")</f>
        <v>Great Britain</v>
      </c>
      <c r="F190" s="8" t="str">
        <f>IFERROR(__xludf.DUMMYFUNCTION("""COMPUTED_VALUE"""),"Womens A Cricket Singles")</f>
        <v>Womens A Cricket Singles</v>
      </c>
      <c r="G190" s="8" t="str">
        <f>IFERROR(__xludf.DUMMYFUNCTION("""COMPUTED_VALUE"""),"1st")</f>
        <v>1st</v>
      </c>
      <c r="H190" s="8" t="str">
        <f>IFERROR(__xludf.DUMMYFUNCTION("""COMPUTED_VALUE"""),"Euro Bullshooter XXV")</f>
        <v>Euro Bullshooter XXV</v>
      </c>
      <c r="I190" s="10">
        <f>IFERROR(__xludf.DUMMYFUNCTION("""COMPUTED_VALUE"""),42828.0)</f>
        <v>42828</v>
      </c>
      <c r="J190" s="10">
        <f>IFERROR(__xludf.DUMMYFUNCTION("""COMPUTED_VALUE"""),43983.0)</f>
        <v>43983</v>
      </c>
      <c r="K190" s="15">
        <f>IFERROR(__xludf.DUMMYFUNCTION("""COMPUTED_VALUE"""),45078.0)</f>
        <v>45078</v>
      </c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12" t="str">
        <f>IFERROR(__xludf.DUMMYFUNCTION("""COMPUTED_VALUE"""),"Ocampo")</f>
        <v>Ocampo</v>
      </c>
      <c r="B191" s="13" t="str">
        <f>IFERROR(__xludf.DUMMYFUNCTION("""COMPUTED_VALUE"""),"Ryan")</f>
        <v>Ryan</v>
      </c>
      <c r="C191" s="13" t="str">
        <f>IFERROR(__xludf.DUMMYFUNCTION("""COMPUTED_VALUE"""),"")</f>
        <v/>
      </c>
      <c r="D191" s="13" t="str">
        <f>IFERROR(__xludf.DUMMYFUNCTION("""COMPUTED_VALUE"""),"UNK")</f>
        <v>UNK</v>
      </c>
      <c r="E191" s="13" t="str">
        <f>IFERROR(__xludf.DUMMYFUNCTION("""COMPUTED_VALUE"""),"Philippines")</f>
        <v>Philippines</v>
      </c>
      <c r="F191" s="13" t="str">
        <f>IFERROR(__xludf.DUMMYFUNCTION("""COMPUTED_VALUE"""),"DL")</f>
        <v>DL</v>
      </c>
      <c r="G191" s="13" t="str">
        <f>IFERROR(__xludf.DUMMYFUNCTION("""COMPUTED_VALUE"""),"50th")</f>
        <v>50th</v>
      </c>
      <c r="H191" s="13" t="str">
        <f>IFERROR(__xludf.DUMMYFUNCTION("""COMPUTED_VALUE"""),"DL 2018")</f>
        <v>DL 2018</v>
      </c>
      <c r="I191" s="14">
        <f>IFERROR(__xludf.DUMMYFUNCTION("""COMPUTED_VALUE"""),43136.0)</f>
        <v>43136</v>
      </c>
      <c r="J191" s="14">
        <f>IFERROR(__xludf.DUMMYFUNCTION("""COMPUTED_VALUE"""),44348.0)</f>
        <v>44348</v>
      </c>
      <c r="K191" s="15">
        <f>IFERROR(__xludf.DUMMYFUNCTION("""COMPUTED_VALUE"""),45444.0)</f>
        <v>45444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9" t="str">
        <f>IFERROR(__xludf.DUMMYFUNCTION("""COMPUTED_VALUE"""),"Ogasian")</f>
        <v>Ogasian</v>
      </c>
      <c r="B192" s="8" t="str">
        <f>IFERROR(__xludf.DUMMYFUNCTION("""COMPUTED_VALUE"""),"Jay")</f>
        <v>Jay</v>
      </c>
      <c r="C192" s="8" t="str">
        <f>IFERROR(__xludf.DUMMYFUNCTION("""COMPUTED_VALUE"""),"")</f>
        <v/>
      </c>
      <c r="D192" s="8" t="str">
        <f>IFERROR(__xludf.DUMMYFUNCTION("""COMPUTED_VALUE"""),"UNK")</f>
        <v>UNK</v>
      </c>
      <c r="E192" s="8" t="str">
        <f>IFERROR(__xludf.DUMMYFUNCTION("""COMPUTED_VALUE"""),"UNK")</f>
        <v>UNK</v>
      </c>
      <c r="F192" s="8" t="str">
        <f>IFERROR(__xludf.DUMMYFUNCTION("""COMPUTED_VALUE"""),"ADO 2018")</f>
        <v>ADO 2018</v>
      </c>
      <c r="G192" s="8" t="str">
        <f>IFERROR(__xludf.DUMMYFUNCTION("""COMPUTED_VALUE"""),"42nd")</f>
        <v>42nd</v>
      </c>
      <c r="H192" s="8" t="str">
        <f>IFERROR(__xludf.DUMMYFUNCTION("""COMPUTED_VALUE"""),"ADO 2018")</f>
        <v>ADO 2018</v>
      </c>
      <c r="I192" s="10">
        <f>IFERROR(__xludf.DUMMYFUNCTION("""COMPUTED_VALUE"""),43132.0)</f>
        <v>43132</v>
      </c>
      <c r="J192" s="10">
        <f>IFERROR(__xludf.DUMMYFUNCTION("""COMPUTED_VALUE"""),44348.0)</f>
        <v>44348</v>
      </c>
      <c r="K192" s="15">
        <f>IFERROR(__xludf.DUMMYFUNCTION("""COMPUTED_VALUE"""),45444.0)</f>
        <v>45444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9" t="str">
        <f>IFERROR(__xludf.DUMMYFUNCTION("""COMPUTED_VALUE"""),"Oiry")</f>
        <v>Oiry</v>
      </c>
      <c r="B193" s="8" t="str">
        <f>IFERROR(__xludf.DUMMYFUNCTION("""COMPUTED_VALUE"""),"Wilfrid")</f>
        <v>Wilfrid</v>
      </c>
      <c r="C193" s="8" t="str">
        <f>IFERROR(__xludf.DUMMYFUNCTION("""COMPUTED_VALUE"""),"")</f>
        <v/>
      </c>
      <c r="D193" s="8" t="str">
        <f>IFERROR(__xludf.DUMMYFUNCTION("""COMPUTED_VALUE"""),"")</f>
        <v/>
      </c>
      <c r="E193" s="8" t="str">
        <f>IFERROR(__xludf.DUMMYFUNCTION("""COMPUTED_VALUE"""),"France")</f>
        <v>France</v>
      </c>
      <c r="F193" s="8" t="str">
        <f>IFERROR(__xludf.DUMMYFUNCTION("""COMPUTED_VALUE"""),"Pro Cricket Doubles")</f>
        <v>Pro Cricket Doubles</v>
      </c>
      <c r="G193" s="8" t="str">
        <f>IFERROR(__xludf.DUMMYFUNCTION("""COMPUTED_VALUE"""),"1st")</f>
        <v>1st</v>
      </c>
      <c r="H193" s="8" t="str">
        <f>IFERROR(__xludf.DUMMYFUNCTION("""COMPUTED_VALUE"""),"BS 33 Finals")</f>
        <v>BS 33 Finals</v>
      </c>
      <c r="I193" s="10">
        <f>IFERROR(__xludf.DUMMYFUNCTION("""COMPUTED_VALUE"""),43252.0)</f>
        <v>43252</v>
      </c>
      <c r="J193" s="10">
        <f>IFERROR(__xludf.DUMMYFUNCTION("""COMPUTED_VALUE"""),44348.0)</f>
        <v>44348</v>
      </c>
      <c r="K193" s="15">
        <f>IFERROR(__xludf.DUMMYFUNCTION("""COMPUTED_VALUE"""),45444.0)</f>
        <v>45444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9" t="str">
        <f>IFERROR(__xludf.DUMMYFUNCTION("""COMPUTED_VALUE"""),"Olson")</f>
        <v>Olson</v>
      </c>
      <c r="B194" s="8" t="str">
        <f>IFERROR(__xludf.DUMMYFUNCTION("""COMPUTED_VALUE"""),"Dan")</f>
        <v>Dan</v>
      </c>
      <c r="C194" s="8" t="str">
        <f>IFERROR(__xludf.DUMMYFUNCTION("""COMPUTED_VALUE"""),"")</f>
        <v/>
      </c>
      <c r="D194" s="8" t="str">
        <f>IFERROR(__xludf.DUMMYFUNCTION("""COMPUTED_VALUE"""),"UNK")</f>
        <v>UNK</v>
      </c>
      <c r="E194" s="8" t="str">
        <f>IFERROR(__xludf.DUMMYFUNCTION("""COMPUTED_VALUE"""),"Canada")</f>
        <v>Canada</v>
      </c>
      <c r="F194" s="8" t="str">
        <f>IFERROR(__xludf.DUMMYFUNCTION("""COMPUTED_VALUE"""),"NAPDA")</f>
        <v>NAPDA</v>
      </c>
      <c r="G194" s="8" t="str">
        <f>IFERROR(__xludf.DUMMYFUNCTION("""COMPUTED_VALUE"""),"23rd")</f>
        <v>23rd</v>
      </c>
      <c r="H194" s="8" t="str">
        <f>IFERROR(__xludf.DUMMYFUNCTION("""COMPUTED_VALUE"""),"NAPDA 2017")</f>
        <v>NAPDA 2017</v>
      </c>
      <c r="I194" s="10">
        <f>IFERROR(__xludf.DUMMYFUNCTION("""COMPUTED_VALUE"""),42406.0)</f>
        <v>42406</v>
      </c>
      <c r="J194" s="10">
        <f>IFERROR(__xludf.DUMMYFUNCTION("""COMPUTED_VALUE"""),43983.0)</f>
        <v>43983</v>
      </c>
      <c r="K194" s="15">
        <f>IFERROR(__xludf.DUMMYFUNCTION("""COMPUTED_VALUE"""),45078.0)</f>
        <v>45078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9" t="str">
        <f>IFERROR(__xludf.DUMMYFUNCTION("""COMPUTED_VALUE"""),"Osaki")</f>
        <v>Osaki</v>
      </c>
      <c r="B195" s="8" t="str">
        <f>IFERROR(__xludf.DUMMYFUNCTION("""COMPUTED_VALUE"""),"Hirokazu")</f>
        <v>Hirokazu</v>
      </c>
      <c r="C195" s="8" t="str">
        <f>IFERROR(__xludf.DUMMYFUNCTION("""COMPUTED_VALUE"""),"")</f>
        <v/>
      </c>
      <c r="D195" s="8" t="str">
        <f>IFERROR(__xludf.DUMMYFUNCTION("""COMPUTED_VALUE"""),"UNK")</f>
        <v>UNK</v>
      </c>
      <c r="E195" s="8" t="str">
        <f>IFERROR(__xludf.DUMMYFUNCTION("""COMPUTED_VALUE"""),"Japan")</f>
        <v>Japan</v>
      </c>
      <c r="F195" s="8" t="str">
        <f>IFERROR(__xludf.DUMMYFUNCTION("""COMPUTED_VALUE"""),"DL")</f>
        <v>DL</v>
      </c>
      <c r="G195" s="8" t="str">
        <f>IFERROR(__xludf.DUMMYFUNCTION("""COMPUTED_VALUE"""),"35th")</f>
        <v>35th</v>
      </c>
      <c r="H195" s="8" t="str">
        <f>IFERROR(__xludf.DUMMYFUNCTION("""COMPUTED_VALUE"""),"DL")</f>
        <v>DL</v>
      </c>
      <c r="I195" s="10">
        <f>IFERROR(__xludf.DUMMYFUNCTION("""COMPUTED_VALUE"""),42767.0)</f>
        <v>42767</v>
      </c>
      <c r="J195" s="10">
        <f>IFERROR(__xludf.DUMMYFUNCTION("""COMPUTED_VALUE"""),43983.0)</f>
        <v>43983</v>
      </c>
      <c r="K195" s="15">
        <f>IFERROR(__xludf.DUMMYFUNCTION("""COMPUTED_VALUE"""),45078.0)</f>
        <v>45078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9" t="str">
        <f>IFERROR(__xludf.DUMMYFUNCTION("""COMPUTED_VALUE"""),"Oshiro")</f>
        <v>Oshiro</v>
      </c>
      <c r="B196" s="8" t="str">
        <f>IFERROR(__xludf.DUMMYFUNCTION("""COMPUTED_VALUE"""),"Masaki")</f>
        <v>Masaki</v>
      </c>
      <c r="C196" s="8" t="str">
        <f>IFERROR(__xludf.DUMMYFUNCTION("""COMPUTED_VALUE"""),"")</f>
        <v/>
      </c>
      <c r="D196" s="8" t="str">
        <f>IFERROR(__xludf.DUMMYFUNCTION("""COMPUTED_VALUE"""),"UNK")</f>
        <v>UNK</v>
      </c>
      <c r="E196" s="8" t="str">
        <f>IFERROR(__xludf.DUMMYFUNCTION("""COMPUTED_VALUE"""),"JAPAN")</f>
        <v>JAPAN</v>
      </c>
      <c r="F196" s="8" t="str">
        <f>IFERROR(__xludf.DUMMYFUNCTION("""COMPUTED_VALUE"""),"DL")</f>
        <v>DL</v>
      </c>
      <c r="G196" s="8" t="str">
        <f>IFERROR(__xludf.DUMMYFUNCTION("""COMPUTED_VALUE"""),"35th")</f>
        <v>35th</v>
      </c>
      <c r="H196" s="8" t="str">
        <f>IFERROR(__xludf.DUMMYFUNCTION("""COMPUTED_VALUE"""),"DL 2018")</f>
        <v>DL 2018</v>
      </c>
      <c r="I196" s="10">
        <f>IFERROR(__xludf.DUMMYFUNCTION("""COMPUTED_VALUE"""),43136.0)</f>
        <v>43136</v>
      </c>
      <c r="J196" s="10">
        <f>IFERROR(__xludf.DUMMYFUNCTION("""COMPUTED_VALUE"""),44348.0)</f>
        <v>44348</v>
      </c>
      <c r="K196" s="15">
        <f>IFERROR(__xludf.DUMMYFUNCTION("""COMPUTED_VALUE"""),45444.0)</f>
        <v>45444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9" t="str">
        <f>IFERROR(__xludf.DUMMYFUNCTION("""COMPUTED_VALUE"""),"Oxendine")</f>
        <v>Oxendine</v>
      </c>
      <c r="B197" s="8" t="str">
        <f>IFERROR(__xludf.DUMMYFUNCTION("""COMPUTED_VALUE"""),"Brad")</f>
        <v>Brad</v>
      </c>
      <c r="C197" s="8" t="str">
        <f>IFERROR(__xludf.DUMMYFUNCTION("""COMPUTED_VALUE"""),"Herin")</f>
        <v>Herin</v>
      </c>
      <c r="D197" s="8" t="str">
        <f>IFERROR(__xludf.DUMMYFUNCTION("""COMPUTED_VALUE"""),"IL")</f>
        <v>IL</v>
      </c>
      <c r="E197" s="8" t="str">
        <f>IFERROR(__xludf.DUMMYFUNCTION("""COMPUTED_VALUE"""),"USA")</f>
        <v>USA</v>
      </c>
      <c r="F197" s="8" t="str">
        <f>IFERROR(__xludf.DUMMYFUNCTION("""COMPUTED_VALUE"""),"Pro AA Cricket doubles")</f>
        <v>Pro AA Cricket doubles</v>
      </c>
      <c r="G197" s="8" t="str">
        <f>IFERROR(__xludf.DUMMYFUNCTION("""COMPUTED_VALUE"""),"4th")</f>
        <v>4th</v>
      </c>
      <c r="H197" s="8" t="str">
        <f>IFERROR(__xludf.DUMMYFUNCTION("""COMPUTED_VALUE"""),"BullShooter 34 Finals")</f>
        <v>BullShooter 34 Finals</v>
      </c>
      <c r="I197" s="10">
        <f>IFERROR(__xludf.DUMMYFUNCTION("""COMPUTED_VALUE"""),43617.0)</f>
        <v>43617</v>
      </c>
      <c r="J197" s="10">
        <f>IFERROR(__xludf.DUMMYFUNCTION("""COMPUTED_VALUE"""),44713.0)</f>
        <v>44713</v>
      </c>
      <c r="K197" s="15">
        <f>IFERROR(__xludf.DUMMYFUNCTION("""COMPUTED_VALUE"""),45809.0)</f>
        <v>45809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9" t="str">
        <f>IFERROR(__xludf.DUMMYFUNCTION("""COMPUTED_VALUE"""),"Pace")</f>
        <v>Pace</v>
      </c>
      <c r="B198" s="8" t="str">
        <f>IFERROR(__xludf.DUMMYFUNCTION("""COMPUTED_VALUE"""),"Dan")</f>
        <v>Dan</v>
      </c>
      <c r="C198" s="8" t="str">
        <f>IFERROR(__xludf.DUMMYFUNCTION("""COMPUTED_VALUE"""),"Commerce City")</f>
        <v>Commerce City</v>
      </c>
      <c r="D198" s="8" t="str">
        <f>IFERROR(__xludf.DUMMYFUNCTION("""COMPUTED_VALUE"""),"CO")</f>
        <v>CO</v>
      </c>
      <c r="E198" s="8" t="str">
        <f>IFERROR(__xludf.DUMMYFUNCTION("""COMPUTED_VALUE"""),"USA")</f>
        <v>USA</v>
      </c>
      <c r="F198" s="8" t="str">
        <f>IFERROR(__xludf.DUMMYFUNCTION("""COMPUTED_VALUE"""),"ADO 2018")</f>
        <v>ADO 2018</v>
      </c>
      <c r="G198" s="8" t="str">
        <f>IFERROR(__xludf.DUMMYFUNCTION("""COMPUTED_VALUE"""),"15th")</f>
        <v>15th</v>
      </c>
      <c r="H198" s="8" t="str">
        <f>IFERROR(__xludf.DUMMYFUNCTION("""COMPUTED_VALUE"""),"ADO 2018")</f>
        <v>ADO 2018</v>
      </c>
      <c r="I198" s="10">
        <f>IFERROR(__xludf.DUMMYFUNCTION("""COMPUTED_VALUE"""),43132.0)</f>
        <v>43132</v>
      </c>
      <c r="J198" s="10">
        <f>IFERROR(__xludf.DUMMYFUNCTION("""COMPUTED_VALUE"""),44348.0)</f>
        <v>44348</v>
      </c>
      <c r="K198" s="15">
        <f>IFERROR(__xludf.DUMMYFUNCTION("""COMPUTED_VALUE"""),45444.0)</f>
        <v>45444</v>
      </c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9" t="str">
        <f>IFERROR(__xludf.DUMMYFUNCTION("""COMPUTED_VALUE"""),"Padeira")</f>
        <v>Padeira</v>
      </c>
      <c r="B199" s="8" t="str">
        <f>IFERROR(__xludf.DUMMYFUNCTION("""COMPUTED_VALUE"""),"Goncalo")</f>
        <v>Goncalo</v>
      </c>
      <c r="C199" s="8" t="str">
        <f>IFERROR(__xludf.DUMMYFUNCTION("""COMPUTED_VALUE"""),"")</f>
        <v/>
      </c>
      <c r="D199" s="8" t="str">
        <f>IFERROR(__xludf.DUMMYFUNCTION("""COMPUTED_VALUE"""),"UNK")</f>
        <v>UNK</v>
      </c>
      <c r="E199" s="8" t="str">
        <f>IFERROR(__xludf.DUMMYFUNCTION("""COMPUTED_VALUE"""),"Portugal")</f>
        <v>Portugal</v>
      </c>
      <c r="F199" s="8" t="str">
        <f>IFERROR(__xludf.DUMMYFUNCTION("""COMPUTED_VALUE"""),"Pro Team Cricket")</f>
        <v>Pro Team Cricket</v>
      </c>
      <c r="G199" s="8" t="str">
        <f>IFERROR(__xludf.DUMMYFUNCTION("""COMPUTED_VALUE"""),"2nd")</f>
        <v>2nd</v>
      </c>
      <c r="H199" s="8" t="str">
        <f>IFERROR(__xludf.DUMMYFUNCTION("""COMPUTED_VALUE"""),"Euro Bullshooter XXV")</f>
        <v>Euro Bullshooter XXV</v>
      </c>
      <c r="I199" s="10">
        <f>IFERROR(__xludf.DUMMYFUNCTION("""COMPUTED_VALUE"""),42828.0)</f>
        <v>42828</v>
      </c>
      <c r="J199" s="10">
        <f>IFERROR(__xludf.DUMMYFUNCTION("""COMPUTED_VALUE"""),43983.0)</f>
        <v>43983</v>
      </c>
      <c r="K199" s="15">
        <f>IFERROR(__xludf.DUMMYFUNCTION("""COMPUTED_VALUE"""),45078.0)</f>
        <v>45078</v>
      </c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9" t="str">
        <f>IFERROR(__xludf.DUMMYFUNCTION("""COMPUTED_VALUE"""),"Painter")</f>
        <v>Painter</v>
      </c>
      <c r="B200" s="8" t="str">
        <f>IFERROR(__xludf.DUMMYFUNCTION("""COMPUTED_VALUE"""),"Kevin")</f>
        <v>Kevin</v>
      </c>
      <c r="C200" s="8" t="str">
        <f>IFERROR(__xludf.DUMMYFUNCTION("""COMPUTED_VALUE"""),"")</f>
        <v/>
      </c>
      <c r="D200" s="8" t="str">
        <f>IFERROR(__xludf.DUMMYFUNCTION("""COMPUTED_VALUE"""),"UNK")</f>
        <v>UNK</v>
      </c>
      <c r="E200" s="8" t="str">
        <f>IFERROR(__xludf.DUMMYFUNCTION("""COMPUTED_VALUE"""),"England")</f>
        <v>England</v>
      </c>
      <c r="F200" s="8" t="str">
        <f>IFERROR(__xludf.DUMMYFUNCTION("""COMPUTED_VALUE"""),"PDC Merit Ranking")</f>
        <v>PDC Merit Ranking</v>
      </c>
      <c r="G200" s="8" t="str">
        <f>IFERROR(__xludf.DUMMYFUNCTION("""COMPUTED_VALUE"""),"46th")</f>
        <v>46th</v>
      </c>
      <c r="H200" s="8" t="str">
        <f>IFERROR(__xludf.DUMMYFUNCTION("""COMPUTED_VALUE"""),"PDC Merit Ranking")</f>
        <v>PDC Merit Ranking</v>
      </c>
      <c r="I200" s="10">
        <f>IFERROR(__xludf.DUMMYFUNCTION("""COMPUTED_VALUE"""),43132.0)</f>
        <v>43132</v>
      </c>
      <c r="J200" s="10">
        <f>IFERROR(__xludf.DUMMYFUNCTION("""COMPUTED_VALUE"""),44348.0)</f>
        <v>44348</v>
      </c>
      <c r="K200" s="15">
        <f>IFERROR(__xludf.DUMMYFUNCTION("""COMPUTED_VALUE"""),45444.0)</f>
        <v>45444</v>
      </c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9" t="str">
        <f>IFERROR(__xludf.DUMMYFUNCTION("""COMPUTED_VALUE"""),"Pankow")</f>
        <v>Pankow</v>
      </c>
      <c r="B201" s="8" t="str">
        <f>IFERROR(__xludf.DUMMYFUNCTION("""COMPUTED_VALUE"""),"Chuck")</f>
        <v>Chuck</v>
      </c>
      <c r="C201" s="8" t="str">
        <f>IFERROR(__xludf.DUMMYFUNCTION("""COMPUTED_VALUE"""),"")</f>
        <v/>
      </c>
      <c r="D201" s="8" t="str">
        <f>IFERROR(__xludf.DUMMYFUNCTION("""COMPUTED_VALUE"""),"TN")</f>
        <v>TN</v>
      </c>
      <c r="E201" s="8" t="str">
        <f>IFERROR(__xludf.DUMMYFUNCTION("""COMPUTED_VALUE"""),"USA")</f>
        <v>USA</v>
      </c>
      <c r="F201" s="8" t="str">
        <f>IFERROR(__xludf.DUMMYFUNCTION("""COMPUTED_VALUE"""),"ADO 2018")</f>
        <v>ADO 2018</v>
      </c>
      <c r="G201" s="8" t="str">
        <f>IFERROR(__xludf.DUMMYFUNCTION("""COMPUTED_VALUE"""),"43rd")</f>
        <v>43rd</v>
      </c>
      <c r="H201" s="8" t="str">
        <f>IFERROR(__xludf.DUMMYFUNCTION("""COMPUTED_VALUE"""),"ADO 2018")</f>
        <v>ADO 2018</v>
      </c>
      <c r="I201" s="10">
        <f>IFERROR(__xludf.DUMMYFUNCTION("""COMPUTED_VALUE"""),43132.0)</f>
        <v>43132</v>
      </c>
      <c r="J201" s="10">
        <f>IFERROR(__xludf.DUMMYFUNCTION("""COMPUTED_VALUE"""),44348.0)</f>
        <v>44348</v>
      </c>
      <c r="K201" s="15">
        <f>IFERROR(__xludf.DUMMYFUNCTION("""COMPUTED_VALUE"""),45444.0)</f>
        <v>45444</v>
      </c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9" t="str">
        <f>IFERROR(__xludf.DUMMYFUNCTION("""COMPUTED_VALUE"""),"Park")</f>
        <v>Park</v>
      </c>
      <c r="B202" s="8" t="str">
        <f>IFERROR(__xludf.DUMMYFUNCTION("""COMPUTED_VALUE"""),"Hyunchui")</f>
        <v>Hyunchui</v>
      </c>
      <c r="C202" s="8" t="str">
        <f>IFERROR(__xludf.DUMMYFUNCTION("""COMPUTED_VALUE"""),"")</f>
        <v/>
      </c>
      <c r="D202" s="8" t="str">
        <f>IFERROR(__xludf.DUMMYFUNCTION("""COMPUTED_VALUE"""),"UNK")</f>
        <v>UNK</v>
      </c>
      <c r="E202" s="8" t="str">
        <f>IFERROR(__xludf.DUMMYFUNCTION("""COMPUTED_VALUE"""),"KOREA")</f>
        <v>KOREA</v>
      </c>
      <c r="F202" s="8" t="str">
        <f>IFERROR(__xludf.DUMMYFUNCTION("""COMPUTED_VALUE"""),"DL")</f>
        <v>DL</v>
      </c>
      <c r="G202" s="8" t="str">
        <f>IFERROR(__xludf.DUMMYFUNCTION("""COMPUTED_VALUE"""),"13th")</f>
        <v>13th</v>
      </c>
      <c r="H202" s="8" t="str">
        <f>IFERROR(__xludf.DUMMYFUNCTION("""COMPUTED_VALUE"""),"DL 2018")</f>
        <v>DL 2018</v>
      </c>
      <c r="I202" s="10">
        <f>IFERROR(__xludf.DUMMYFUNCTION("""COMPUTED_VALUE"""),43136.0)</f>
        <v>43136</v>
      </c>
      <c r="J202" s="10">
        <f>IFERROR(__xludf.DUMMYFUNCTION("""COMPUTED_VALUE"""),44348.0)</f>
        <v>44348</v>
      </c>
      <c r="K202" s="15">
        <f>IFERROR(__xludf.DUMMYFUNCTION("""COMPUTED_VALUE"""),45444.0)</f>
        <v>45444</v>
      </c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9" t="str">
        <f>IFERROR(__xludf.DUMMYFUNCTION("""COMPUTED_VALUE"""),"Parks")</f>
        <v>Parks</v>
      </c>
      <c r="B203" s="8" t="str">
        <f>IFERROR(__xludf.DUMMYFUNCTION("""COMPUTED_VALUE"""),"Joshua")</f>
        <v>Joshua</v>
      </c>
      <c r="C203" s="8" t="str">
        <f>IFERROR(__xludf.DUMMYFUNCTION("""COMPUTED_VALUE"""),"Winter Haven")</f>
        <v>Winter Haven</v>
      </c>
      <c r="D203" s="8" t="str">
        <f>IFERROR(__xludf.DUMMYFUNCTION("""COMPUTED_VALUE"""),"FL")</f>
        <v>FL</v>
      </c>
      <c r="E203" s="8" t="str">
        <f>IFERROR(__xludf.DUMMYFUNCTION("""COMPUTED_VALUE"""),"USA")</f>
        <v>USA</v>
      </c>
      <c r="F203" s="8" t="str">
        <f>IFERROR(__xludf.DUMMYFUNCTION("""COMPUTED_VALUE"""),"Pro Doubles 501")</f>
        <v>Pro Doubles 501</v>
      </c>
      <c r="G203" s="8" t="str">
        <f>IFERROR(__xludf.DUMMYFUNCTION("""COMPUTED_VALUE"""),"2nd")</f>
        <v>2nd</v>
      </c>
      <c r="H203" s="8" t="str">
        <f>IFERROR(__xludf.DUMMYFUNCTION("""COMPUTED_VALUE"""),"Florida BS 34")</f>
        <v>Florida BS 34</v>
      </c>
      <c r="I203" s="10">
        <f>IFERROR(__xludf.DUMMYFUNCTION("""COMPUTED_VALUE"""),43617.0)</f>
        <v>43617</v>
      </c>
      <c r="J203" s="10">
        <f>IFERROR(__xludf.DUMMYFUNCTION("""COMPUTED_VALUE"""),43983.0)</f>
        <v>43983</v>
      </c>
      <c r="K203" s="15">
        <f>IFERROR(__xludf.DUMMYFUNCTION("""COMPUTED_VALUE"""),45078.0)</f>
        <v>45078</v>
      </c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9" t="str">
        <f>IFERROR(__xludf.DUMMYFUNCTION("""COMPUTED_VALUE"""),"Part")</f>
        <v>Part</v>
      </c>
      <c r="B204" s="8" t="str">
        <f>IFERROR(__xludf.DUMMYFUNCTION("""COMPUTED_VALUE"""),"John")</f>
        <v>John</v>
      </c>
      <c r="C204" s="8" t="str">
        <f>IFERROR(__xludf.DUMMYFUNCTION("""COMPUTED_VALUE"""),"")</f>
        <v/>
      </c>
      <c r="D204" s="8" t="str">
        <f>IFERROR(__xludf.DUMMYFUNCTION("""COMPUTED_VALUE"""),"UNK")</f>
        <v>UNK</v>
      </c>
      <c r="E204" s="8" t="str">
        <f>IFERROR(__xludf.DUMMYFUNCTION("""COMPUTED_VALUE"""),"Canada")</f>
        <v>Canada</v>
      </c>
      <c r="F204" s="8" t="str">
        <f>IFERROR(__xludf.DUMMYFUNCTION("""COMPUTED_VALUE"""),"NAPDA 2018")</f>
        <v>NAPDA 2018</v>
      </c>
      <c r="G204" s="8" t="str">
        <f>IFERROR(__xludf.DUMMYFUNCTION("""COMPUTED_VALUE"""),"19th")</f>
        <v>19th</v>
      </c>
      <c r="H204" s="8" t="str">
        <f>IFERROR(__xludf.DUMMYFUNCTION("""COMPUTED_VALUE"""),"Known Ability")</f>
        <v>Known Ability</v>
      </c>
      <c r="I204" s="10">
        <f>IFERROR(__xludf.DUMMYFUNCTION("""COMPUTED_VALUE"""),43132.0)</f>
        <v>43132</v>
      </c>
      <c r="J204" s="10">
        <f>IFERROR(__xludf.DUMMYFUNCTION("""COMPUTED_VALUE"""),44348.0)</f>
        <v>44348</v>
      </c>
      <c r="K204" s="15">
        <f>IFERROR(__xludf.DUMMYFUNCTION("""COMPUTED_VALUE"""),45809.0)</f>
        <v>45809</v>
      </c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9" t="str">
        <f>IFERROR(__xludf.DUMMYFUNCTION("""COMPUTED_VALUE"""),"Payne")</f>
        <v>Payne</v>
      </c>
      <c r="B205" s="8" t="str">
        <f>IFERROR(__xludf.DUMMYFUNCTION("""COMPUTED_VALUE"""),"Josh")</f>
        <v>Josh</v>
      </c>
      <c r="C205" s="8" t="str">
        <f>IFERROR(__xludf.DUMMYFUNCTION("""COMPUTED_VALUE"""),"")</f>
        <v/>
      </c>
      <c r="D205" s="8" t="str">
        <f>IFERROR(__xludf.DUMMYFUNCTION("""COMPUTED_VALUE"""),"UNK")</f>
        <v>UNK</v>
      </c>
      <c r="E205" s="8" t="str">
        <f>IFERROR(__xludf.DUMMYFUNCTION("""COMPUTED_VALUE"""),"England")</f>
        <v>England</v>
      </c>
      <c r="F205" s="8" t="str">
        <f>IFERROR(__xludf.DUMMYFUNCTION("""COMPUTED_VALUE"""),"PDC Merit Ranking")</f>
        <v>PDC Merit Ranking</v>
      </c>
      <c r="G205" s="8" t="str">
        <f>IFERROR(__xludf.DUMMYFUNCTION("""COMPUTED_VALUE"""),"48th")</f>
        <v>48th</v>
      </c>
      <c r="H205" s="8" t="str">
        <f>IFERROR(__xludf.DUMMYFUNCTION("""COMPUTED_VALUE"""),"PDC Merit Ranking")</f>
        <v>PDC Merit Ranking</v>
      </c>
      <c r="I205" s="10">
        <f>IFERROR(__xludf.DUMMYFUNCTION("""COMPUTED_VALUE"""),43132.0)</f>
        <v>43132</v>
      </c>
      <c r="J205" s="10">
        <f>IFERROR(__xludf.DUMMYFUNCTION("""COMPUTED_VALUE"""),44348.0)</f>
        <v>44348</v>
      </c>
      <c r="K205" s="15">
        <f>IFERROR(__xludf.DUMMYFUNCTION("""COMPUTED_VALUE"""),45444.0)</f>
        <v>45444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9" t="str">
        <f>IFERROR(__xludf.DUMMYFUNCTION("""COMPUTED_VALUE"""),"Payton")</f>
        <v>Payton</v>
      </c>
      <c r="B206" s="8" t="str">
        <f>IFERROR(__xludf.DUMMYFUNCTION("""COMPUTED_VALUE"""),"Mitch")</f>
        <v>Mitch</v>
      </c>
      <c r="C206" s="8" t="str">
        <f>IFERROR(__xludf.DUMMYFUNCTION("""COMPUTED_VALUE"""),"")</f>
        <v/>
      </c>
      <c r="D206" s="8" t="str">
        <f>IFERROR(__xludf.DUMMYFUNCTION("""COMPUTED_VALUE"""),"UNK")</f>
        <v>UNK</v>
      </c>
      <c r="E206" s="8" t="str">
        <f>IFERROR(__xludf.DUMMYFUNCTION("""COMPUTED_VALUE"""),"USA")</f>
        <v>USA</v>
      </c>
      <c r="F206" s="8" t="str">
        <f>IFERROR(__xludf.DUMMYFUNCTION("""COMPUTED_VALUE"""),"NAPDA 2017")</f>
        <v>NAPDA 2017</v>
      </c>
      <c r="G206" s="8" t="str">
        <f>IFERROR(__xludf.DUMMYFUNCTION("""COMPUTED_VALUE"""),"39th")</f>
        <v>39th</v>
      </c>
      <c r="H206" s="8" t="str">
        <f>IFERROR(__xludf.DUMMYFUNCTION("""COMPUTED_VALUE"""),"NAPDA 2017")</f>
        <v>NAPDA 2017</v>
      </c>
      <c r="I206" s="10">
        <f>IFERROR(__xludf.DUMMYFUNCTION("""COMPUTED_VALUE"""),42772.0)</f>
        <v>42772</v>
      </c>
      <c r="J206" s="10">
        <f>IFERROR(__xludf.DUMMYFUNCTION("""COMPUTED_VALUE"""),43983.0)</f>
        <v>43983</v>
      </c>
      <c r="K206" s="15">
        <f>IFERROR(__xludf.DUMMYFUNCTION("""COMPUTED_VALUE"""),45078.0)</f>
        <v>45078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9" t="str">
        <f>IFERROR(__xludf.DUMMYFUNCTION("""COMPUTED_VALUE"""),"Pereira")</f>
        <v>Pereira</v>
      </c>
      <c r="B207" s="8" t="str">
        <f>IFERROR(__xludf.DUMMYFUNCTION("""COMPUTED_VALUE"""),"Jaime")</f>
        <v>Jaime</v>
      </c>
      <c r="C207" s="8" t="str">
        <f>IFERROR(__xludf.DUMMYFUNCTION("""COMPUTED_VALUE"""),"")</f>
        <v/>
      </c>
      <c r="D207" s="8" t="str">
        <f>IFERROR(__xludf.DUMMYFUNCTION("""COMPUTED_VALUE"""),"UNK")</f>
        <v>UNK</v>
      </c>
      <c r="E207" s="8" t="str">
        <f>IFERROR(__xludf.DUMMYFUNCTION("""COMPUTED_VALUE"""),"Portugal")</f>
        <v>Portugal</v>
      </c>
      <c r="F207" s="8" t="str">
        <f>IFERROR(__xludf.DUMMYFUNCTION("""COMPUTED_VALUE"""),"Pro Team Cricket")</f>
        <v>Pro Team Cricket</v>
      </c>
      <c r="G207" s="8" t="str">
        <f>IFERROR(__xludf.DUMMYFUNCTION("""COMPUTED_VALUE"""),"2nd")</f>
        <v>2nd</v>
      </c>
      <c r="H207" s="8" t="str">
        <f>IFERROR(__xludf.DUMMYFUNCTION("""COMPUTED_VALUE"""),"Euro Bullshooter XXV")</f>
        <v>Euro Bullshooter XXV</v>
      </c>
      <c r="I207" s="10">
        <f>IFERROR(__xludf.DUMMYFUNCTION("""COMPUTED_VALUE"""),42828.0)</f>
        <v>42828</v>
      </c>
      <c r="J207" s="10">
        <f>IFERROR(__xludf.DUMMYFUNCTION("""COMPUTED_VALUE"""),43983.0)</f>
        <v>43983</v>
      </c>
      <c r="K207" s="15">
        <f>IFERROR(__xludf.DUMMYFUNCTION("""COMPUTED_VALUE"""),45444.0)</f>
        <v>45444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9" t="str">
        <f>IFERROR(__xludf.DUMMYFUNCTION("""COMPUTED_VALUE"""),"Perry")</f>
        <v>Perry</v>
      </c>
      <c r="B208" s="8" t="str">
        <f>IFERROR(__xludf.DUMMYFUNCTION("""COMPUTED_VALUE"""),"Stan")</f>
        <v>Stan</v>
      </c>
      <c r="C208" s="8" t="str">
        <f>IFERROR(__xludf.DUMMYFUNCTION("""COMPUTED_VALUE"""),"")</f>
        <v/>
      </c>
      <c r="D208" s="8" t="str">
        <f>IFERROR(__xludf.DUMMYFUNCTION("""COMPUTED_VALUE"""),"CA")</f>
        <v>CA</v>
      </c>
      <c r="E208" s="8" t="str">
        <f>IFERROR(__xludf.DUMMYFUNCTION("""COMPUTED_VALUE"""),"USA")</f>
        <v>USA</v>
      </c>
      <c r="F208" s="8" t="str">
        <f>IFERROR(__xludf.DUMMYFUNCTION("""COMPUTED_VALUE"""),"Mens Cricket Doubles")</f>
        <v>Mens Cricket Doubles</v>
      </c>
      <c r="G208" s="8" t="str">
        <f>IFERROR(__xludf.DUMMYFUNCTION("""COMPUTED_VALUE"""),"2nd")</f>
        <v>2nd</v>
      </c>
      <c r="H208" s="8" t="str">
        <f>IFERROR(__xludf.DUMMYFUNCTION("""COMPUTED_VALUE"""),"OFF AA IN 20")</f>
        <v>OFF AA IN 20</v>
      </c>
      <c r="I208" s="10">
        <f>IFERROR(__xludf.DUMMYFUNCTION("""COMPUTED_VALUE"""),43252.0)</f>
        <v>43252</v>
      </c>
      <c r="J208" s="10">
        <f>IFERROR(__xludf.DUMMYFUNCTION("""COMPUTED_VALUE"""),44348.0)</f>
        <v>44348</v>
      </c>
      <c r="K208" s="15">
        <f>IFERROR(__xludf.DUMMYFUNCTION("""COMPUTED_VALUE"""),45444.0)</f>
        <v>45444</v>
      </c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9" t="str">
        <f>IFERROR(__xludf.DUMMYFUNCTION("""COMPUTED_VALUE"""),"Petersen")</f>
        <v>Petersen</v>
      </c>
      <c r="B209" s="8" t="str">
        <f>IFERROR(__xludf.DUMMYFUNCTION("""COMPUTED_VALUE"""),"Devon")</f>
        <v>Devon</v>
      </c>
      <c r="C209" s="8" t="str">
        <f>IFERROR(__xludf.DUMMYFUNCTION("""COMPUTED_VALUE"""),"")</f>
        <v/>
      </c>
      <c r="D209" s="8" t="str">
        <f>IFERROR(__xludf.DUMMYFUNCTION("""COMPUTED_VALUE"""),"UNK")</f>
        <v>UNK</v>
      </c>
      <c r="E209" s="8" t="str">
        <f>IFERROR(__xludf.DUMMYFUNCTION("""COMPUTED_VALUE"""),"South Africa")</f>
        <v>South Africa</v>
      </c>
      <c r="F209" s="8" t="str">
        <f>IFERROR(__xludf.DUMMYFUNCTION("""COMPUTED_VALUE"""),"PDC Merit Ranking")</f>
        <v>PDC Merit Ranking</v>
      </c>
      <c r="G209" s="8" t="str">
        <f>IFERROR(__xludf.DUMMYFUNCTION("""COMPUTED_VALUE"""),"50th")</f>
        <v>50th</v>
      </c>
      <c r="H209" s="8" t="str">
        <f>IFERROR(__xludf.DUMMYFUNCTION("""COMPUTED_VALUE"""),"PDC Merit Ranking")</f>
        <v>PDC Merit Ranking</v>
      </c>
      <c r="I209" s="10">
        <f>IFERROR(__xludf.DUMMYFUNCTION("""COMPUTED_VALUE"""),43132.0)</f>
        <v>43132</v>
      </c>
      <c r="J209" s="10">
        <f>IFERROR(__xludf.DUMMYFUNCTION("""COMPUTED_VALUE"""),44348.0)</f>
        <v>44348</v>
      </c>
      <c r="K209" s="15">
        <f>IFERROR(__xludf.DUMMYFUNCTION("""COMPUTED_VALUE"""),45444.0)</f>
        <v>45444</v>
      </c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9" t="str">
        <f>IFERROR(__xludf.DUMMYFUNCTION("""COMPUTED_VALUE"""),"Phillips")</f>
        <v>Phillips</v>
      </c>
      <c r="B210" s="8" t="str">
        <f>IFERROR(__xludf.DUMMYFUNCTION("""COMPUTED_VALUE"""),"Robbie")</f>
        <v>Robbie</v>
      </c>
      <c r="C210" s="8" t="str">
        <f>IFERROR(__xludf.DUMMYFUNCTION("""COMPUTED_VALUE"""),"")</f>
        <v/>
      </c>
      <c r="D210" s="8" t="str">
        <f>IFERROR(__xludf.DUMMYFUNCTION("""COMPUTED_VALUE"""),"UNK")</f>
        <v>UNK</v>
      </c>
      <c r="E210" s="8" t="str">
        <f>IFERROR(__xludf.DUMMYFUNCTION("""COMPUTED_VALUE"""),"USA")</f>
        <v>USA</v>
      </c>
      <c r="F210" s="8" t="str">
        <f>IFERROR(__xludf.DUMMYFUNCTION("""COMPUTED_VALUE"""),"ADO 2018")</f>
        <v>ADO 2018</v>
      </c>
      <c r="G210" s="8" t="str">
        <f>IFERROR(__xludf.DUMMYFUNCTION("""COMPUTED_VALUE"""),"7th")</f>
        <v>7th</v>
      </c>
      <c r="H210" s="8" t="str">
        <f>IFERROR(__xludf.DUMMYFUNCTION("""COMPUTED_VALUE"""),"ADO 2018")</f>
        <v>ADO 2018</v>
      </c>
      <c r="I210" s="10">
        <f>IFERROR(__xludf.DUMMYFUNCTION("""COMPUTED_VALUE"""),43132.0)</f>
        <v>43132</v>
      </c>
      <c r="J210" s="10">
        <f>IFERROR(__xludf.DUMMYFUNCTION("""COMPUTED_VALUE"""),44348.0)</f>
        <v>44348</v>
      </c>
      <c r="K210" s="15">
        <f>IFERROR(__xludf.DUMMYFUNCTION("""COMPUTED_VALUE"""),45444.0)</f>
        <v>45444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9" t="str">
        <f>IFERROR(__xludf.DUMMYFUNCTION("""COMPUTED_VALUE"""),"Pierre")</f>
        <v>Pierre</v>
      </c>
      <c r="B211" s="8" t="str">
        <f>IFERROR(__xludf.DUMMYFUNCTION("""COMPUTED_VALUE"""),"Fred")</f>
        <v>Fred</v>
      </c>
      <c r="C211" s="8" t="str">
        <f>IFERROR(__xludf.DUMMYFUNCTION("""COMPUTED_VALUE"""),"")</f>
        <v/>
      </c>
      <c r="D211" s="8" t="str">
        <f>IFERROR(__xludf.DUMMYFUNCTION("""COMPUTED_VALUE"""),"UNK")</f>
        <v>UNK</v>
      </c>
      <c r="E211" s="8" t="str">
        <f>IFERROR(__xludf.DUMMYFUNCTION("""COMPUTED_VALUE"""),"Belgium")</f>
        <v>Belgium</v>
      </c>
      <c r="F211" s="8" t="str">
        <f>IFERROR(__xludf.DUMMYFUNCTION("""COMPUTED_VALUE"""),"Pro Team Cricket")</f>
        <v>Pro Team Cricket</v>
      </c>
      <c r="G211" s="8" t="str">
        <f>IFERROR(__xludf.DUMMYFUNCTION("""COMPUTED_VALUE"""),"1st")</f>
        <v>1st</v>
      </c>
      <c r="H211" s="8" t="str">
        <f>IFERROR(__xludf.DUMMYFUNCTION("""COMPUTED_VALUE"""),"Euro Bullshooter XXV")</f>
        <v>Euro Bullshooter XXV</v>
      </c>
      <c r="I211" s="10">
        <f>IFERROR(__xludf.DUMMYFUNCTION("""COMPUTED_VALUE"""),42828.0)</f>
        <v>42828</v>
      </c>
      <c r="J211" s="10">
        <f>IFERROR(__xludf.DUMMYFUNCTION("""COMPUTED_VALUE"""),43983.0)</f>
        <v>43983</v>
      </c>
      <c r="K211" s="15">
        <f>IFERROR(__xludf.DUMMYFUNCTION("""COMPUTED_VALUE"""),44348.0)</f>
        <v>44348</v>
      </c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9" t="str">
        <f>IFERROR(__xludf.DUMMYFUNCTION("""COMPUTED_VALUE"""),"Piloczewski")</f>
        <v>Piloczewski</v>
      </c>
      <c r="B212" s="8" t="str">
        <f>IFERROR(__xludf.DUMMYFUNCTION("""COMPUTED_VALUE"""),"Michael")</f>
        <v>Michael</v>
      </c>
      <c r="C212" s="8" t="str">
        <f>IFERROR(__xludf.DUMMYFUNCTION("""COMPUTED_VALUE"""),"Milwaukee")</f>
        <v>Milwaukee</v>
      </c>
      <c r="D212" s="8" t="str">
        <f>IFERROR(__xludf.DUMMYFUNCTION("""COMPUTED_VALUE"""),"WI")</f>
        <v>WI</v>
      </c>
      <c r="E212" s="8" t="str">
        <f>IFERROR(__xludf.DUMMYFUNCTION("""COMPUTED_VALUE"""),"USA")</f>
        <v>USA</v>
      </c>
      <c r="F212" s="8" t="str">
        <f>IFERROR(__xludf.DUMMYFUNCTION("""COMPUTED_VALUE"""),"Pro AA Luck")</f>
        <v>Pro AA Luck</v>
      </c>
      <c r="G212" s="8" t="str">
        <f>IFERROR(__xludf.DUMMYFUNCTION("""COMPUTED_VALUE"""),"4th")</f>
        <v>4th</v>
      </c>
      <c r="H212" s="8" t="str">
        <f>IFERROR(__xludf.DUMMYFUNCTION("""COMPUTED_VALUE"""),"BullShooter 34 Finals")</f>
        <v>BullShooter 34 Finals</v>
      </c>
      <c r="I212" s="10">
        <f>IFERROR(__xludf.DUMMYFUNCTION("""COMPUTED_VALUE"""),43617.0)</f>
        <v>43617</v>
      </c>
      <c r="J212" s="10">
        <f>IFERROR(__xludf.DUMMYFUNCTION("""COMPUTED_VALUE"""),44713.0)</f>
        <v>44713</v>
      </c>
      <c r="K212" s="15">
        <f>IFERROR(__xludf.DUMMYFUNCTION("""COMPUTED_VALUE"""),45809.0)</f>
        <v>45809</v>
      </c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9" t="str">
        <f>IFERROR(__xludf.DUMMYFUNCTION("""COMPUTED_VALUE"""),"Pipe")</f>
        <v>Pipe</v>
      </c>
      <c r="B213" s="8" t="str">
        <f>IFERROR(__xludf.DUMMYFUNCTION("""COMPUTED_VALUE"""),"Justin")</f>
        <v>Justin</v>
      </c>
      <c r="C213" s="8" t="str">
        <f>IFERROR(__xludf.DUMMYFUNCTION("""COMPUTED_VALUE"""),"")</f>
        <v/>
      </c>
      <c r="D213" s="8" t="str">
        <f>IFERROR(__xludf.DUMMYFUNCTION("""COMPUTED_VALUE"""),"UNK")</f>
        <v>UNK</v>
      </c>
      <c r="E213" s="8" t="str">
        <f>IFERROR(__xludf.DUMMYFUNCTION("""COMPUTED_VALUE"""),"England")</f>
        <v>England</v>
      </c>
      <c r="F213" s="8" t="str">
        <f>IFERROR(__xludf.DUMMYFUNCTION("""COMPUTED_VALUE"""),"PDC Merit Ranking")</f>
        <v>PDC Merit Ranking</v>
      </c>
      <c r="G213" s="8" t="str">
        <f>IFERROR(__xludf.DUMMYFUNCTION("""COMPUTED_VALUE"""),"25th")</f>
        <v>25th</v>
      </c>
      <c r="H213" s="8" t="str">
        <f>IFERROR(__xludf.DUMMYFUNCTION("""COMPUTED_VALUE"""),"PDC Merit Ranking")</f>
        <v>PDC Merit Ranking</v>
      </c>
      <c r="I213" s="10">
        <f>IFERROR(__xludf.DUMMYFUNCTION("""COMPUTED_VALUE"""),43132.0)</f>
        <v>43132</v>
      </c>
      <c r="J213" s="10">
        <f>IFERROR(__xludf.DUMMYFUNCTION("""COMPUTED_VALUE"""),44348.0)</f>
        <v>44348</v>
      </c>
      <c r="K213" s="15">
        <f>IFERROR(__xludf.DUMMYFUNCTION("""COMPUTED_VALUE"""),45444.0)</f>
        <v>45444</v>
      </c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9" t="str">
        <f>IFERROR(__xludf.DUMMYFUNCTION("""COMPUTED_VALUE"""),"Popp")</f>
        <v>Popp</v>
      </c>
      <c r="B214" s="8" t="str">
        <f>IFERROR(__xludf.DUMMYFUNCTION("""COMPUTED_VALUE"""),"Andrew")</f>
        <v>Andrew</v>
      </c>
      <c r="C214" s="8" t="str">
        <f>IFERROR(__xludf.DUMMYFUNCTION("""COMPUTED_VALUE"""),"Kenosha")</f>
        <v>Kenosha</v>
      </c>
      <c r="D214" s="8" t="str">
        <f>IFERROR(__xludf.DUMMYFUNCTION("""COMPUTED_VALUE"""),"WI")</f>
        <v>WI</v>
      </c>
      <c r="E214" s="8" t="str">
        <f>IFERROR(__xludf.DUMMYFUNCTION("""COMPUTED_VALUE"""),"USA")</f>
        <v>USA</v>
      </c>
      <c r="F214" s="8" t="str">
        <f>IFERROR(__xludf.DUMMYFUNCTION("""COMPUTED_VALUE"""),"PRO A/AA Luck")</f>
        <v>PRO A/AA Luck</v>
      </c>
      <c r="G214" s="8" t="str">
        <f>IFERROR(__xludf.DUMMYFUNCTION("""COMPUTED_VALUE"""),"4th")</f>
        <v>4th</v>
      </c>
      <c r="H214" s="8" t="str">
        <f>IFERROR(__xludf.DUMMYFUNCTION("""COMPUTED_VALUE"""),"BS 33 Finals")</f>
        <v>BS 33 Finals</v>
      </c>
      <c r="I214" s="10">
        <f>IFERROR(__xludf.DUMMYFUNCTION("""COMPUTED_VALUE"""),43252.0)</f>
        <v>43252</v>
      </c>
      <c r="J214" s="10">
        <f>IFERROR(__xludf.DUMMYFUNCTION("""COMPUTED_VALUE"""),44348.0)</f>
        <v>44348</v>
      </c>
      <c r="K214" s="15">
        <f>IFERROR(__xludf.DUMMYFUNCTION("""COMPUTED_VALUE"""),45444.0)</f>
        <v>45444</v>
      </c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9" t="str">
        <f>IFERROR(__xludf.DUMMYFUNCTION("""COMPUTED_VALUE"""),"Porter")</f>
        <v>Porter</v>
      </c>
      <c r="B215" s="8" t="str">
        <f>IFERROR(__xludf.DUMMYFUNCTION("""COMPUTED_VALUE"""),"Brad")</f>
        <v>Brad</v>
      </c>
      <c r="C215" s="8" t="str">
        <f>IFERROR(__xludf.DUMMYFUNCTION("""COMPUTED_VALUE"""),"Shishewana")</f>
        <v>Shishewana</v>
      </c>
      <c r="D215" s="8" t="str">
        <f>IFERROR(__xludf.DUMMYFUNCTION("""COMPUTED_VALUE"""),"IN")</f>
        <v>IN</v>
      </c>
      <c r="E215" s="8" t="str">
        <f>IFERROR(__xludf.DUMMYFUNCTION("""COMPUTED_VALUE"""),"USA")</f>
        <v>USA</v>
      </c>
      <c r="F215" s="8" t="str">
        <f>IFERROR(__xludf.DUMMYFUNCTION("""COMPUTED_VALUE"""),"Pro Doubles")</f>
        <v>Pro Doubles</v>
      </c>
      <c r="G215" s="8" t="str">
        <f>IFERROR(__xludf.DUMMYFUNCTION("""COMPUTED_VALUE"""),"3rd")</f>
        <v>3rd</v>
      </c>
      <c r="H215" s="8" t="str">
        <f>IFERROR(__xludf.DUMMYFUNCTION("""COMPUTED_VALUE"""),"OFF AA IN 20")</f>
        <v>OFF AA IN 20</v>
      </c>
      <c r="I215" s="10">
        <f>IFERROR(__xludf.DUMMYFUNCTION("""COMPUTED_VALUE"""),43252.0)</f>
        <v>43252</v>
      </c>
      <c r="J215" s="10">
        <f>IFERROR(__xludf.DUMMYFUNCTION("""COMPUTED_VALUE"""),44348.0)</f>
        <v>44348</v>
      </c>
      <c r="K215" s="15">
        <f>IFERROR(__xludf.DUMMYFUNCTION("""COMPUTED_VALUE"""),45444.0)</f>
        <v>45444</v>
      </c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9" t="str">
        <f>IFERROR(__xludf.DUMMYFUNCTION("""COMPUTED_VALUE"""),"Pratt")</f>
        <v>Pratt</v>
      </c>
      <c r="B216" s="8" t="str">
        <f>IFERROR(__xludf.DUMMYFUNCTION("""COMPUTED_VALUE"""),"Robert")</f>
        <v>Robert</v>
      </c>
      <c r="C216" s="8" t="str">
        <f>IFERROR(__xludf.DUMMYFUNCTION("""COMPUTED_VALUE"""),"Tomball")</f>
        <v>Tomball</v>
      </c>
      <c r="D216" s="8" t="str">
        <f>IFERROR(__xludf.DUMMYFUNCTION("""COMPUTED_VALUE"""),"TX")</f>
        <v>TX</v>
      </c>
      <c r="E216" s="8" t="str">
        <f>IFERROR(__xludf.DUMMYFUNCTION("""COMPUTED_VALUE"""),"USA")</f>
        <v>USA</v>
      </c>
      <c r="F216" s="8" t="str">
        <f>IFERROR(__xludf.DUMMYFUNCTION("""COMPUTED_VALUE"""),"PRO A/AA Luck")</f>
        <v>PRO A/AA Luck</v>
      </c>
      <c r="G216" s="8" t="str">
        <f>IFERROR(__xludf.DUMMYFUNCTION("""COMPUTED_VALUE"""),"2nd")</f>
        <v>2nd</v>
      </c>
      <c r="H216" s="8" t="str">
        <f>IFERROR(__xludf.DUMMYFUNCTION("""COMPUTED_VALUE"""),"BS 33 Finals")</f>
        <v>BS 33 Finals</v>
      </c>
      <c r="I216" s="10">
        <f>IFERROR(__xludf.DUMMYFUNCTION("""COMPUTED_VALUE"""),43252.0)</f>
        <v>43252</v>
      </c>
      <c r="J216" s="10">
        <f>IFERROR(__xludf.DUMMYFUNCTION("""COMPUTED_VALUE"""),44348.0)</f>
        <v>44348</v>
      </c>
      <c r="K216" s="15">
        <f>IFERROR(__xludf.DUMMYFUNCTION("""COMPUTED_VALUE"""),45444.0)</f>
        <v>45444</v>
      </c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9" t="str">
        <f>IFERROR(__xludf.DUMMYFUNCTION("""COMPUTED_VALUE"""),"Price")</f>
        <v>Price</v>
      </c>
      <c r="B217" s="8" t="str">
        <f>IFERROR(__xludf.DUMMYFUNCTION("""COMPUTED_VALUE"""),"Gerwyn")</f>
        <v>Gerwyn</v>
      </c>
      <c r="C217" s="8" t="str">
        <f>IFERROR(__xludf.DUMMYFUNCTION("""COMPUTED_VALUE"""),"")</f>
        <v/>
      </c>
      <c r="D217" s="8" t="str">
        <f>IFERROR(__xludf.DUMMYFUNCTION("""COMPUTED_VALUE"""),"UNK")</f>
        <v>UNK</v>
      </c>
      <c r="E217" s="8" t="str">
        <f>IFERROR(__xludf.DUMMYFUNCTION("""COMPUTED_VALUE"""),"Wales")</f>
        <v>Wales</v>
      </c>
      <c r="F217" s="8" t="str">
        <f>IFERROR(__xludf.DUMMYFUNCTION("""COMPUTED_VALUE"""),"PDC Merit Ranking")</f>
        <v>PDC Merit Ranking</v>
      </c>
      <c r="G217" s="8" t="str">
        <f>IFERROR(__xludf.DUMMYFUNCTION("""COMPUTED_VALUE"""),"12th")</f>
        <v>12th</v>
      </c>
      <c r="H217" s="8" t="str">
        <f>IFERROR(__xludf.DUMMYFUNCTION("""COMPUTED_VALUE"""),"PDC Merit Ranking")</f>
        <v>PDC Merit Ranking</v>
      </c>
      <c r="I217" s="10">
        <f>IFERROR(__xludf.DUMMYFUNCTION("""COMPUTED_VALUE"""),43132.0)</f>
        <v>43132</v>
      </c>
      <c r="J217" s="10">
        <f>IFERROR(__xludf.DUMMYFUNCTION("""COMPUTED_VALUE"""),44348.0)</f>
        <v>44348</v>
      </c>
      <c r="K217" s="15">
        <f>IFERROR(__xludf.DUMMYFUNCTION("""COMPUTED_VALUE"""),45444.0)</f>
        <v>45444</v>
      </c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9" t="str">
        <f>IFERROR(__xludf.DUMMYFUNCTION("""COMPUTED_VALUE"""),"Puleo")</f>
        <v>Puleo</v>
      </c>
      <c r="B218" s="8" t="str">
        <f>IFERROR(__xludf.DUMMYFUNCTION("""COMPUTED_VALUE"""),"Charles")</f>
        <v>Charles</v>
      </c>
      <c r="C218" s="8" t="str">
        <f>IFERROR(__xludf.DUMMYFUNCTION("""COMPUTED_VALUE"""),"Mesa")</f>
        <v>Mesa</v>
      </c>
      <c r="D218" s="8" t="str">
        <f>IFERROR(__xludf.DUMMYFUNCTION("""COMPUTED_VALUE"""),"AZ")</f>
        <v>AZ</v>
      </c>
      <c r="E218" s="8" t="str">
        <f>IFERROR(__xludf.DUMMYFUNCTION("""COMPUTED_VALUE"""),"USA")</f>
        <v>USA</v>
      </c>
      <c r="F218" s="8" t="str">
        <f>IFERROR(__xludf.DUMMYFUNCTION("""COMPUTED_VALUE"""),"2018 NAPDA")</f>
        <v>2018 NAPDA</v>
      </c>
      <c r="G218" s="8" t="str">
        <f>IFERROR(__xludf.DUMMYFUNCTION("""COMPUTED_VALUE"""),"13th")</f>
        <v>13th</v>
      </c>
      <c r="H218" s="8" t="str">
        <f>IFERROR(__xludf.DUMMYFUNCTION("""COMPUTED_VALUE"""),"2018 NAPDA")</f>
        <v>2018 NAPDA</v>
      </c>
      <c r="I218" s="10">
        <f>IFERROR(__xludf.DUMMYFUNCTION("""COMPUTED_VALUE"""),43132.0)</f>
        <v>43132</v>
      </c>
      <c r="J218" s="10">
        <f>IFERROR(__xludf.DUMMYFUNCTION("""COMPUTED_VALUE"""),44348.0)</f>
        <v>44348</v>
      </c>
      <c r="K218" s="15">
        <f>IFERROR(__xludf.DUMMYFUNCTION("""COMPUTED_VALUE"""),45444.0)</f>
        <v>45444</v>
      </c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9" t="str">
        <f>IFERROR(__xludf.DUMMYFUNCTION("""COMPUTED_VALUE"""),"Ramcharan")</f>
        <v>Ramcharan</v>
      </c>
      <c r="B219" s="8" t="str">
        <f>IFERROR(__xludf.DUMMYFUNCTION("""COMPUTED_VALUE"""),"Donnie")</f>
        <v>Donnie</v>
      </c>
      <c r="C219" s="8" t="str">
        <f>IFERROR(__xludf.DUMMYFUNCTION("""COMPUTED_VALUE"""),"Oklahoma City")</f>
        <v>Oklahoma City</v>
      </c>
      <c r="D219" s="8" t="str">
        <f>IFERROR(__xludf.DUMMYFUNCTION("""COMPUTED_VALUE"""),"OK")</f>
        <v>OK</v>
      </c>
      <c r="E219" s="8" t="str">
        <f>IFERROR(__xludf.DUMMYFUNCTION("""COMPUTED_VALUE"""),"USA")</f>
        <v>USA</v>
      </c>
      <c r="F219" s="8" t="str">
        <f>IFERROR(__xludf.DUMMYFUNCTION("""COMPUTED_VALUE"""),"Pro Doubles 501")</f>
        <v>Pro Doubles 501</v>
      </c>
      <c r="G219" s="8" t="str">
        <f>IFERROR(__xludf.DUMMYFUNCTION("""COMPUTED_VALUE"""),"1st")</f>
        <v>1st</v>
      </c>
      <c r="H219" s="8" t="str">
        <f>IFERROR(__xludf.DUMMYFUNCTION("""COMPUTED_VALUE"""),"Texas BS 34")</f>
        <v>Texas BS 34</v>
      </c>
      <c r="I219" s="10">
        <f>IFERROR(__xludf.DUMMYFUNCTION("""COMPUTED_VALUE"""),43617.0)</f>
        <v>43617</v>
      </c>
      <c r="J219" s="10">
        <f>IFERROR(__xludf.DUMMYFUNCTION("""COMPUTED_VALUE"""),44348.0)</f>
        <v>44348</v>
      </c>
      <c r="K219" s="15">
        <f>IFERROR(__xludf.DUMMYFUNCTION("""COMPUTED_VALUE"""),45444.0)</f>
        <v>45444</v>
      </c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9" t="str">
        <f>IFERROR(__xludf.DUMMYFUNCTION("""COMPUTED_VALUE"""),"Ramos")</f>
        <v>Ramos</v>
      </c>
      <c r="B220" s="8" t="str">
        <f>IFERROR(__xludf.DUMMYFUNCTION("""COMPUTED_VALUE"""),"Joel")</f>
        <v>Joel</v>
      </c>
      <c r="C220" s="8" t="str">
        <f>IFERROR(__xludf.DUMMYFUNCTION("""COMPUTED_VALUE"""),"Rochelle")</f>
        <v>Rochelle</v>
      </c>
      <c r="D220" s="8" t="str">
        <f>IFERROR(__xludf.DUMMYFUNCTION("""COMPUTED_VALUE"""),"IL")</f>
        <v>IL</v>
      </c>
      <c r="E220" s="8" t="str">
        <f>IFERROR(__xludf.DUMMYFUNCTION("""COMPUTED_VALUE"""),"USA")</f>
        <v>USA</v>
      </c>
      <c r="F220" s="8" t="str">
        <f>IFERROR(__xludf.DUMMYFUNCTION("""COMPUTED_VALUE"""),"Pro AA Doubles")</f>
        <v>Pro AA Doubles</v>
      </c>
      <c r="G220" s="8" t="str">
        <f>IFERROR(__xludf.DUMMYFUNCTION("""COMPUTED_VALUE"""),"3rd")</f>
        <v>3rd</v>
      </c>
      <c r="H220" s="8" t="str">
        <f>IFERROR(__xludf.DUMMYFUNCTION("""COMPUTED_VALUE"""),"BullShooter 32")</f>
        <v>BullShooter 32</v>
      </c>
      <c r="I220" s="10">
        <f>IFERROR(__xludf.DUMMYFUNCTION("""COMPUTED_VALUE"""),42887.0)</f>
        <v>42887</v>
      </c>
      <c r="J220" s="10">
        <f>IFERROR(__xludf.DUMMYFUNCTION("""COMPUTED_VALUE"""),43983.0)</f>
        <v>43983</v>
      </c>
      <c r="K220" s="15">
        <f>IFERROR(__xludf.DUMMYFUNCTION("""COMPUTED_VALUE"""),45078.0)</f>
        <v>45078</v>
      </c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9" t="str">
        <f>IFERROR(__xludf.DUMMYFUNCTION("""COMPUTED_VALUE"""),"Remick")</f>
        <v>Remick</v>
      </c>
      <c r="B221" s="8" t="str">
        <f>IFERROR(__xludf.DUMMYFUNCTION("""COMPUTED_VALUE"""),"Levi")</f>
        <v>Levi</v>
      </c>
      <c r="C221" s="8" t="str">
        <f>IFERROR(__xludf.DUMMYFUNCTION("""COMPUTED_VALUE"""),"")</f>
        <v/>
      </c>
      <c r="D221" s="8" t="str">
        <f>IFERROR(__xludf.DUMMYFUNCTION("""COMPUTED_VALUE"""),"UNK")</f>
        <v>UNK</v>
      </c>
      <c r="E221" s="8" t="str">
        <f>IFERROR(__xludf.DUMMYFUNCTION("""COMPUTED_VALUE"""),"UNK")</f>
        <v>UNK</v>
      </c>
      <c r="F221" s="8" t="str">
        <f>IFERROR(__xludf.DUMMYFUNCTION("""COMPUTED_VALUE"""),"ADO 2017")</f>
        <v>ADO 2017</v>
      </c>
      <c r="G221" s="8" t="str">
        <f>IFERROR(__xludf.DUMMYFUNCTION("""COMPUTED_VALUE"""),"20th")</f>
        <v>20th</v>
      </c>
      <c r="H221" s="8" t="str">
        <f>IFERROR(__xludf.DUMMYFUNCTION("""COMPUTED_VALUE"""),"ADO 2017")</f>
        <v>ADO 2017</v>
      </c>
      <c r="I221" s="10">
        <f>IFERROR(__xludf.DUMMYFUNCTION("""COMPUTED_VALUE"""),42765.0)</f>
        <v>42765</v>
      </c>
      <c r="J221" s="10">
        <f>IFERROR(__xludf.DUMMYFUNCTION("""COMPUTED_VALUE"""),43983.0)</f>
        <v>43983</v>
      </c>
      <c r="K221" s="15">
        <f>IFERROR(__xludf.DUMMYFUNCTION("""COMPUTED_VALUE"""),45078.0)</f>
        <v>45078</v>
      </c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9" t="str">
        <f>IFERROR(__xludf.DUMMYFUNCTION("""COMPUTED_VALUE"""),"Reyes")</f>
        <v>Reyes</v>
      </c>
      <c r="B222" s="8" t="str">
        <f>IFERROR(__xludf.DUMMYFUNCTION("""COMPUTED_VALUE"""),"Alex")</f>
        <v>Alex</v>
      </c>
      <c r="C222" s="8" t="str">
        <f>IFERROR(__xludf.DUMMYFUNCTION("""COMPUTED_VALUE"""),"Floresville")</f>
        <v>Floresville</v>
      </c>
      <c r="D222" s="8" t="str">
        <f>IFERROR(__xludf.DUMMYFUNCTION("""COMPUTED_VALUE"""),"TX")</f>
        <v>TX</v>
      </c>
      <c r="E222" s="8" t="str">
        <f>IFERROR(__xludf.DUMMYFUNCTION("""COMPUTED_VALUE"""),"USA")</f>
        <v>USA</v>
      </c>
      <c r="F222" s="8" t="str">
        <f>IFERROR(__xludf.DUMMYFUNCTION("""COMPUTED_VALUE"""),"Pro AA 501 Doubles")</f>
        <v>Pro AA 501 Doubles</v>
      </c>
      <c r="G222" s="8" t="str">
        <f>IFERROR(__xludf.DUMMYFUNCTION("""COMPUTED_VALUE"""),"1st")</f>
        <v>1st</v>
      </c>
      <c r="H222" s="8" t="str">
        <f>IFERROR(__xludf.DUMMYFUNCTION("""COMPUTED_VALUE"""),"BullShooter 34 Finals")</f>
        <v>BullShooter 34 Finals</v>
      </c>
      <c r="I222" s="10">
        <f>IFERROR(__xludf.DUMMYFUNCTION("""COMPUTED_VALUE"""),43617.0)</f>
        <v>43617</v>
      </c>
      <c r="J222" s="10">
        <f>IFERROR(__xludf.DUMMYFUNCTION("""COMPUTED_VALUE"""),44713.0)</f>
        <v>44713</v>
      </c>
      <c r="K222" s="15">
        <f>IFERROR(__xludf.DUMMYFUNCTION("""COMPUTED_VALUE"""),45809.0)</f>
        <v>45809</v>
      </c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9" t="str">
        <f>IFERROR(__xludf.DUMMYFUNCTION("""COMPUTED_VALUE"""),"Reyes")</f>
        <v>Reyes</v>
      </c>
      <c r="B223" s="8" t="str">
        <f>IFERROR(__xludf.DUMMYFUNCTION("""COMPUTED_VALUE"""),"Cristo")</f>
        <v>Cristo</v>
      </c>
      <c r="C223" s="8" t="str">
        <f>IFERROR(__xludf.DUMMYFUNCTION("""COMPUTED_VALUE"""),"")</f>
        <v/>
      </c>
      <c r="D223" s="8" t="str">
        <f>IFERROR(__xludf.DUMMYFUNCTION("""COMPUTED_VALUE"""),"UNK")</f>
        <v>UNK</v>
      </c>
      <c r="E223" s="8" t="str">
        <f>IFERROR(__xludf.DUMMYFUNCTION("""COMPUTED_VALUE"""),"Spain")</f>
        <v>Spain</v>
      </c>
      <c r="F223" s="8" t="str">
        <f>IFERROR(__xludf.DUMMYFUNCTION("""COMPUTED_VALUE"""),"PDC Merit Ranking")</f>
        <v>PDC Merit Ranking</v>
      </c>
      <c r="G223" s="8" t="str">
        <f>IFERROR(__xludf.DUMMYFUNCTION("""COMPUTED_VALUE"""),"28th")</f>
        <v>28th</v>
      </c>
      <c r="H223" s="8" t="str">
        <f>IFERROR(__xludf.DUMMYFUNCTION("""COMPUTED_VALUE"""),"PDC Merit Ranking")</f>
        <v>PDC Merit Ranking</v>
      </c>
      <c r="I223" s="10">
        <f>IFERROR(__xludf.DUMMYFUNCTION("""COMPUTED_VALUE"""),43132.0)</f>
        <v>43132</v>
      </c>
      <c r="J223" s="10">
        <f>IFERROR(__xludf.DUMMYFUNCTION("""COMPUTED_VALUE"""),44348.0)</f>
        <v>44348</v>
      </c>
      <c r="K223" s="15">
        <f>IFERROR(__xludf.DUMMYFUNCTION("""COMPUTED_VALUE"""),45444.0)</f>
        <v>45444</v>
      </c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9" t="str">
        <f>IFERROR(__xludf.DUMMYFUNCTION("""COMPUTED_VALUE"""),"Richardson")</f>
        <v>Richardson</v>
      </c>
      <c r="B224" s="8" t="str">
        <f>IFERROR(__xludf.DUMMYFUNCTION("""COMPUTED_VALUE"""),"Dave")</f>
        <v>Dave</v>
      </c>
      <c r="C224" s="8" t="str">
        <f>IFERROR(__xludf.DUMMYFUNCTION("""COMPUTED_VALUE"""),"")</f>
        <v/>
      </c>
      <c r="D224" s="8" t="str">
        <f>IFERROR(__xludf.DUMMYFUNCTION("""COMPUTED_VALUE"""),"CA")</f>
        <v>CA</v>
      </c>
      <c r="E224" s="8" t="str">
        <f>IFERROR(__xludf.DUMMYFUNCTION("""COMPUTED_VALUE"""),"USA")</f>
        <v>USA</v>
      </c>
      <c r="F224" s="8" t="str">
        <f>IFERROR(__xludf.DUMMYFUNCTION("""COMPUTED_VALUE"""),"NAPDA 2017")</f>
        <v>NAPDA 2017</v>
      </c>
      <c r="G224" s="8" t="str">
        <f>IFERROR(__xludf.DUMMYFUNCTION("""COMPUTED_VALUE"""),"46th")</f>
        <v>46th</v>
      </c>
      <c r="H224" s="8" t="str">
        <f>IFERROR(__xludf.DUMMYFUNCTION("""COMPUTED_VALUE"""),"NAPDA 2017")</f>
        <v>NAPDA 2017</v>
      </c>
      <c r="I224" s="10">
        <f>IFERROR(__xludf.DUMMYFUNCTION("""COMPUTED_VALUE"""),42772.0)</f>
        <v>42772</v>
      </c>
      <c r="J224" s="10">
        <f>IFERROR(__xludf.DUMMYFUNCTION("""COMPUTED_VALUE"""),43983.0)</f>
        <v>43983</v>
      </c>
      <c r="K224" s="15">
        <f>IFERROR(__xludf.DUMMYFUNCTION("""COMPUTED_VALUE"""),45078.0)</f>
        <v>45078</v>
      </c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9" t="str">
        <f>IFERROR(__xludf.DUMMYFUNCTION("""COMPUTED_VALUE"""),"Rivera")</f>
        <v>Rivera</v>
      </c>
      <c r="B225" s="8" t="str">
        <f>IFERROR(__xludf.DUMMYFUNCTION("""COMPUTED_VALUE"""),"Jesse")</f>
        <v>Jesse</v>
      </c>
      <c r="C225" s="8" t="str">
        <f>IFERROR(__xludf.DUMMYFUNCTION("""COMPUTED_VALUE"""),"Elmhurst")</f>
        <v>Elmhurst</v>
      </c>
      <c r="D225" s="8" t="str">
        <f>IFERROR(__xludf.DUMMYFUNCTION("""COMPUTED_VALUE"""),"IL")</f>
        <v>IL</v>
      </c>
      <c r="E225" s="8" t="str">
        <f>IFERROR(__xludf.DUMMYFUNCTION("""COMPUTED_VALUE"""),"USA")</f>
        <v>USA</v>
      </c>
      <c r="F225" s="8" t="str">
        <f>IFERROR(__xludf.DUMMYFUNCTION("""COMPUTED_VALUE"""),"Pro/AA Cricket Luck")</f>
        <v>Pro/AA Cricket Luck</v>
      </c>
      <c r="G225" s="8" t="str">
        <f>IFERROR(__xludf.DUMMYFUNCTION("""COMPUTED_VALUE"""),"4th")</f>
        <v>4th</v>
      </c>
      <c r="H225" s="8" t="str">
        <f>IFERROR(__xludf.DUMMYFUNCTION("""COMPUTED_VALUE"""),"BullShooter 32")</f>
        <v>BullShooter 32</v>
      </c>
      <c r="I225" s="10">
        <f>IFERROR(__xludf.DUMMYFUNCTION("""COMPUTED_VALUE"""),42887.0)</f>
        <v>42887</v>
      </c>
      <c r="J225" s="10">
        <f>IFERROR(__xludf.DUMMYFUNCTION("""COMPUTED_VALUE"""),43983.0)</f>
        <v>43983</v>
      </c>
      <c r="K225" s="15">
        <f>IFERROR(__xludf.DUMMYFUNCTION("""COMPUTED_VALUE"""),45078.0)</f>
        <v>45078</v>
      </c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9" t="str">
        <f>IFERROR(__xludf.DUMMYFUNCTION("""COMPUTED_VALUE"""),"Robbins")</f>
        <v>Robbins</v>
      </c>
      <c r="B226" s="8" t="str">
        <f>IFERROR(__xludf.DUMMYFUNCTION("""COMPUTED_VALUE"""),"Bruce")</f>
        <v>Bruce</v>
      </c>
      <c r="C226" s="8" t="str">
        <f>IFERROR(__xludf.DUMMYFUNCTION("""COMPUTED_VALUE"""),"UNK")</f>
        <v>UNK</v>
      </c>
      <c r="D226" s="8" t="str">
        <f>IFERROR(__xludf.DUMMYFUNCTION("""COMPUTED_VALUE"""),"UNK")</f>
        <v>UNK</v>
      </c>
      <c r="E226" s="8" t="str">
        <f>IFERROR(__xludf.DUMMYFUNCTION("""COMPUTED_VALUE"""),"UNK")</f>
        <v>UNK</v>
      </c>
      <c r="F226" s="8" t="str">
        <f>IFERROR(__xludf.DUMMYFUNCTION("""COMPUTED_VALUE"""),"ADO 2018")</f>
        <v>ADO 2018</v>
      </c>
      <c r="G226" s="8" t="str">
        <f>IFERROR(__xludf.DUMMYFUNCTION("""COMPUTED_VALUE"""),"17th")</f>
        <v>17th</v>
      </c>
      <c r="H226" s="8" t="str">
        <f>IFERROR(__xludf.DUMMYFUNCTION("""COMPUTED_VALUE"""),"ADO 2018")</f>
        <v>ADO 2018</v>
      </c>
      <c r="I226" s="10">
        <f>IFERROR(__xludf.DUMMYFUNCTION("""COMPUTED_VALUE"""),43132.0)</f>
        <v>43132</v>
      </c>
      <c r="J226" s="10">
        <f>IFERROR(__xludf.DUMMYFUNCTION("""COMPUTED_VALUE"""),44348.0)</f>
        <v>44348</v>
      </c>
      <c r="K226" s="15">
        <f>IFERROR(__xludf.DUMMYFUNCTION("""COMPUTED_VALUE"""),45444.0)</f>
        <v>45444</v>
      </c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9" t="str">
        <f>IFERROR(__xludf.DUMMYFUNCTION("""COMPUTED_VALUE"""),"Rodriguez")</f>
        <v>Rodriguez</v>
      </c>
      <c r="B227" s="8" t="str">
        <f>IFERROR(__xludf.DUMMYFUNCTION("""COMPUTED_VALUE"""),"John")</f>
        <v>John</v>
      </c>
      <c r="C227" s="8" t="str">
        <f>IFERROR(__xludf.DUMMYFUNCTION("""COMPUTED_VALUE"""),"")</f>
        <v/>
      </c>
      <c r="D227" s="8" t="str">
        <f>IFERROR(__xludf.DUMMYFUNCTION("""COMPUTED_VALUE"""),"UNK")</f>
        <v>UNK</v>
      </c>
      <c r="E227" s="8" t="str">
        <f>IFERROR(__xludf.DUMMYFUNCTION("""COMPUTED_VALUE"""),"UNK")</f>
        <v>UNK</v>
      </c>
      <c r="F227" s="8" t="str">
        <f>IFERROR(__xludf.DUMMYFUNCTION("""COMPUTED_VALUE"""),"PDC Merit Ranking")</f>
        <v>PDC Merit Ranking</v>
      </c>
      <c r="G227" s="8" t="str">
        <f>IFERROR(__xludf.DUMMYFUNCTION("""COMPUTED_VALUE"""),"41st")</f>
        <v>41st</v>
      </c>
      <c r="H227" s="8" t="str">
        <f>IFERROR(__xludf.DUMMYFUNCTION("""COMPUTED_VALUE"""),"PDC Merit Ranking")</f>
        <v>PDC Merit Ranking</v>
      </c>
      <c r="I227" s="10">
        <f>IFERROR(__xludf.DUMMYFUNCTION("""COMPUTED_VALUE"""),42767.0)</f>
        <v>42767</v>
      </c>
      <c r="J227" s="10">
        <f>IFERROR(__xludf.DUMMYFUNCTION("""COMPUTED_VALUE"""),43983.0)</f>
        <v>43983</v>
      </c>
      <c r="K227" s="15">
        <f>IFERROR(__xludf.DUMMYFUNCTION("""COMPUTED_VALUE"""),45078.0)</f>
        <v>45078</v>
      </c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9" t="str">
        <f>IFERROR(__xludf.DUMMYFUNCTION("""COMPUTED_VALUE"""),"Rodriguez")</f>
        <v>Rodriguez</v>
      </c>
      <c r="B228" s="8" t="str">
        <f>IFERROR(__xludf.DUMMYFUNCTION("""COMPUTED_VALUE"""),"Rusty")</f>
        <v>Rusty</v>
      </c>
      <c r="C228" s="8" t="str">
        <f>IFERROR(__xludf.DUMMYFUNCTION("""COMPUTED_VALUE"""),"")</f>
        <v/>
      </c>
      <c r="D228" s="8" t="str">
        <f>IFERROR(__xludf.DUMMYFUNCTION("""COMPUTED_VALUE"""),"")</f>
        <v/>
      </c>
      <c r="E228" s="8" t="str">
        <f>IFERROR(__xludf.DUMMYFUNCTION("""COMPUTED_VALUE"""),"AUSTRIA")</f>
        <v>AUSTRIA</v>
      </c>
      <c r="F228" s="8" t="str">
        <f>IFERROR(__xludf.DUMMYFUNCTION("""COMPUTED_VALUE"""),"Pro AA 501 Doubles")</f>
        <v>Pro AA 501 Doubles</v>
      </c>
      <c r="G228" s="8" t="str">
        <f>IFERROR(__xludf.DUMMYFUNCTION("""COMPUTED_VALUE"""),"3rd")</f>
        <v>3rd</v>
      </c>
      <c r="H228" s="8" t="str">
        <f>IFERROR(__xludf.DUMMYFUNCTION("""COMPUTED_VALUE"""),"BullShooter 34 Finals")</f>
        <v>BullShooter 34 Finals</v>
      </c>
      <c r="I228" s="10">
        <f>IFERROR(__xludf.DUMMYFUNCTION("""COMPUTED_VALUE"""),43617.0)</f>
        <v>43617</v>
      </c>
      <c r="J228" s="10">
        <f>IFERROR(__xludf.DUMMYFUNCTION("""COMPUTED_VALUE"""),44713.0)</f>
        <v>44713</v>
      </c>
      <c r="K228" s="15">
        <f>IFERROR(__xludf.DUMMYFUNCTION("""COMPUTED_VALUE"""),45809.0)</f>
        <v>45809</v>
      </c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9" t="str">
        <f>IFERROR(__xludf.DUMMYFUNCTION("""COMPUTED_VALUE"""),"Rodriguez Mendez")</f>
        <v>Rodriguez Mendez</v>
      </c>
      <c r="B229" s="8" t="str">
        <f>IFERROR(__xludf.DUMMYFUNCTION("""COMPUTED_VALUE"""),"Angel")</f>
        <v>Angel</v>
      </c>
      <c r="C229" s="8" t="str">
        <f>IFERROR(__xludf.DUMMYFUNCTION("""COMPUTED_VALUE"""),"")</f>
        <v/>
      </c>
      <c r="D229" s="8" t="str">
        <f>IFERROR(__xludf.DUMMYFUNCTION("""COMPUTED_VALUE"""),"UNK")</f>
        <v>UNK</v>
      </c>
      <c r="E229" s="8" t="str">
        <f>IFERROR(__xludf.DUMMYFUNCTION("""COMPUTED_VALUE"""),"Spain")</f>
        <v>Spain</v>
      </c>
      <c r="F229" s="8" t="str">
        <f>IFERROR(__xludf.DUMMYFUNCTION("""COMPUTED_VALUE"""),"Pro Team Cricket")</f>
        <v>Pro Team Cricket</v>
      </c>
      <c r="G229" s="8" t="str">
        <f>IFERROR(__xludf.DUMMYFUNCTION("""COMPUTED_VALUE"""),"3rd")</f>
        <v>3rd</v>
      </c>
      <c r="H229" s="8" t="str">
        <f>IFERROR(__xludf.DUMMYFUNCTION("""COMPUTED_VALUE"""),"Euro Bullshooter XXV")</f>
        <v>Euro Bullshooter XXV</v>
      </c>
      <c r="I229" s="10">
        <f>IFERROR(__xludf.DUMMYFUNCTION("""COMPUTED_VALUE"""),42828.0)</f>
        <v>42828</v>
      </c>
      <c r="J229" s="10">
        <f>IFERROR(__xludf.DUMMYFUNCTION("""COMPUTED_VALUE"""),43983.0)</f>
        <v>43983</v>
      </c>
      <c r="K229" s="15">
        <f>IFERROR(__xludf.DUMMYFUNCTION("""COMPUTED_VALUE"""),45078.0)</f>
        <v>45078</v>
      </c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9" t="str">
        <f>IFERROR(__xludf.DUMMYFUNCTION("""COMPUTED_VALUE"""),"Roundtree")</f>
        <v>Roundtree</v>
      </c>
      <c r="B230" s="8" t="str">
        <f>IFERROR(__xludf.DUMMYFUNCTION("""COMPUTED_VALUE"""),"Mike")</f>
        <v>Mike</v>
      </c>
      <c r="C230" s="8" t="str">
        <f>IFERROR(__xludf.DUMMYFUNCTION("""COMPUTED_VALUE"""),"Clifton")</f>
        <v>Clifton</v>
      </c>
      <c r="D230" s="8" t="str">
        <f>IFERROR(__xludf.DUMMYFUNCTION("""COMPUTED_VALUE"""),"TX")</f>
        <v>TX</v>
      </c>
      <c r="E230" s="8" t="str">
        <f>IFERROR(__xludf.DUMMYFUNCTION("""COMPUTED_VALUE"""),"USA")</f>
        <v>USA</v>
      </c>
      <c r="F230" s="8" t="str">
        <f>IFERROR(__xludf.DUMMYFUNCTION("""COMPUTED_VALUE"""),"ADO 2018")</f>
        <v>ADO 2018</v>
      </c>
      <c r="G230" s="8" t="str">
        <f>IFERROR(__xludf.DUMMYFUNCTION("""COMPUTED_VALUE"""),"16th")</f>
        <v>16th</v>
      </c>
      <c r="H230" s="8" t="str">
        <f>IFERROR(__xludf.DUMMYFUNCTION("""COMPUTED_VALUE"""),"ADO 2018")</f>
        <v>ADO 2018</v>
      </c>
      <c r="I230" s="10">
        <f>IFERROR(__xludf.DUMMYFUNCTION("""COMPUTED_VALUE"""),43132.0)</f>
        <v>43132</v>
      </c>
      <c r="J230" s="10">
        <f>IFERROR(__xludf.DUMMYFUNCTION("""COMPUTED_VALUE"""),43983.0)</f>
        <v>43983</v>
      </c>
      <c r="K230" s="15">
        <f>IFERROR(__xludf.DUMMYFUNCTION("""COMPUTED_VALUE"""),45078.0)</f>
        <v>45078</v>
      </c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9" t="str">
        <f>IFERROR(__xludf.DUMMYFUNCTION("""COMPUTED_VALUE"""),"Roy")</f>
        <v>Roy</v>
      </c>
      <c r="B231" s="8" t="str">
        <f>IFERROR(__xludf.DUMMYFUNCTION("""COMPUTED_VALUE"""),"Jeff")</f>
        <v>Jeff</v>
      </c>
      <c r="C231" s="8" t="str">
        <f>IFERROR(__xludf.DUMMYFUNCTION("""COMPUTED_VALUE"""),"")</f>
        <v/>
      </c>
      <c r="D231" s="8" t="str">
        <f>IFERROR(__xludf.DUMMYFUNCTION("""COMPUTED_VALUE"""),"UNK")</f>
        <v>UNK</v>
      </c>
      <c r="E231" s="8" t="str">
        <f>IFERROR(__xludf.DUMMYFUNCTION("""COMPUTED_VALUE"""),"USA")</f>
        <v>USA</v>
      </c>
      <c r="F231" s="8" t="str">
        <f>IFERROR(__xludf.DUMMYFUNCTION("""COMPUTED_VALUE"""),"ADO 2018")</f>
        <v>ADO 2018</v>
      </c>
      <c r="G231" s="8" t="str">
        <f>IFERROR(__xludf.DUMMYFUNCTION("""COMPUTED_VALUE"""),"32nd")</f>
        <v>32nd</v>
      </c>
      <c r="H231" s="8" t="str">
        <f>IFERROR(__xludf.DUMMYFUNCTION("""COMPUTED_VALUE"""),"ADO 2018")</f>
        <v>ADO 2018</v>
      </c>
      <c r="I231" s="10">
        <f>IFERROR(__xludf.DUMMYFUNCTION("""COMPUTED_VALUE"""),43132.0)</f>
        <v>43132</v>
      </c>
      <c r="J231" s="10">
        <f>IFERROR(__xludf.DUMMYFUNCTION("""COMPUTED_VALUE"""),43983.0)</f>
        <v>43983</v>
      </c>
      <c r="K231" s="15">
        <f>IFERROR(__xludf.DUMMYFUNCTION("""COMPUTED_VALUE"""),45078.0)</f>
        <v>45078</v>
      </c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9" t="str">
        <f>IFERROR(__xludf.DUMMYFUNCTION("""COMPUTED_VALUE"""),"Sato")</f>
        <v>Sato</v>
      </c>
      <c r="B232" s="8" t="str">
        <f>IFERROR(__xludf.DUMMYFUNCTION("""COMPUTED_VALUE"""),"Yutaro")</f>
        <v>Yutaro</v>
      </c>
      <c r="C232" s="8" t="str">
        <f>IFERROR(__xludf.DUMMYFUNCTION("""COMPUTED_VALUE"""),"")</f>
        <v/>
      </c>
      <c r="D232" s="8" t="str">
        <f>IFERROR(__xludf.DUMMYFUNCTION("""COMPUTED_VALUE"""),"UNK")</f>
        <v>UNK</v>
      </c>
      <c r="E232" s="8" t="str">
        <f>IFERROR(__xludf.DUMMYFUNCTION("""COMPUTED_VALUE"""),"Japan")</f>
        <v>Japan</v>
      </c>
      <c r="F232" s="8" t="str">
        <f>IFERROR(__xludf.DUMMYFUNCTION("""COMPUTED_VALUE"""),"DL")</f>
        <v>DL</v>
      </c>
      <c r="G232" s="8" t="str">
        <f>IFERROR(__xludf.DUMMYFUNCTION("""COMPUTED_VALUE"""),"15th")</f>
        <v>15th</v>
      </c>
      <c r="H232" s="8" t="str">
        <f>IFERROR(__xludf.DUMMYFUNCTION("""COMPUTED_VALUE"""),"DL")</f>
        <v>DL</v>
      </c>
      <c r="I232" s="10">
        <f>IFERROR(__xludf.DUMMYFUNCTION("""COMPUTED_VALUE"""),42767.0)</f>
        <v>42767</v>
      </c>
      <c r="J232" s="10">
        <f>IFERROR(__xludf.DUMMYFUNCTION("""COMPUTED_VALUE"""),43983.0)</f>
        <v>43983</v>
      </c>
      <c r="K232" s="15">
        <f>IFERROR(__xludf.DUMMYFUNCTION("""COMPUTED_VALUE"""),45078.0)</f>
        <v>45078</v>
      </c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9" t="str">
        <f>IFERROR(__xludf.DUMMYFUNCTION("""COMPUTED_VALUE"""),"Sawyer")</f>
        <v>Sawyer</v>
      </c>
      <c r="B233" s="8" t="str">
        <f>IFERROR(__xludf.DUMMYFUNCTION("""COMPUTED_VALUE"""),"Tom")</f>
        <v>Tom</v>
      </c>
      <c r="C233" s="8" t="str">
        <f>IFERROR(__xludf.DUMMYFUNCTION("""COMPUTED_VALUE"""),"Peabody")</f>
        <v>Peabody</v>
      </c>
      <c r="D233" s="8" t="str">
        <f>IFERROR(__xludf.DUMMYFUNCTION("""COMPUTED_VALUE"""),"MA")</f>
        <v>MA</v>
      </c>
      <c r="E233" s="8" t="str">
        <f>IFERROR(__xludf.DUMMYFUNCTION("""COMPUTED_VALUE"""),"USA")</f>
        <v>USA</v>
      </c>
      <c r="F233" s="8" t="str">
        <f>IFERROR(__xludf.DUMMYFUNCTION("""COMPUTED_VALUE"""),"ADO 2018")</f>
        <v>ADO 2018</v>
      </c>
      <c r="G233" s="8" t="str">
        <f>IFERROR(__xludf.DUMMYFUNCTION("""COMPUTED_VALUE"""),"3rd")</f>
        <v>3rd</v>
      </c>
      <c r="H233" s="8" t="str">
        <f>IFERROR(__xludf.DUMMYFUNCTION("""COMPUTED_VALUE"""),"ADO 2018")</f>
        <v>ADO 2018</v>
      </c>
      <c r="I233" s="10">
        <f>IFERROR(__xludf.DUMMYFUNCTION("""COMPUTED_VALUE"""),43132.0)</f>
        <v>43132</v>
      </c>
      <c r="J233" s="10">
        <f>IFERROR(__xludf.DUMMYFUNCTION("""COMPUTED_VALUE"""),44348.0)</f>
        <v>44348</v>
      </c>
      <c r="K233" s="15">
        <f>IFERROR(__xludf.DUMMYFUNCTION("""COMPUTED_VALUE"""),45444.0)</f>
        <v>45444</v>
      </c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9" t="str">
        <f>IFERROR(__xludf.DUMMYFUNCTION("""COMPUTED_VALUE"""),"Sayre")</f>
        <v>Sayre</v>
      </c>
      <c r="B234" s="8" t="str">
        <f>IFERROR(__xludf.DUMMYFUNCTION("""COMPUTED_VALUE"""),"D J")</f>
        <v>D J</v>
      </c>
      <c r="C234" s="8" t="str">
        <f>IFERROR(__xludf.DUMMYFUNCTION("""COMPUTED_VALUE"""),"")</f>
        <v/>
      </c>
      <c r="D234" s="8" t="str">
        <f>IFERROR(__xludf.DUMMYFUNCTION("""COMPUTED_VALUE"""),"UNK")</f>
        <v>UNK</v>
      </c>
      <c r="E234" s="8" t="str">
        <f>IFERROR(__xludf.DUMMYFUNCTION("""COMPUTED_VALUE"""),"USA")</f>
        <v>USA</v>
      </c>
      <c r="F234" s="8" t="str">
        <f>IFERROR(__xludf.DUMMYFUNCTION("""COMPUTED_VALUE"""),"NAPDA 2018")</f>
        <v>NAPDA 2018</v>
      </c>
      <c r="G234" s="8" t="str">
        <f>IFERROR(__xludf.DUMMYFUNCTION("""COMPUTED_VALUE"""),"9th")</f>
        <v>9th</v>
      </c>
      <c r="H234" s="8" t="str">
        <f>IFERROR(__xludf.DUMMYFUNCTION("""COMPUTED_VALUE"""),"ADO 2018")</f>
        <v>ADO 2018</v>
      </c>
      <c r="I234" s="10">
        <f>IFERROR(__xludf.DUMMYFUNCTION("""COMPUTED_VALUE"""),43132.0)</f>
        <v>43132</v>
      </c>
      <c r="J234" s="10">
        <f>IFERROR(__xludf.DUMMYFUNCTION("""COMPUTED_VALUE"""),44348.0)</f>
        <v>44348</v>
      </c>
      <c r="K234" s="15">
        <f>IFERROR(__xludf.DUMMYFUNCTION("""COMPUTED_VALUE"""),45444.0)</f>
        <v>45444</v>
      </c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9" t="str">
        <f>IFERROR(__xludf.DUMMYFUNCTION("""COMPUTED_VALUE"""),"Schreiber")</f>
        <v>Schreiber</v>
      </c>
      <c r="B235" s="8" t="str">
        <f>IFERROR(__xludf.DUMMYFUNCTION("""COMPUTED_VALUE"""),"Jake")</f>
        <v>Jake</v>
      </c>
      <c r="C235" s="8" t="str">
        <f>IFERROR(__xludf.DUMMYFUNCTION("""COMPUTED_VALUE"""),"St. Paul")</f>
        <v>St. Paul</v>
      </c>
      <c r="D235" s="8" t="str">
        <f>IFERROR(__xludf.DUMMYFUNCTION("""COMPUTED_VALUE"""),"MN")</f>
        <v>MN</v>
      </c>
      <c r="E235" s="8" t="str">
        <f>IFERROR(__xludf.DUMMYFUNCTION("""COMPUTED_VALUE"""),"USA")</f>
        <v>USA</v>
      </c>
      <c r="F235" s="8" t="str">
        <f>IFERROR(__xludf.DUMMYFUNCTION("""COMPUTED_VALUE"""),"Pro 501 Singles")</f>
        <v>Pro 501 Singles</v>
      </c>
      <c r="G235" s="8" t="str">
        <f>IFERROR(__xludf.DUMMYFUNCTION("""COMPUTED_VALUE"""),"4th")</f>
        <v>4th</v>
      </c>
      <c r="H235" s="8" t="str">
        <f>IFERROR(__xludf.DUMMYFUNCTION("""COMPUTED_VALUE"""),"BullShooter 34 Finals")</f>
        <v>BullShooter 34 Finals</v>
      </c>
      <c r="I235" s="10">
        <f>IFERROR(__xludf.DUMMYFUNCTION("""COMPUTED_VALUE"""),43617.0)</f>
        <v>43617</v>
      </c>
      <c r="J235" s="10">
        <f>IFERROR(__xludf.DUMMYFUNCTION("""COMPUTED_VALUE"""),44713.0)</f>
        <v>44713</v>
      </c>
      <c r="K235" s="15">
        <f>IFERROR(__xludf.DUMMYFUNCTION("""COMPUTED_VALUE"""),45809.0)</f>
        <v>45809</v>
      </c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9" t="str">
        <f>IFERROR(__xludf.DUMMYFUNCTION("""COMPUTED_VALUE"""),"Schweyen")</f>
        <v>Schweyen</v>
      </c>
      <c r="B236" s="8" t="str">
        <f>IFERROR(__xludf.DUMMYFUNCTION("""COMPUTED_VALUE"""),"Francois")</f>
        <v>Francois</v>
      </c>
      <c r="C236" s="8" t="str">
        <f>IFERROR(__xludf.DUMMYFUNCTION("""COMPUTED_VALUE"""),"")</f>
        <v/>
      </c>
      <c r="D236" s="8" t="str">
        <f>IFERROR(__xludf.DUMMYFUNCTION("""COMPUTED_VALUE"""),"UNK")</f>
        <v>UNK</v>
      </c>
      <c r="E236" s="8" t="str">
        <f>IFERROR(__xludf.DUMMYFUNCTION("""COMPUTED_VALUE"""),"Belgium")</f>
        <v>Belgium</v>
      </c>
      <c r="F236" s="8" t="str">
        <f>IFERROR(__xludf.DUMMYFUNCTION("""COMPUTED_VALUE"""),"Pro AA Doubles")</f>
        <v>Pro AA Doubles</v>
      </c>
      <c r="G236" s="8" t="str">
        <f>IFERROR(__xludf.DUMMYFUNCTION("""COMPUTED_VALUE"""),"4th")</f>
        <v>4th</v>
      </c>
      <c r="H236" s="8" t="str">
        <f>IFERROR(__xludf.DUMMYFUNCTION("""COMPUTED_VALUE"""),"BullShooter 32")</f>
        <v>BullShooter 32</v>
      </c>
      <c r="I236" s="10">
        <f>IFERROR(__xludf.DUMMYFUNCTION("""COMPUTED_VALUE"""),42887.0)</f>
        <v>42887</v>
      </c>
      <c r="J236" s="10">
        <f>IFERROR(__xludf.DUMMYFUNCTION("""COMPUTED_VALUE"""),43983.0)</f>
        <v>43983</v>
      </c>
      <c r="K236" s="15">
        <f>IFERROR(__xludf.DUMMYFUNCTION("""COMPUTED_VALUE"""),45078.0)</f>
        <v>45078</v>
      </c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9" t="str">
        <f>IFERROR(__xludf.DUMMYFUNCTION("""COMPUTED_VALUE"""),"Schwindamann")</f>
        <v>Schwindamann</v>
      </c>
      <c r="B237" s="8" t="str">
        <f>IFERROR(__xludf.DUMMYFUNCTION("""COMPUTED_VALUE"""),"Paul")</f>
        <v>Paul</v>
      </c>
      <c r="C237" s="8" t="str">
        <f>IFERROR(__xludf.DUMMYFUNCTION("""COMPUTED_VALUE"""),"Parkville")</f>
        <v>Parkville</v>
      </c>
      <c r="D237" s="8" t="str">
        <f>IFERROR(__xludf.DUMMYFUNCTION("""COMPUTED_VALUE"""),"MO")</f>
        <v>MO</v>
      </c>
      <c r="E237" s="8" t="str">
        <f>IFERROR(__xludf.DUMMYFUNCTION("""COMPUTED_VALUE"""),"USA")</f>
        <v>USA</v>
      </c>
      <c r="F237" s="8" t="str">
        <f>IFERROR(__xludf.DUMMYFUNCTION("""COMPUTED_VALUE"""),"Pro Singles Cricket")</f>
        <v>Pro Singles Cricket</v>
      </c>
      <c r="G237" s="8" t="str">
        <f>IFERROR(__xludf.DUMMYFUNCTION("""COMPUTED_VALUE"""),"3rd")</f>
        <v>3rd</v>
      </c>
      <c r="H237" s="8" t="str">
        <f>IFERROR(__xludf.DUMMYFUNCTION("""COMPUTED_VALUE"""),"Nebraska BS 34")</f>
        <v>Nebraska BS 34</v>
      </c>
      <c r="I237" s="10">
        <f>IFERROR(__xludf.DUMMYFUNCTION("""COMPUTED_VALUE"""),43617.0)</f>
        <v>43617</v>
      </c>
      <c r="J237" s="10">
        <f>IFERROR(__xludf.DUMMYFUNCTION("""COMPUTED_VALUE"""),43983.0)</f>
        <v>43983</v>
      </c>
      <c r="K237" s="15">
        <f>IFERROR(__xludf.DUMMYFUNCTION("""COMPUTED_VALUE"""),45078.0)</f>
        <v>45078</v>
      </c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9" t="str">
        <f>IFERROR(__xludf.DUMMYFUNCTION("""COMPUTED_VALUE"""),"Searvogel")</f>
        <v>Searvogel</v>
      </c>
      <c r="B238" s="8" t="str">
        <f>IFERROR(__xludf.DUMMYFUNCTION("""COMPUTED_VALUE"""),"Anthony")</f>
        <v>Anthony</v>
      </c>
      <c r="C238" s="8" t="str">
        <f>IFERROR(__xludf.DUMMYFUNCTION("""COMPUTED_VALUE"""),"Madison")</f>
        <v>Madison</v>
      </c>
      <c r="D238" s="8" t="str">
        <f>IFERROR(__xludf.DUMMYFUNCTION("""COMPUTED_VALUE"""),"WI")</f>
        <v>WI</v>
      </c>
      <c r="E238" s="8" t="str">
        <f>IFERROR(__xludf.DUMMYFUNCTION("""COMPUTED_VALUE"""),"USA")</f>
        <v>USA</v>
      </c>
      <c r="F238" s="8" t="str">
        <f>IFERROR(__xludf.DUMMYFUNCTION("""COMPUTED_VALUE"""),"PRO A/AA Luck")</f>
        <v>PRO A/AA Luck</v>
      </c>
      <c r="G238" s="8" t="str">
        <f>IFERROR(__xludf.DUMMYFUNCTION("""COMPUTED_VALUE"""),"3rd")</f>
        <v>3rd</v>
      </c>
      <c r="H238" s="8" t="str">
        <f>IFERROR(__xludf.DUMMYFUNCTION("""COMPUTED_VALUE"""),"BS 33 Finals")</f>
        <v>BS 33 Finals</v>
      </c>
      <c r="I238" s="10">
        <f>IFERROR(__xludf.DUMMYFUNCTION("""COMPUTED_VALUE"""),43252.0)</f>
        <v>43252</v>
      </c>
      <c r="J238" s="10">
        <f>IFERROR(__xludf.DUMMYFUNCTION("""COMPUTED_VALUE"""),44348.0)</f>
        <v>44348</v>
      </c>
      <c r="K238" s="15">
        <f>IFERROR(__xludf.DUMMYFUNCTION("""COMPUTED_VALUE"""),45444.0)</f>
        <v>45444</v>
      </c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9" t="str">
        <f>IFERROR(__xludf.DUMMYFUNCTION("""COMPUTED_VALUE"""),"Shah")</f>
        <v>Shah</v>
      </c>
      <c r="B239" s="8" t="str">
        <f>IFERROR(__xludf.DUMMYFUNCTION("""COMPUTED_VALUE"""),"Tengku")</f>
        <v>Tengku</v>
      </c>
      <c r="C239" s="8" t="str">
        <f>IFERROR(__xludf.DUMMYFUNCTION("""COMPUTED_VALUE"""),"")</f>
        <v/>
      </c>
      <c r="D239" s="8" t="str">
        <f>IFERROR(__xludf.DUMMYFUNCTION("""COMPUTED_VALUE"""),"UNK")</f>
        <v>UNK</v>
      </c>
      <c r="E239" s="8" t="str">
        <f>IFERROR(__xludf.DUMMYFUNCTION("""COMPUTED_VALUE"""),"MALAYSIA")</f>
        <v>MALAYSIA</v>
      </c>
      <c r="F239" s="8" t="str">
        <f>IFERROR(__xludf.DUMMYFUNCTION("""COMPUTED_VALUE"""),"DL")</f>
        <v>DL</v>
      </c>
      <c r="G239" s="8" t="str">
        <f>IFERROR(__xludf.DUMMYFUNCTION("""COMPUTED_VALUE"""),"42nd")</f>
        <v>42nd</v>
      </c>
      <c r="H239" s="8" t="str">
        <f>IFERROR(__xludf.DUMMYFUNCTION("""COMPUTED_VALUE"""),"DL 2018")</f>
        <v>DL 2018</v>
      </c>
      <c r="I239" s="10">
        <f>IFERROR(__xludf.DUMMYFUNCTION("""COMPUTED_VALUE"""),43136.0)</f>
        <v>43136</v>
      </c>
      <c r="J239" s="10">
        <f>IFERROR(__xludf.DUMMYFUNCTION("""COMPUTED_VALUE"""),44348.0)</f>
        <v>44348</v>
      </c>
      <c r="K239" s="15">
        <f>IFERROR(__xludf.DUMMYFUNCTION("""COMPUTED_VALUE"""),45444.0)</f>
        <v>45444</v>
      </c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9" t="str">
        <f>IFERROR(__xludf.DUMMYFUNCTION("""COMPUTED_VALUE"""),"Shibata")</f>
        <v>Shibata</v>
      </c>
      <c r="B240" s="8" t="str">
        <f>IFERROR(__xludf.DUMMYFUNCTION("""COMPUTED_VALUE"""),"Toyokazu")</f>
        <v>Toyokazu</v>
      </c>
      <c r="C240" s="8" t="str">
        <f>IFERROR(__xludf.DUMMYFUNCTION("""COMPUTED_VALUE"""),"")</f>
        <v/>
      </c>
      <c r="D240" s="8" t="str">
        <f>IFERROR(__xludf.DUMMYFUNCTION("""COMPUTED_VALUE"""),"UNK")</f>
        <v>UNK</v>
      </c>
      <c r="E240" s="8" t="str">
        <f>IFERROR(__xludf.DUMMYFUNCTION("""COMPUTED_VALUE"""),"JAPAN")</f>
        <v>JAPAN</v>
      </c>
      <c r="F240" s="8" t="str">
        <f>IFERROR(__xludf.DUMMYFUNCTION("""COMPUTED_VALUE"""),"DL")</f>
        <v>DL</v>
      </c>
      <c r="G240" s="8" t="str">
        <f>IFERROR(__xludf.DUMMYFUNCTION("""COMPUTED_VALUE"""),"35th")</f>
        <v>35th</v>
      </c>
      <c r="H240" s="8" t="str">
        <f>IFERROR(__xludf.DUMMYFUNCTION("""COMPUTED_VALUE"""),"DL 2018")</f>
        <v>DL 2018</v>
      </c>
      <c r="I240" s="10">
        <f>IFERROR(__xludf.DUMMYFUNCTION("""COMPUTED_VALUE"""),43136.0)</f>
        <v>43136</v>
      </c>
      <c r="J240" s="10">
        <f>IFERROR(__xludf.DUMMYFUNCTION("""COMPUTED_VALUE"""),44348.0)</f>
        <v>44348</v>
      </c>
      <c r="K240" s="15">
        <f>IFERROR(__xludf.DUMMYFUNCTION("""COMPUTED_VALUE"""),45444.0)</f>
        <v>45444</v>
      </c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9" t="str">
        <f>IFERROR(__xludf.DUMMYFUNCTION("""COMPUTED_VALUE"""),"Sinnaeve")</f>
        <v>Sinnaeve</v>
      </c>
      <c r="B241" s="8" t="str">
        <f>IFERROR(__xludf.DUMMYFUNCTION("""COMPUTED_VALUE"""),"Bob")</f>
        <v>Bob</v>
      </c>
      <c r="C241" s="8" t="str">
        <f>IFERROR(__xludf.DUMMYFUNCTION("""COMPUTED_VALUE"""),"")</f>
        <v/>
      </c>
      <c r="D241" s="8" t="str">
        <f>IFERROR(__xludf.DUMMYFUNCTION("""COMPUTED_VALUE"""),"UNK")</f>
        <v>UNK</v>
      </c>
      <c r="E241" s="8" t="str">
        <f>IFERROR(__xludf.DUMMYFUNCTION("""COMPUTED_VALUE"""),"Canada")</f>
        <v>Canada</v>
      </c>
      <c r="F241" s="8" t="str">
        <f>IFERROR(__xludf.DUMMYFUNCTION("""COMPUTED_VALUE"""),"NAPDA 2017")</f>
        <v>NAPDA 2017</v>
      </c>
      <c r="G241" s="8" t="str">
        <f>IFERROR(__xludf.DUMMYFUNCTION("""COMPUTED_VALUE"""),"7th")</f>
        <v>7th</v>
      </c>
      <c r="H241" s="8" t="str">
        <f>IFERROR(__xludf.DUMMYFUNCTION("""COMPUTED_VALUE"""),"Known Ability")</f>
        <v>Known Ability</v>
      </c>
      <c r="I241" s="10">
        <f>IFERROR(__xludf.DUMMYFUNCTION("""COMPUTED_VALUE"""),42772.0)</f>
        <v>42772</v>
      </c>
      <c r="J241" s="10">
        <f>IFERROR(__xludf.DUMMYFUNCTION("""COMPUTED_VALUE"""),44348.0)</f>
        <v>44348</v>
      </c>
      <c r="K241" s="15">
        <f>IFERROR(__xludf.DUMMYFUNCTION("""COMPUTED_VALUE"""),45444.0)</f>
        <v>45444</v>
      </c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9" t="str">
        <f>IFERROR(__xludf.DUMMYFUNCTION("""COMPUTED_VALUE"""),"Smith")</f>
        <v>Smith</v>
      </c>
      <c r="B242" s="8" t="str">
        <f>IFERROR(__xludf.DUMMYFUNCTION("""COMPUTED_VALUE"""),"Jeff")</f>
        <v>Jeff</v>
      </c>
      <c r="C242" s="8" t="str">
        <f>IFERROR(__xludf.DUMMYFUNCTION("""COMPUTED_VALUE"""),"")</f>
        <v/>
      </c>
      <c r="D242" s="8" t="str">
        <f>IFERROR(__xludf.DUMMYFUNCTION("""COMPUTED_VALUE"""),"UNK")</f>
        <v>UNK</v>
      </c>
      <c r="E242" s="8" t="str">
        <f>IFERROR(__xludf.DUMMYFUNCTION("""COMPUTED_VALUE"""),"Canada")</f>
        <v>Canada</v>
      </c>
      <c r="F242" s="8" t="str">
        <f>IFERROR(__xludf.DUMMYFUNCTION("""COMPUTED_VALUE"""),"NAPDA 2018")</f>
        <v>NAPDA 2018</v>
      </c>
      <c r="G242" s="8" t="str">
        <f>IFERROR(__xludf.DUMMYFUNCTION("""COMPUTED_VALUE"""),"5th")</f>
        <v>5th</v>
      </c>
      <c r="H242" s="8" t="str">
        <f>IFERROR(__xludf.DUMMYFUNCTION("""COMPUTED_VALUE"""),"NAPDA 2018")</f>
        <v>NAPDA 2018</v>
      </c>
      <c r="I242" s="10">
        <f>IFERROR(__xludf.DUMMYFUNCTION("""COMPUTED_VALUE"""),43132.0)</f>
        <v>43132</v>
      </c>
      <c r="J242" s="10">
        <f>IFERROR(__xludf.DUMMYFUNCTION("""COMPUTED_VALUE"""),44348.0)</f>
        <v>44348</v>
      </c>
      <c r="K242" s="15">
        <f>IFERROR(__xludf.DUMMYFUNCTION("""COMPUTED_VALUE"""),45444.0)</f>
        <v>45444</v>
      </c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9" t="str">
        <f>IFERROR(__xludf.DUMMYFUNCTION("""COMPUTED_VALUE"""),"Smith")</f>
        <v>Smith</v>
      </c>
      <c r="B243" s="8" t="str">
        <f>IFERROR(__xludf.DUMMYFUNCTION("""COMPUTED_VALUE"""),"Michael")</f>
        <v>Michael</v>
      </c>
      <c r="C243" s="8" t="str">
        <f>IFERROR(__xludf.DUMMYFUNCTION("""COMPUTED_VALUE"""),"")</f>
        <v/>
      </c>
      <c r="D243" s="8" t="str">
        <f>IFERROR(__xludf.DUMMYFUNCTION("""COMPUTED_VALUE"""),"UNK")</f>
        <v>UNK</v>
      </c>
      <c r="E243" s="8" t="str">
        <f>IFERROR(__xludf.DUMMYFUNCTION("""COMPUTED_VALUE"""),"England")</f>
        <v>England</v>
      </c>
      <c r="F243" s="8" t="str">
        <f>IFERROR(__xludf.DUMMYFUNCTION("""COMPUTED_VALUE"""),"PDC Merit Ranking")</f>
        <v>PDC Merit Ranking</v>
      </c>
      <c r="G243" s="8" t="str">
        <f>IFERROR(__xludf.DUMMYFUNCTION("""COMPUTED_VALUE"""),"11th")</f>
        <v>11th</v>
      </c>
      <c r="H243" s="8" t="str">
        <f>IFERROR(__xludf.DUMMYFUNCTION("""COMPUTED_VALUE"""),"PDC Merit Ranking")</f>
        <v>PDC Merit Ranking</v>
      </c>
      <c r="I243" s="10">
        <f>IFERROR(__xludf.DUMMYFUNCTION("""COMPUTED_VALUE"""),43132.0)</f>
        <v>43132</v>
      </c>
      <c r="J243" s="10">
        <f>IFERROR(__xludf.DUMMYFUNCTION("""COMPUTED_VALUE"""),44348.0)</f>
        <v>44348</v>
      </c>
      <c r="K243" s="15">
        <f>IFERROR(__xludf.DUMMYFUNCTION("""COMPUTED_VALUE"""),45444.0)</f>
        <v>45444</v>
      </c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9" t="str">
        <f>IFERROR(__xludf.DUMMYFUNCTION("""COMPUTED_VALUE"""),"Snook")</f>
        <v>Snook</v>
      </c>
      <c r="B244" s="8" t="str">
        <f>IFERROR(__xludf.DUMMYFUNCTION("""COMPUTED_VALUE"""),"Ross")</f>
        <v>Ross</v>
      </c>
      <c r="C244" s="8" t="str">
        <f>IFERROR(__xludf.DUMMYFUNCTION("""COMPUTED_VALUE"""),"")</f>
        <v/>
      </c>
      <c r="D244" s="8" t="str">
        <f>IFERROR(__xludf.DUMMYFUNCTION("""COMPUTED_VALUE"""),"UNK")</f>
        <v>UNK</v>
      </c>
      <c r="E244" s="8" t="str">
        <f>IFERROR(__xludf.DUMMYFUNCTION("""COMPUTED_VALUE"""),"Canada")</f>
        <v>Canada</v>
      </c>
      <c r="F244" s="8" t="str">
        <f>IFERROR(__xludf.DUMMYFUNCTION("""COMPUTED_VALUE"""),"NAPDA 2018")</f>
        <v>NAPDA 2018</v>
      </c>
      <c r="G244" s="8" t="str">
        <f>IFERROR(__xludf.DUMMYFUNCTION("""COMPUTED_VALUE"""),"7th")</f>
        <v>7th</v>
      </c>
      <c r="H244" s="8" t="str">
        <f>IFERROR(__xludf.DUMMYFUNCTION("""COMPUTED_VALUE"""),"NAPDA 2018")</f>
        <v>NAPDA 2018</v>
      </c>
      <c r="I244" s="10">
        <f>IFERROR(__xludf.DUMMYFUNCTION("""COMPUTED_VALUE"""),43132.0)</f>
        <v>43132</v>
      </c>
      <c r="J244" s="10">
        <f>IFERROR(__xludf.DUMMYFUNCTION("""COMPUTED_VALUE"""),44348.0)</f>
        <v>44348</v>
      </c>
      <c r="K244" s="15">
        <f>IFERROR(__xludf.DUMMYFUNCTION("""COMPUTED_VALUE"""),45444.0)</f>
        <v>45444</v>
      </c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9" t="str">
        <f>IFERROR(__xludf.DUMMYFUNCTION("""COMPUTED_VALUE"""),"Snow")</f>
        <v>Snow</v>
      </c>
      <c r="B245" s="8" t="str">
        <f>IFERROR(__xludf.DUMMYFUNCTION("""COMPUTED_VALUE"""),"Rodney")</f>
        <v>Rodney</v>
      </c>
      <c r="C245" s="8" t="str">
        <f>IFERROR(__xludf.DUMMYFUNCTION("""COMPUTED_VALUE"""),"")</f>
        <v/>
      </c>
      <c r="D245" s="8" t="str">
        <f>IFERROR(__xludf.DUMMYFUNCTION("""COMPUTED_VALUE"""),"")</f>
        <v/>
      </c>
      <c r="E245" s="8" t="str">
        <f>IFERROR(__xludf.DUMMYFUNCTION("""COMPUTED_VALUE"""),"Canada")</f>
        <v>Canada</v>
      </c>
      <c r="F245" s="8" t="str">
        <f>IFERROR(__xludf.DUMMYFUNCTION("""COMPUTED_VALUE"""),"Top Gun A/AA Triples")</f>
        <v>Top Gun A/AA Triples</v>
      </c>
      <c r="G245" s="8" t="str">
        <f>IFERROR(__xludf.DUMMYFUNCTION("""COMPUTED_VALUE"""),"3rd")</f>
        <v>3rd</v>
      </c>
      <c r="H245" s="8" t="str">
        <f>IFERROR(__xludf.DUMMYFUNCTION("""COMPUTED_VALUE"""),"BS 33 Finals")</f>
        <v>BS 33 Finals</v>
      </c>
      <c r="I245" s="10">
        <f>IFERROR(__xludf.DUMMYFUNCTION("""COMPUTED_VALUE"""),43252.0)</f>
        <v>43252</v>
      </c>
      <c r="J245" s="10">
        <f>IFERROR(__xludf.DUMMYFUNCTION("""COMPUTED_VALUE"""),44348.0)</f>
        <v>44348</v>
      </c>
      <c r="K245" s="15">
        <f>IFERROR(__xludf.DUMMYFUNCTION("""COMPUTED_VALUE"""),45444.0)</f>
        <v>45444</v>
      </c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9" t="str">
        <f>IFERROR(__xludf.DUMMYFUNCTION("""COMPUTED_VALUE"""),"Spellman")</f>
        <v>Spellman</v>
      </c>
      <c r="B246" s="8" t="str">
        <f>IFERROR(__xludf.DUMMYFUNCTION("""COMPUTED_VALUE"""),"Alex")</f>
        <v>Alex</v>
      </c>
      <c r="C246" s="8" t="str">
        <f>IFERROR(__xludf.DUMMYFUNCTION("""COMPUTED_VALUE"""),"Cary")</f>
        <v>Cary</v>
      </c>
      <c r="D246" s="8" t="str">
        <f>IFERROR(__xludf.DUMMYFUNCTION("""COMPUTED_VALUE"""),"NC")</f>
        <v>NC</v>
      </c>
      <c r="E246" s="8" t="str">
        <f>IFERROR(__xludf.DUMMYFUNCTION("""COMPUTED_VALUE"""),"USA")</f>
        <v>USA</v>
      </c>
      <c r="F246" s="8" t="str">
        <f>IFERROR(__xludf.DUMMYFUNCTION("""COMPUTED_VALUE"""),"Men Singles Cricket")</f>
        <v>Men Singles Cricket</v>
      </c>
      <c r="G246" s="8" t="str">
        <f>IFERROR(__xludf.DUMMYFUNCTION("""COMPUTED_VALUE"""),"2nd")</f>
        <v>2nd</v>
      </c>
      <c r="H246" s="8" t="str">
        <f>IFERROR(__xludf.DUMMYFUNCTION("""COMPUTED_VALUE"""),"Tennessee BS 34")</f>
        <v>Tennessee BS 34</v>
      </c>
      <c r="I246" s="10">
        <f>IFERROR(__xludf.DUMMYFUNCTION("""COMPUTED_VALUE"""),43617.0)</f>
        <v>43617</v>
      </c>
      <c r="J246" s="10">
        <f>IFERROR(__xludf.DUMMYFUNCTION("""COMPUTED_VALUE"""),44348.0)</f>
        <v>44348</v>
      </c>
      <c r="K246" s="15">
        <f>IFERROR(__xludf.DUMMYFUNCTION("""COMPUTED_VALUE"""),45444.0)</f>
        <v>45444</v>
      </c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9" t="str">
        <f>IFERROR(__xludf.DUMMYFUNCTION("""COMPUTED_VALUE"""),"Springer")</f>
        <v>Springer</v>
      </c>
      <c r="B247" s="8" t="str">
        <f>IFERROR(__xludf.DUMMYFUNCTION("""COMPUTED_VALUE"""),"Jeff")</f>
        <v>Jeff</v>
      </c>
      <c r="C247" s="8" t="str">
        <f>IFERROR(__xludf.DUMMYFUNCTION("""COMPUTED_VALUE"""),"Bothell")</f>
        <v>Bothell</v>
      </c>
      <c r="D247" s="8" t="str">
        <f>IFERROR(__xludf.DUMMYFUNCTION("""COMPUTED_VALUE"""),"WA")</f>
        <v>WA</v>
      </c>
      <c r="E247" s="8" t="str">
        <f>IFERROR(__xludf.DUMMYFUNCTION("""COMPUTED_VALUE"""),"USA")</f>
        <v>USA</v>
      </c>
      <c r="F247" s="8" t="str">
        <f>IFERROR(__xludf.DUMMYFUNCTION("""COMPUTED_VALUE"""),"ADO 2018")</f>
        <v>ADO 2018</v>
      </c>
      <c r="G247" s="8" t="str">
        <f>IFERROR(__xludf.DUMMYFUNCTION("""COMPUTED_VALUE"""),"46th")</f>
        <v>46th</v>
      </c>
      <c r="H247" s="8" t="str">
        <f>IFERROR(__xludf.DUMMYFUNCTION("""COMPUTED_VALUE"""),"ADO 2018")</f>
        <v>ADO 2018</v>
      </c>
      <c r="I247" s="10">
        <f>IFERROR(__xludf.DUMMYFUNCTION("""COMPUTED_VALUE"""),43132.0)</f>
        <v>43132</v>
      </c>
      <c r="J247" s="10">
        <f>IFERROR(__xludf.DUMMYFUNCTION("""COMPUTED_VALUE"""),44348.0)</f>
        <v>44348</v>
      </c>
      <c r="K247" s="15">
        <f>IFERROR(__xludf.DUMMYFUNCTION("""COMPUTED_VALUE"""),45444.0)</f>
        <v>45444</v>
      </c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9" t="str">
        <f>IFERROR(__xludf.DUMMYFUNCTION("""COMPUTED_VALUE"""),"Squires")</f>
        <v>Squires</v>
      </c>
      <c r="B248" s="8" t="str">
        <f>IFERROR(__xludf.DUMMYFUNCTION("""COMPUTED_VALUE"""),"William")</f>
        <v>William</v>
      </c>
      <c r="C248" s="8" t="str">
        <f>IFERROR(__xludf.DUMMYFUNCTION("""COMPUTED_VALUE"""),"")</f>
        <v/>
      </c>
      <c r="D248" s="8" t="str">
        <f>IFERROR(__xludf.DUMMYFUNCTION("""COMPUTED_VALUE"""),"UNK")</f>
        <v>UNK</v>
      </c>
      <c r="E248" s="8" t="str">
        <f>IFERROR(__xludf.DUMMYFUNCTION("""COMPUTED_VALUE"""),"USA")</f>
        <v>USA</v>
      </c>
      <c r="F248" s="8" t="str">
        <f>IFERROR(__xludf.DUMMYFUNCTION("""COMPUTED_VALUE"""),"ADO 2017")</f>
        <v>ADO 2017</v>
      </c>
      <c r="G248" s="8" t="str">
        <f>IFERROR(__xludf.DUMMYFUNCTION("""COMPUTED_VALUE"""),"47th")</f>
        <v>47th</v>
      </c>
      <c r="H248" s="8" t="str">
        <f>IFERROR(__xludf.DUMMYFUNCTION("""COMPUTED_VALUE"""),"ADO 2017")</f>
        <v>ADO 2017</v>
      </c>
      <c r="I248" s="10">
        <f>IFERROR(__xludf.DUMMYFUNCTION("""COMPUTED_VALUE"""),42765.0)</f>
        <v>42765</v>
      </c>
      <c r="J248" s="10">
        <f>IFERROR(__xludf.DUMMYFUNCTION("""COMPUTED_VALUE"""),43983.0)</f>
        <v>43983</v>
      </c>
      <c r="K248" s="15">
        <f>IFERROR(__xludf.DUMMYFUNCTION("""COMPUTED_VALUE"""),45078.0)</f>
        <v>45078</v>
      </c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9" t="str">
        <f>IFERROR(__xludf.DUMMYFUNCTION("""COMPUTED_VALUE"""),"Stella")</f>
        <v>Stella</v>
      </c>
      <c r="B249" s="8" t="str">
        <f>IFERROR(__xludf.DUMMYFUNCTION("""COMPUTED_VALUE"""),"Adam")</f>
        <v>Adam</v>
      </c>
      <c r="C249" s="8" t="str">
        <f>IFERROR(__xludf.DUMMYFUNCTION("""COMPUTED_VALUE"""),"")</f>
        <v/>
      </c>
      <c r="D249" s="8" t="str">
        <f>IFERROR(__xludf.DUMMYFUNCTION("""COMPUTED_VALUE"""),"")</f>
        <v/>
      </c>
      <c r="E249" s="8" t="str">
        <f>IFERROR(__xludf.DUMMYFUNCTION("""COMPUTED_VALUE"""),"Canada")</f>
        <v>Canada</v>
      </c>
      <c r="F249" s="8" t="str">
        <f>IFERROR(__xludf.DUMMYFUNCTION("""COMPUTED_VALUE"""),"Top Gun A/AA Triples")</f>
        <v>Top Gun A/AA Triples</v>
      </c>
      <c r="G249" s="8" t="str">
        <f>IFERROR(__xludf.DUMMYFUNCTION("""COMPUTED_VALUE"""),"3rd")</f>
        <v>3rd</v>
      </c>
      <c r="H249" s="8" t="str">
        <f>IFERROR(__xludf.DUMMYFUNCTION("""COMPUTED_VALUE"""),"BS 33 Finals")</f>
        <v>BS 33 Finals</v>
      </c>
      <c r="I249" s="10">
        <f>IFERROR(__xludf.DUMMYFUNCTION("""COMPUTED_VALUE"""),43252.0)</f>
        <v>43252</v>
      </c>
      <c r="J249" s="10">
        <f>IFERROR(__xludf.DUMMYFUNCTION("""COMPUTED_VALUE"""),44348.0)</f>
        <v>44348</v>
      </c>
      <c r="K249" s="15">
        <f>IFERROR(__xludf.DUMMYFUNCTION("""COMPUTED_VALUE"""),45444.0)</f>
        <v>45444</v>
      </c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9" t="str">
        <f>IFERROR(__xludf.DUMMYFUNCTION("""COMPUTED_VALUE"""),"Stewart")</f>
        <v>Stewart</v>
      </c>
      <c r="B250" s="8" t="str">
        <f>IFERROR(__xludf.DUMMYFUNCTION("""COMPUTED_VALUE"""),"Don")</f>
        <v>Don</v>
      </c>
      <c r="C250" s="8" t="str">
        <f>IFERROR(__xludf.DUMMYFUNCTION("""COMPUTED_VALUE"""),"Franklin")</f>
        <v>Franklin</v>
      </c>
      <c r="D250" s="8" t="str">
        <f>IFERROR(__xludf.DUMMYFUNCTION("""COMPUTED_VALUE"""),"WI")</f>
        <v>WI</v>
      </c>
      <c r="E250" s="8" t="str">
        <f>IFERROR(__xludf.DUMMYFUNCTION("""COMPUTED_VALUE"""),"USA")</f>
        <v>USA</v>
      </c>
      <c r="F250" s="8" t="str">
        <f>IFERROR(__xludf.DUMMYFUNCTION("""COMPUTED_VALUE"""),"Pro Doubles 501")</f>
        <v>Pro Doubles 501</v>
      </c>
      <c r="G250" s="8" t="str">
        <f>IFERROR(__xludf.DUMMYFUNCTION("""COMPUTED_VALUE"""),"1st")</f>
        <v>1st</v>
      </c>
      <c r="H250" s="8" t="str">
        <f>IFERROR(__xludf.DUMMYFUNCTION("""COMPUTED_VALUE"""),"Wisconsin BS 34")</f>
        <v>Wisconsin BS 34</v>
      </c>
      <c r="I250" s="10">
        <f>IFERROR(__xludf.DUMMYFUNCTION("""COMPUTED_VALUE"""),43617.0)</f>
        <v>43617</v>
      </c>
      <c r="J250" s="10">
        <f>IFERROR(__xludf.DUMMYFUNCTION("""COMPUTED_VALUE"""),44713.0)</f>
        <v>44713</v>
      </c>
      <c r="K250" s="15">
        <f>IFERROR(__xludf.DUMMYFUNCTION("""COMPUTED_VALUE"""),45809.0)</f>
        <v>45809</v>
      </c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9" t="str">
        <f>IFERROR(__xludf.DUMMYFUNCTION("""COMPUTED_VALUE"""),"Suljovic")</f>
        <v>Suljovic</v>
      </c>
      <c r="B251" s="8" t="str">
        <f>IFERROR(__xludf.DUMMYFUNCTION("""COMPUTED_VALUE"""),"Mensur")</f>
        <v>Mensur</v>
      </c>
      <c r="C251" s="8" t="str">
        <f>IFERROR(__xludf.DUMMYFUNCTION("""COMPUTED_VALUE"""),"")</f>
        <v/>
      </c>
      <c r="D251" s="8" t="str">
        <f>IFERROR(__xludf.DUMMYFUNCTION("""COMPUTED_VALUE"""),"UNK")</f>
        <v>UNK</v>
      </c>
      <c r="E251" s="8" t="str">
        <f>IFERROR(__xludf.DUMMYFUNCTION("""COMPUTED_VALUE"""),"Austria")</f>
        <v>Austria</v>
      </c>
      <c r="F251" s="8" t="str">
        <f>IFERROR(__xludf.DUMMYFUNCTION("""COMPUTED_VALUE"""),"PDC Merit Ranking")</f>
        <v>PDC Merit Ranking</v>
      </c>
      <c r="G251" s="8" t="str">
        <f>IFERROR(__xludf.DUMMYFUNCTION("""COMPUTED_VALUE"""),"6th")</f>
        <v>6th</v>
      </c>
      <c r="H251" s="8" t="str">
        <f>IFERROR(__xludf.DUMMYFUNCTION("""COMPUTED_VALUE"""),"PDC Merit Ranking")</f>
        <v>PDC Merit Ranking</v>
      </c>
      <c r="I251" s="10">
        <f>IFERROR(__xludf.DUMMYFUNCTION("""COMPUTED_VALUE"""),43132.0)</f>
        <v>43132</v>
      </c>
      <c r="J251" s="10">
        <f>IFERROR(__xludf.DUMMYFUNCTION("""COMPUTED_VALUE"""),44348.0)</f>
        <v>44348</v>
      </c>
      <c r="K251" s="15">
        <f>IFERROR(__xludf.DUMMYFUNCTION("""COMPUTED_VALUE"""),45444.0)</f>
        <v>45444</v>
      </c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9" t="str">
        <f>IFERROR(__xludf.DUMMYFUNCTION("""COMPUTED_VALUE"""),"Sumner")</f>
        <v>Sumner</v>
      </c>
      <c r="B252" s="8" t="str">
        <f>IFERROR(__xludf.DUMMYFUNCTION("""COMPUTED_VALUE"""),"Trint")</f>
        <v>Trint</v>
      </c>
      <c r="C252" s="8" t="str">
        <f>IFERROR(__xludf.DUMMYFUNCTION("""COMPUTED_VALUE"""),"Valley Grove")</f>
        <v>Valley Grove</v>
      </c>
      <c r="D252" s="8" t="str">
        <f>IFERROR(__xludf.DUMMYFUNCTION("""COMPUTED_VALUE"""),"AL")</f>
        <v>AL</v>
      </c>
      <c r="E252" s="8" t="str">
        <f>IFERROR(__xludf.DUMMYFUNCTION("""COMPUTED_VALUE"""),"USA")</f>
        <v>USA</v>
      </c>
      <c r="F252" s="8" t="str">
        <f>IFERROR(__xludf.DUMMYFUNCTION("""COMPUTED_VALUE"""),"Pro Doubles 501")</f>
        <v>Pro Doubles 501</v>
      </c>
      <c r="G252" s="8" t="str">
        <f>IFERROR(__xludf.DUMMYFUNCTION("""COMPUTED_VALUE"""),"1st")</f>
        <v>1st</v>
      </c>
      <c r="H252" s="8" t="str">
        <f>IFERROR(__xludf.DUMMYFUNCTION("""COMPUTED_VALUE"""),"Georgia BS 34")</f>
        <v>Georgia BS 34</v>
      </c>
      <c r="I252" s="10">
        <f>IFERROR(__xludf.DUMMYFUNCTION("""COMPUTED_VALUE"""),43617.0)</f>
        <v>43617</v>
      </c>
      <c r="J252" s="10" t="str">
        <f>IFERROR(__xludf.DUMMYFUNCTION("""COMPUTED_VALUE"""),"")</f>
        <v/>
      </c>
      <c r="K252" s="15" t="str">
        <f>IFERROR(__xludf.DUMMYFUNCTION("""COMPUTED_VALUE"""),"")</f>
        <v/>
      </c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9" t="str">
        <f>IFERROR(__xludf.DUMMYFUNCTION("""COMPUTED_VALUE"""),"Sun")</f>
        <v>Sun</v>
      </c>
      <c r="B253" s="8" t="str">
        <f>IFERROR(__xludf.DUMMYFUNCTION("""COMPUTED_VALUE"""),"Lourenco")</f>
        <v>Lourenco</v>
      </c>
      <c r="C253" s="8" t="str">
        <f>IFERROR(__xludf.DUMMYFUNCTION("""COMPUTED_VALUE"""),"")</f>
        <v/>
      </c>
      <c r="D253" s="8" t="str">
        <f>IFERROR(__xludf.DUMMYFUNCTION("""COMPUTED_VALUE"""),"UNK")</f>
        <v>UNK</v>
      </c>
      <c r="E253" s="8" t="str">
        <f>IFERROR(__xludf.DUMMYFUNCTION("""COMPUTED_VALUE"""),"MACAU")</f>
        <v>MACAU</v>
      </c>
      <c r="F253" s="8" t="str">
        <f>IFERROR(__xludf.DUMMYFUNCTION("""COMPUTED_VALUE"""),"DL")</f>
        <v>DL</v>
      </c>
      <c r="G253" s="8" t="str">
        <f>IFERROR(__xludf.DUMMYFUNCTION("""COMPUTED_VALUE"""),"44th")</f>
        <v>44th</v>
      </c>
      <c r="H253" s="8" t="str">
        <f>IFERROR(__xludf.DUMMYFUNCTION("""COMPUTED_VALUE"""),"DL 2018")</f>
        <v>DL 2018</v>
      </c>
      <c r="I253" s="10">
        <f>IFERROR(__xludf.DUMMYFUNCTION("""COMPUTED_VALUE"""),43136.0)</f>
        <v>43136</v>
      </c>
      <c r="J253" s="10">
        <f>IFERROR(__xludf.DUMMYFUNCTION("""COMPUTED_VALUE"""),44348.0)</f>
        <v>44348</v>
      </c>
      <c r="K253" s="15">
        <f>IFERROR(__xludf.DUMMYFUNCTION("""COMPUTED_VALUE"""),45444.0)</f>
        <v>45444</v>
      </c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9" t="str">
        <f>IFERROR(__xludf.DUMMYFUNCTION("""COMPUTED_VALUE"""),"Suzuki")</f>
        <v>Suzuki</v>
      </c>
      <c r="B254" s="8" t="str">
        <f>IFERROR(__xludf.DUMMYFUNCTION("""COMPUTED_VALUE"""),"Mikuru")</f>
        <v>Mikuru</v>
      </c>
      <c r="C254" s="8" t="str">
        <f>IFERROR(__xludf.DUMMYFUNCTION("""COMPUTED_VALUE"""),"")</f>
        <v/>
      </c>
      <c r="D254" s="8" t="str">
        <f>IFERROR(__xludf.DUMMYFUNCTION("""COMPUTED_VALUE"""),"UNK")</f>
        <v>UNK</v>
      </c>
      <c r="E254" s="8" t="str">
        <f>IFERROR(__xludf.DUMMYFUNCTION("""COMPUTED_VALUE"""),"Japan")</f>
        <v>Japan</v>
      </c>
      <c r="F254" s="8" t="str">
        <f>IFERROR(__xludf.DUMMYFUNCTION("""COMPUTED_VALUE"""),"DL")</f>
        <v>DL</v>
      </c>
      <c r="G254" s="8" t="str">
        <f>IFERROR(__xludf.DUMMYFUNCTION("""COMPUTED_VALUE"""),"29th")</f>
        <v>29th</v>
      </c>
      <c r="H254" s="8" t="str">
        <f>IFERROR(__xludf.DUMMYFUNCTION("""COMPUTED_VALUE"""),"DL 2018")</f>
        <v>DL 2018</v>
      </c>
      <c r="I254" s="10">
        <f>IFERROR(__xludf.DUMMYFUNCTION("""COMPUTED_VALUE"""),43136.0)</f>
        <v>43136</v>
      </c>
      <c r="J254" s="10">
        <f>IFERROR(__xludf.DUMMYFUNCTION("""COMPUTED_VALUE"""),44348.0)</f>
        <v>44348</v>
      </c>
      <c r="K254" s="15">
        <f>IFERROR(__xludf.DUMMYFUNCTION("""COMPUTED_VALUE"""),45444.0)</f>
        <v>45444</v>
      </c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9" t="str">
        <f>IFERROR(__xludf.DUMMYFUNCTION("""COMPUTED_VALUE"""),"Suzuki")</f>
        <v>Suzuki</v>
      </c>
      <c r="B255" s="8" t="str">
        <f>IFERROR(__xludf.DUMMYFUNCTION("""COMPUTED_VALUE"""),"Takehiro")</f>
        <v>Takehiro</v>
      </c>
      <c r="C255" s="8" t="str">
        <f>IFERROR(__xludf.DUMMYFUNCTION("""COMPUTED_VALUE"""),"Japan")</f>
        <v>Japan</v>
      </c>
      <c r="D255" s="8" t="str">
        <f>IFERROR(__xludf.DUMMYFUNCTION("""COMPUTED_VALUE"""),"UNK")</f>
        <v>UNK</v>
      </c>
      <c r="E255" s="8" t="str">
        <f>IFERROR(__xludf.DUMMYFUNCTION("""COMPUTED_VALUE"""),"Japan")</f>
        <v>Japan</v>
      </c>
      <c r="F255" s="8" t="str">
        <f>IFERROR(__xludf.DUMMYFUNCTION("""COMPUTED_VALUE"""),"DL")</f>
        <v>DL</v>
      </c>
      <c r="G255" s="8" t="str">
        <f>IFERROR(__xludf.DUMMYFUNCTION("""COMPUTED_VALUE"""),"23rd")</f>
        <v>23rd</v>
      </c>
      <c r="H255" s="8" t="str">
        <f>IFERROR(__xludf.DUMMYFUNCTION("""COMPUTED_VALUE"""),"DL")</f>
        <v>DL</v>
      </c>
      <c r="I255" s="10">
        <f>IFERROR(__xludf.DUMMYFUNCTION("""COMPUTED_VALUE"""),42767.0)</f>
        <v>42767</v>
      </c>
      <c r="J255" s="10">
        <f>IFERROR(__xludf.DUMMYFUNCTION("""COMPUTED_VALUE"""),43983.0)</f>
        <v>43983</v>
      </c>
      <c r="K255" s="15">
        <f>IFERROR(__xludf.DUMMYFUNCTION("""COMPUTED_VALUE"""),45078.0)</f>
        <v>45078</v>
      </c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9" t="str">
        <f>IFERROR(__xludf.DUMMYFUNCTION("""COMPUTED_VALUE"""),"Swift")</f>
        <v>Swift</v>
      </c>
      <c r="B256" s="8" t="str">
        <f>IFERROR(__xludf.DUMMYFUNCTION("""COMPUTED_VALUE"""),"Kris")</f>
        <v>Kris</v>
      </c>
      <c r="C256" s="8" t="str">
        <f>IFERROR(__xludf.DUMMYFUNCTION("""COMPUTED_VALUE"""),"Fort Worth")</f>
        <v>Fort Worth</v>
      </c>
      <c r="D256" s="8" t="str">
        <f>IFERROR(__xludf.DUMMYFUNCTION("""COMPUTED_VALUE"""),"TX")</f>
        <v>TX</v>
      </c>
      <c r="E256" s="8" t="str">
        <f>IFERROR(__xludf.DUMMYFUNCTION("""COMPUTED_VALUE"""),"USA")</f>
        <v>USA</v>
      </c>
      <c r="F256" s="8" t="str">
        <f>IFERROR(__xludf.DUMMYFUNCTION("""COMPUTED_VALUE"""),"ADO 2018")</f>
        <v>ADO 2018</v>
      </c>
      <c r="G256" s="8" t="str">
        <f>IFERROR(__xludf.DUMMYFUNCTION("""COMPUTED_VALUE"""),"9th")</f>
        <v>9th</v>
      </c>
      <c r="H256" s="8" t="str">
        <f>IFERROR(__xludf.DUMMYFUNCTION("""COMPUTED_VALUE"""),"ADO 2018")</f>
        <v>ADO 2018</v>
      </c>
      <c r="I256" s="10">
        <f>IFERROR(__xludf.DUMMYFUNCTION("""COMPUTED_VALUE"""),43132.0)</f>
        <v>43132</v>
      </c>
      <c r="J256" s="10">
        <f>IFERROR(__xludf.DUMMYFUNCTION("""COMPUTED_VALUE"""),44348.0)</f>
        <v>44348</v>
      </c>
      <c r="K256" s="15">
        <f>IFERROR(__xludf.DUMMYFUNCTION("""COMPUTED_VALUE"""),45444.0)</f>
        <v>45444</v>
      </c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9" t="str">
        <f>IFERROR(__xludf.DUMMYFUNCTION("""COMPUTED_VALUE"""),"Tauber")</f>
        <v>Tauber</v>
      </c>
      <c r="B257" s="8" t="str">
        <f>IFERROR(__xludf.DUMMYFUNCTION("""COMPUTED_VALUE"""),"Alexander")</f>
        <v>Alexander</v>
      </c>
      <c r="C257" s="8" t="str">
        <f>IFERROR(__xludf.DUMMYFUNCTION("""COMPUTED_VALUE"""),"")</f>
        <v/>
      </c>
      <c r="D257" s="8" t="str">
        <f>IFERROR(__xludf.DUMMYFUNCTION("""COMPUTED_VALUE"""),"UNK")</f>
        <v>UNK</v>
      </c>
      <c r="E257" s="8" t="str">
        <f>IFERROR(__xludf.DUMMYFUNCTION("""COMPUTED_VALUE"""),"Croatia")</f>
        <v>Croatia</v>
      </c>
      <c r="F257" s="8" t="str">
        <f>IFERROR(__xludf.DUMMYFUNCTION("""COMPUTED_VALUE"""),"PDC Merit Ranking")</f>
        <v>PDC Merit Ranking</v>
      </c>
      <c r="G257" s="8" t="str">
        <f>IFERROR(__xludf.DUMMYFUNCTION("""COMPUTED_VALUE"""),"")</f>
        <v/>
      </c>
      <c r="H257" s="8" t="str">
        <f>IFERROR(__xludf.DUMMYFUNCTION("""COMPUTED_VALUE"""),"")</f>
        <v/>
      </c>
      <c r="I257" s="10">
        <f>IFERROR(__xludf.DUMMYFUNCTION("""COMPUTED_VALUE"""),42767.0)</f>
        <v>42767</v>
      </c>
      <c r="J257" s="10">
        <f>IFERROR(__xludf.DUMMYFUNCTION("""COMPUTED_VALUE"""),43983.0)</f>
        <v>43983</v>
      </c>
      <c r="K257" s="15">
        <f>IFERROR(__xludf.DUMMYFUNCTION("""COMPUTED_VALUE"""),45078.0)</f>
        <v>45078</v>
      </c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9" t="str">
        <f>IFERROR(__xludf.DUMMYFUNCTION("""COMPUTED_VALUE"""),"Taylor")</f>
        <v>Taylor</v>
      </c>
      <c r="B258" s="8" t="str">
        <f>IFERROR(__xludf.DUMMYFUNCTION("""COMPUTED_VALUE"""),"Phil")</f>
        <v>Phil</v>
      </c>
      <c r="C258" s="8" t="str">
        <f>IFERROR(__xludf.DUMMYFUNCTION("""COMPUTED_VALUE"""),"")</f>
        <v/>
      </c>
      <c r="D258" s="8" t="str">
        <f>IFERROR(__xludf.DUMMYFUNCTION("""COMPUTED_VALUE"""),"UNK")</f>
        <v>UNK</v>
      </c>
      <c r="E258" s="8" t="str">
        <f>IFERROR(__xludf.DUMMYFUNCTION("""COMPUTED_VALUE"""),"England")</f>
        <v>England</v>
      </c>
      <c r="F258" s="8" t="str">
        <f>IFERROR(__xludf.DUMMYFUNCTION("""COMPUTED_VALUE"""),"PDC Merit Ranking")</f>
        <v>PDC Merit Ranking</v>
      </c>
      <c r="G258" s="8" t="str">
        <f>IFERROR(__xludf.DUMMYFUNCTION("""COMPUTED_VALUE"""),"6th")</f>
        <v>6th</v>
      </c>
      <c r="H258" s="8" t="str">
        <f>IFERROR(__xludf.DUMMYFUNCTION("""COMPUTED_VALUE"""),"Known Ability")</f>
        <v>Known Ability</v>
      </c>
      <c r="I258" s="10">
        <f>IFERROR(__xludf.DUMMYFUNCTION("""COMPUTED_VALUE"""),42767.0)</f>
        <v>42767</v>
      </c>
      <c r="J258" s="10" t="str">
        <f>IFERROR(__xludf.DUMMYFUNCTION("""COMPUTED_VALUE"""),"")</f>
        <v/>
      </c>
      <c r="K258" s="15">
        <f>IFERROR(__xludf.DUMMYFUNCTION("""COMPUTED_VALUE"""),45809.0)</f>
        <v>45809</v>
      </c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9" t="str">
        <f>IFERROR(__xludf.DUMMYFUNCTION("""COMPUTED_VALUE"""),"Thanawat")</f>
        <v>Thanawat</v>
      </c>
      <c r="B259" s="8" t="str">
        <f>IFERROR(__xludf.DUMMYFUNCTION("""COMPUTED_VALUE"""),"Youg")</f>
        <v>Youg</v>
      </c>
      <c r="C259" s="8" t="str">
        <f>IFERROR(__xludf.DUMMYFUNCTION("""COMPUTED_VALUE"""),"")</f>
        <v/>
      </c>
      <c r="D259" s="8" t="str">
        <f>IFERROR(__xludf.DUMMYFUNCTION("""COMPUTED_VALUE"""),"UNK")</f>
        <v>UNK</v>
      </c>
      <c r="E259" s="8" t="str">
        <f>IFERROR(__xludf.DUMMYFUNCTION("""COMPUTED_VALUE"""),"Thailand")</f>
        <v>Thailand</v>
      </c>
      <c r="F259" s="8" t="str">
        <f>IFERROR(__xludf.DUMMYFUNCTION("""COMPUTED_VALUE"""),"DL")</f>
        <v>DL</v>
      </c>
      <c r="G259" s="8" t="str">
        <f>IFERROR(__xludf.DUMMYFUNCTION("""COMPUTED_VALUE"""),"57th")</f>
        <v>57th</v>
      </c>
      <c r="H259" s="8" t="str">
        <f>IFERROR(__xludf.DUMMYFUNCTION("""COMPUTED_VALUE"""),"DL 2018")</f>
        <v>DL 2018</v>
      </c>
      <c r="I259" s="10">
        <f>IFERROR(__xludf.DUMMYFUNCTION("""COMPUTED_VALUE"""),43136.0)</f>
        <v>43136</v>
      </c>
      <c r="J259" s="10">
        <f>IFERROR(__xludf.DUMMYFUNCTION("""COMPUTED_VALUE"""),44348.0)</f>
        <v>44348</v>
      </c>
      <c r="K259" s="15">
        <f>IFERROR(__xludf.DUMMYFUNCTION("""COMPUTED_VALUE"""),45444.0)</f>
        <v>45444</v>
      </c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9" t="str">
        <f>IFERROR(__xludf.DUMMYFUNCTION("""COMPUTED_VALUE"""),"Thornton")</f>
        <v>Thornton</v>
      </c>
      <c r="B260" s="8" t="str">
        <f>IFERROR(__xludf.DUMMYFUNCTION("""COMPUTED_VALUE"""),"Robert")</f>
        <v>Robert</v>
      </c>
      <c r="C260" s="8" t="str">
        <f>IFERROR(__xludf.DUMMYFUNCTION("""COMPUTED_VALUE"""),"")</f>
        <v/>
      </c>
      <c r="D260" s="8" t="str">
        <f>IFERROR(__xludf.DUMMYFUNCTION("""COMPUTED_VALUE"""),"UNK")</f>
        <v>UNK</v>
      </c>
      <c r="E260" s="8" t="str">
        <f>IFERROR(__xludf.DUMMYFUNCTION("""COMPUTED_VALUE"""),"Scotland")</f>
        <v>Scotland</v>
      </c>
      <c r="F260" s="8" t="str">
        <f>IFERROR(__xludf.DUMMYFUNCTION("""COMPUTED_VALUE"""),"PDC Merit Ranking")</f>
        <v>PDC Merit Ranking</v>
      </c>
      <c r="G260" s="8" t="str">
        <f>IFERROR(__xludf.DUMMYFUNCTION("""COMPUTED_VALUE"""),"26th")</f>
        <v>26th</v>
      </c>
      <c r="H260" s="8" t="str">
        <f>IFERROR(__xludf.DUMMYFUNCTION("""COMPUTED_VALUE"""),"PDC Merit Ranking")</f>
        <v>PDC Merit Ranking</v>
      </c>
      <c r="I260" s="10">
        <f>IFERROR(__xludf.DUMMYFUNCTION("""COMPUTED_VALUE"""),43132.0)</f>
        <v>43132</v>
      </c>
      <c r="J260" s="10">
        <f>IFERROR(__xludf.DUMMYFUNCTION("""COMPUTED_VALUE"""),44348.0)</f>
        <v>44348</v>
      </c>
      <c r="K260" s="15">
        <f>IFERROR(__xludf.DUMMYFUNCTION("""COMPUTED_VALUE"""),45444.0)</f>
        <v>45444</v>
      </c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9" t="str">
        <f>IFERROR(__xludf.DUMMYFUNCTION("""COMPUTED_VALUE"""),"Tremblay")</f>
        <v>Tremblay</v>
      </c>
      <c r="B261" s="8" t="str">
        <f>IFERROR(__xludf.DUMMYFUNCTION("""COMPUTED_VALUE"""),"Martin")</f>
        <v>Martin</v>
      </c>
      <c r="C261" s="8" t="str">
        <f>IFERROR(__xludf.DUMMYFUNCTION("""COMPUTED_VALUE"""),"")</f>
        <v/>
      </c>
      <c r="D261" s="8" t="str">
        <f>IFERROR(__xludf.DUMMYFUNCTION("""COMPUTED_VALUE"""),"CA")</f>
        <v>CA</v>
      </c>
      <c r="E261" s="8" t="str">
        <f>IFERROR(__xludf.DUMMYFUNCTION("""COMPUTED_VALUE"""),"USA")</f>
        <v>USA</v>
      </c>
      <c r="F261" s="8" t="str">
        <f>IFERROR(__xludf.DUMMYFUNCTION("""COMPUTED_VALUE"""),"NAPDA 2018")</f>
        <v>NAPDA 2018</v>
      </c>
      <c r="G261" s="8" t="str">
        <f>IFERROR(__xludf.DUMMYFUNCTION("""COMPUTED_VALUE"""),"14th")</f>
        <v>14th</v>
      </c>
      <c r="H261" s="8" t="str">
        <f>IFERROR(__xludf.DUMMYFUNCTION("""COMPUTED_VALUE"""),"NAPDA 2018")</f>
        <v>NAPDA 2018</v>
      </c>
      <c r="I261" s="10">
        <f>IFERROR(__xludf.DUMMYFUNCTION("""COMPUTED_VALUE"""),43132.0)</f>
        <v>43132</v>
      </c>
      <c r="J261" s="10">
        <f>IFERROR(__xludf.DUMMYFUNCTION("""COMPUTED_VALUE"""),44348.0)</f>
        <v>44348</v>
      </c>
      <c r="K261" s="15">
        <f>IFERROR(__xludf.DUMMYFUNCTION("""COMPUTED_VALUE"""),45444.0)</f>
        <v>45444</v>
      </c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9" t="str">
        <f>IFERROR(__xludf.DUMMYFUNCTION("""COMPUTED_VALUE"""),"Tricole")</f>
        <v>Tricole</v>
      </c>
      <c r="B262" s="8" t="str">
        <f>IFERROR(__xludf.DUMMYFUNCTION("""COMPUTED_VALUE"""),"Thibault")</f>
        <v>Thibault</v>
      </c>
      <c r="C262" s="8" t="str">
        <f>IFERROR(__xludf.DUMMYFUNCTION("""COMPUTED_VALUE"""),"")</f>
        <v/>
      </c>
      <c r="D262" s="8" t="str">
        <f>IFERROR(__xludf.DUMMYFUNCTION("""COMPUTED_VALUE"""),"")</f>
        <v/>
      </c>
      <c r="E262" s="8" t="str">
        <f>IFERROR(__xludf.DUMMYFUNCTION("""COMPUTED_VALUE"""),"France")</f>
        <v>France</v>
      </c>
      <c r="F262" s="8" t="str">
        <f>IFERROR(__xludf.DUMMYFUNCTION("""COMPUTED_VALUE"""),"Pro Cricket Doubles")</f>
        <v>Pro Cricket Doubles</v>
      </c>
      <c r="G262" s="8" t="str">
        <f>IFERROR(__xludf.DUMMYFUNCTION("""COMPUTED_VALUE"""),"4th")</f>
        <v>4th</v>
      </c>
      <c r="H262" s="8" t="str">
        <f>IFERROR(__xludf.DUMMYFUNCTION("""COMPUTED_VALUE"""),"BS 33 Finals")</f>
        <v>BS 33 Finals</v>
      </c>
      <c r="I262" s="10">
        <f>IFERROR(__xludf.DUMMYFUNCTION("""COMPUTED_VALUE"""),43252.0)</f>
        <v>43252</v>
      </c>
      <c r="J262" s="10">
        <f>IFERROR(__xludf.DUMMYFUNCTION("""COMPUTED_VALUE"""),44348.0)</f>
        <v>44348</v>
      </c>
      <c r="K262" s="15">
        <f>IFERROR(__xludf.DUMMYFUNCTION("""COMPUTED_VALUE"""),45444.0)</f>
        <v>45444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9" t="str">
        <f>IFERROR(__xludf.DUMMYFUNCTION("""COMPUTED_VALUE"""),"Tsai")</f>
        <v>Tsai</v>
      </c>
      <c r="B263" s="8" t="str">
        <f>IFERROR(__xludf.DUMMYFUNCTION("""COMPUTED_VALUE"""),"Howei")</f>
        <v>Howei</v>
      </c>
      <c r="C263" s="8" t="str">
        <f>IFERROR(__xludf.DUMMYFUNCTION("""COMPUTED_VALUE"""),"")</f>
        <v/>
      </c>
      <c r="D263" s="8" t="str">
        <f>IFERROR(__xludf.DUMMYFUNCTION("""COMPUTED_VALUE"""),"UNK")</f>
        <v>UNK</v>
      </c>
      <c r="E263" s="8" t="str">
        <f>IFERROR(__xludf.DUMMYFUNCTION("""COMPUTED_VALUE"""),"Taiwan")</f>
        <v>Taiwan</v>
      </c>
      <c r="F263" s="8" t="str">
        <f>IFERROR(__xludf.DUMMYFUNCTION("""COMPUTED_VALUE"""),"DL")</f>
        <v>DL</v>
      </c>
      <c r="G263" s="8" t="str">
        <f>IFERROR(__xludf.DUMMYFUNCTION("""COMPUTED_VALUE"""),"20th")</f>
        <v>20th</v>
      </c>
      <c r="H263" s="8" t="str">
        <f>IFERROR(__xludf.DUMMYFUNCTION("""COMPUTED_VALUE"""),"DL 2018")</f>
        <v>DL 2018</v>
      </c>
      <c r="I263" s="10">
        <f>IFERROR(__xludf.DUMMYFUNCTION("""COMPUTED_VALUE"""),43136.0)</f>
        <v>43136</v>
      </c>
      <c r="J263" s="10">
        <f>IFERROR(__xludf.DUMMYFUNCTION("""COMPUTED_VALUE"""),44348.0)</f>
        <v>44348</v>
      </c>
      <c r="K263" s="15">
        <f>IFERROR(__xludf.DUMMYFUNCTION("""COMPUTED_VALUE"""),45444.0)</f>
        <v>45444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9" t="str">
        <f>IFERROR(__xludf.DUMMYFUNCTION("""COMPUTED_VALUE"""),"Valenjuela")</f>
        <v>Valenjuela</v>
      </c>
      <c r="B264" s="8" t="str">
        <f>IFERROR(__xludf.DUMMYFUNCTION("""COMPUTED_VALUE"""),"Oscar")</f>
        <v>Oscar</v>
      </c>
      <c r="C264" s="8" t="str">
        <f>IFERROR(__xludf.DUMMYFUNCTION("""COMPUTED_VALUE"""),"")</f>
        <v/>
      </c>
      <c r="D264" s="8" t="str">
        <f>IFERROR(__xludf.DUMMYFUNCTION("""COMPUTED_VALUE"""),"UNK")</f>
        <v>UNK</v>
      </c>
      <c r="E264" s="8" t="str">
        <f>IFERROR(__xludf.DUMMYFUNCTION("""COMPUTED_VALUE"""),"Spain")</f>
        <v>Spain</v>
      </c>
      <c r="F264" s="8" t="str">
        <f>IFERROR(__xludf.DUMMYFUNCTION("""COMPUTED_VALUE"""),"Pro 701 Singles")</f>
        <v>Pro 701 Singles</v>
      </c>
      <c r="G264" s="8" t="str">
        <f>IFERROR(__xludf.DUMMYFUNCTION("""COMPUTED_VALUE"""),"3rd")</f>
        <v>3rd</v>
      </c>
      <c r="H264" s="8" t="str">
        <f>IFERROR(__xludf.DUMMYFUNCTION("""COMPUTED_VALUE"""),"European BullShooter XXV")</f>
        <v>European BullShooter XXV</v>
      </c>
      <c r="I264" s="10">
        <f>IFERROR(__xludf.DUMMYFUNCTION("""COMPUTED_VALUE"""),42828.0)</f>
        <v>42828</v>
      </c>
      <c r="J264" s="10">
        <f>IFERROR(__xludf.DUMMYFUNCTION("""COMPUTED_VALUE"""),43983.0)</f>
        <v>43983</v>
      </c>
      <c r="K264" s="15">
        <f>IFERROR(__xludf.DUMMYFUNCTION("""COMPUTED_VALUE"""),45078.0)</f>
        <v>45078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9" t="str">
        <f>IFERROR(__xludf.DUMMYFUNCTION("""COMPUTED_VALUE"""),"Valentin")</f>
        <v>Valentin</v>
      </c>
      <c r="B265" s="8" t="str">
        <f>IFERROR(__xludf.DUMMYFUNCTION("""COMPUTED_VALUE"""),"Michael")</f>
        <v>Michael</v>
      </c>
      <c r="C265" s="8" t="str">
        <f>IFERROR(__xludf.DUMMYFUNCTION("""COMPUTED_VALUE"""),"")</f>
        <v/>
      </c>
      <c r="D265" s="8" t="str">
        <f>IFERROR(__xludf.DUMMYFUNCTION("""COMPUTED_VALUE"""),"UNK")</f>
        <v>UNK</v>
      </c>
      <c r="E265" s="8" t="str">
        <f>IFERROR(__xludf.DUMMYFUNCTION("""COMPUTED_VALUE"""),"France")</f>
        <v>France</v>
      </c>
      <c r="F265" s="8" t="str">
        <f>IFERROR(__xludf.DUMMYFUNCTION("""COMPUTED_VALUE"""),"DL")</f>
        <v>DL</v>
      </c>
      <c r="G265" s="8" t="str">
        <f>IFERROR(__xludf.DUMMYFUNCTION("""COMPUTED_VALUE"""),"24th")</f>
        <v>24th</v>
      </c>
      <c r="H265" s="8" t="str">
        <f>IFERROR(__xludf.DUMMYFUNCTION("""COMPUTED_VALUE"""),"DL 2018")</f>
        <v>DL 2018</v>
      </c>
      <c r="I265" s="10">
        <f>IFERROR(__xludf.DUMMYFUNCTION("""COMPUTED_VALUE"""),43136.0)</f>
        <v>43136</v>
      </c>
      <c r="J265" s="10">
        <f>IFERROR(__xludf.DUMMYFUNCTION("""COMPUTED_VALUE"""),44348.0)</f>
        <v>44348</v>
      </c>
      <c r="K265" s="15">
        <f>IFERROR(__xludf.DUMMYFUNCTION("""COMPUTED_VALUE"""),45444.0)</f>
        <v>45444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9" t="str">
        <f>IFERROR(__xludf.DUMMYFUNCTION("""COMPUTED_VALUE"""),"Van Barneveld")</f>
        <v>Van Barneveld</v>
      </c>
      <c r="B266" s="8" t="str">
        <f>IFERROR(__xludf.DUMMYFUNCTION("""COMPUTED_VALUE"""),"Raymond")</f>
        <v>Raymond</v>
      </c>
      <c r="C266" s="8" t="str">
        <f>IFERROR(__xludf.DUMMYFUNCTION("""COMPUTED_VALUE"""),"")</f>
        <v/>
      </c>
      <c r="D266" s="8" t="str">
        <f>IFERROR(__xludf.DUMMYFUNCTION("""COMPUTED_VALUE"""),"UNK")</f>
        <v>UNK</v>
      </c>
      <c r="E266" s="8" t="str">
        <f>IFERROR(__xludf.DUMMYFUNCTION("""COMPUTED_VALUE"""),"Netherlands")</f>
        <v>Netherlands</v>
      </c>
      <c r="F266" s="8" t="str">
        <f>IFERROR(__xludf.DUMMYFUNCTION("""COMPUTED_VALUE"""),"PDC Merit Ranking")</f>
        <v>PDC Merit Ranking</v>
      </c>
      <c r="G266" s="8" t="str">
        <f>IFERROR(__xludf.DUMMYFUNCTION("""COMPUTED_VALUE"""),"10th")</f>
        <v>10th</v>
      </c>
      <c r="H266" s="8" t="str">
        <f>IFERROR(__xludf.DUMMYFUNCTION("""COMPUTED_VALUE"""),"PDC Merit Ranking")</f>
        <v>PDC Merit Ranking</v>
      </c>
      <c r="I266" s="10">
        <f>IFERROR(__xludf.DUMMYFUNCTION("""COMPUTED_VALUE"""),43132.0)</f>
        <v>43132</v>
      </c>
      <c r="J266" s="10">
        <f>IFERROR(__xludf.DUMMYFUNCTION("""COMPUTED_VALUE"""),44348.0)</f>
        <v>44348</v>
      </c>
      <c r="K266" s="15">
        <f>IFERROR(__xludf.DUMMYFUNCTION("""COMPUTED_VALUE"""),45444.0)</f>
        <v>45444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9" t="str">
        <f>IFERROR(__xludf.DUMMYFUNCTION("""COMPUTED_VALUE"""),"Van Bouwel")</f>
        <v>Van Bouwel</v>
      </c>
      <c r="B267" s="8" t="str">
        <f>IFERROR(__xludf.DUMMYFUNCTION("""COMPUTED_VALUE"""),"Alain")</f>
        <v>Alain</v>
      </c>
      <c r="C267" s="8" t="str">
        <f>IFERROR(__xludf.DUMMYFUNCTION("""COMPUTED_VALUE"""),"")</f>
        <v/>
      </c>
      <c r="D267" s="8" t="str">
        <f>IFERROR(__xludf.DUMMYFUNCTION("""COMPUTED_VALUE"""),"UNK")</f>
        <v>UNK</v>
      </c>
      <c r="E267" s="8" t="str">
        <f>IFERROR(__xludf.DUMMYFUNCTION("""COMPUTED_VALUE"""),"Holland")</f>
        <v>Holland</v>
      </c>
      <c r="F267" s="8" t="str">
        <f>IFERROR(__xludf.DUMMYFUNCTION("""COMPUTED_VALUE"""),"Pro Cricket Doubles")</f>
        <v>Pro Cricket Doubles</v>
      </c>
      <c r="G267" s="8" t="str">
        <f>IFERROR(__xludf.DUMMYFUNCTION("""COMPUTED_VALUE"""),"1st")</f>
        <v>1st</v>
      </c>
      <c r="H267" s="8" t="str">
        <f>IFERROR(__xludf.DUMMYFUNCTION("""COMPUTED_VALUE"""),"Euro Bullshooter XXV")</f>
        <v>Euro Bullshooter XXV</v>
      </c>
      <c r="I267" s="10">
        <f>IFERROR(__xludf.DUMMYFUNCTION("""COMPUTED_VALUE"""),42828.0)</f>
        <v>42828</v>
      </c>
      <c r="J267" s="10">
        <f>IFERROR(__xludf.DUMMYFUNCTION("""COMPUTED_VALUE"""),43983.0)</f>
        <v>43983</v>
      </c>
      <c r="K267" s="15">
        <f>IFERROR(__xludf.DUMMYFUNCTION("""COMPUTED_VALUE"""),45078.0)</f>
        <v>45078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9" t="str">
        <f>IFERROR(__xludf.DUMMYFUNCTION("""COMPUTED_VALUE"""),"Van de Pas")</f>
        <v>Van de Pas</v>
      </c>
      <c r="B268" s="8" t="str">
        <f>IFERROR(__xludf.DUMMYFUNCTION("""COMPUTED_VALUE"""),"Benito")</f>
        <v>Benito</v>
      </c>
      <c r="C268" s="8" t="str">
        <f>IFERROR(__xludf.DUMMYFUNCTION("""COMPUTED_VALUE"""),"")</f>
        <v/>
      </c>
      <c r="D268" s="8" t="str">
        <f>IFERROR(__xludf.DUMMYFUNCTION("""COMPUTED_VALUE"""),"UNK")</f>
        <v>UNK</v>
      </c>
      <c r="E268" s="8" t="str">
        <f>IFERROR(__xludf.DUMMYFUNCTION("""COMPUTED_VALUE"""),"Netherlands")</f>
        <v>Netherlands</v>
      </c>
      <c r="F268" s="8" t="str">
        <f>IFERROR(__xludf.DUMMYFUNCTION("""COMPUTED_VALUE"""),"PDC Merit Ranking")</f>
        <v>PDC Merit Ranking</v>
      </c>
      <c r="G268" s="8" t="str">
        <f>IFERROR(__xludf.DUMMYFUNCTION("""COMPUTED_VALUE"""),"13th")</f>
        <v>13th</v>
      </c>
      <c r="H268" s="8" t="str">
        <f>IFERROR(__xludf.DUMMYFUNCTION("""COMPUTED_VALUE"""),"PDC Merit Ranking")</f>
        <v>PDC Merit Ranking</v>
      </c>
      <c r="I268" s="10">
        <f>IFERROR(__xludf.DUMMYFUNCTION("""COMPUTED_VALUE"""),43132.0)</f>
        <v>43132</v>
      </c>
      <c r="J268" s="10">
        <f>IFERROR(__xludf.DUMMYFUNCTION("""COMPUTED_VALUE"""),44348.0)</f>
        <v>44348</v>
      </c>
      <c r="K268" s="15">
        <f>IFERROR(__xludf.DUMMYFUNCTION("""COMPUTED_VALUE"""),45444.0)</f>
        <v>45444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9" t="str">
        <f>IFERROR(__xludf.DUMMYFUNCTION("""COMPUTED_VALUE"""),"Van de Rijck")</f>
        <v>Van de Rijck</v>
      </c>
      <c r="B269" s="8" t="str">
        <f>IFERROR(__xludf.DUMMYFUNCTION("""COMPUTED_VALUE"""),"Kurt")</f>
        <v>Kurt</v>
      </c>
      <c r="C269" s="8" t="str">
        <f>IFERROR(__xludf.DUMMYFUNCTION("""COMPUTED_VALUE"""),"Belgium")</f>
        <v>Belgium</v>
      </c>
      <c r="D269" s="8" t="str">
        <f>IFERROR(__xludf.DUMMYFUNCTION("""COMPUTED_VALUE"""),"UNK")</f>
        <v>UNK</v>
      </c>
      <c r="E269" s="8" t="str">
        <f>IFERROR(__xludf.DUMMYFUNCTION("""COMPUTED_VALUE"""),"Belgium")</f>
        <v>Belgium</v>
      </c>
      <c r="F269" s="8" t="str">
        <f>IFERROR(__xludf.DUMMYFUNCTION("""COMPUTED_VALUE"""),"Pro AA 501 Singles")</f>
        <v>Pro AA 501 Singles</v>
      </c>
      <c r="G269" s="8" t="str">
        <f>IFERROR(__xludf.DUMMYFUNCTION("""COMPUTED_VALUE"""),"1st")</f>
        <v>1st</v>
      </c>
      <c r="H269" s="8" t="str">
        <f>IFERROR(__xludf.DUMMYFUNCTION("""COMPUTED_VALUE"""),"BullShooter 32")</f>
        <v>BullShooter 32</v>
      </c>
      <c r="I269" s="10">
        <f>IFERROR(__xludf.DUMMYFUNCTION("""COMPUTED_VALUE"""),42887.0)</f>
        <v>42887</v>
      </c>
      <c r="J269" s="10">
        <f>IFERROR(__xludf.DUMMYFUNCTION("""COMPUTED_VALUE"""),43983.0)</f>
        <v>43983</v>
      </c>
      <c r="K269" s="15">
        <f>IFERROR(__xludf.DUMMYFUNCTION("""COMPUTED_VALUE"""),45078.0)</f>
        <v>45078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9" t="str">
        <f>IFERROR(__xludf.DUMMYFUNCTION("""COMPUTED_VALUE"""),"Van Den Bergh")</f>
        <v>Van Den Bergh</v>
      </c>
      <c r="B270" s="8" t="str">
        <f>IFERROR(__xludf.DUMMYFUNCTION("""COMPUTED_VALUE"""),"Dimitri")</f>
        <v>Dimitri</v>
      </c>
      <c r="C270" s="8" t="str">
        <f>IFERROR(__xludf.DUMMYFUNCTION("""COMPUTED_VALUE"""),"")</f>
        <v/>
      </c>
      <c r="D270" s="8" t="str">
        <f>IFERROR(__xludf.DUMMYFUNCTION("""COMPUTED_VALUE"""),"UNK")</f>
        <v>UNK</v>
      </c>
      <c r="E270" s="8" t="str">
        <f>IFERROR(__xludf.DUMMYFUNCTION("""COMPUTED_VALUE"""),"Belgium")</f>
        <v>Belgium</v>
      </c>
      <c r="F270" s="8" t="str">
        <f>IFERROR(__xludf.DUMMYFUNCTION("""COMPUTED_VALUE"""),"PDC Merit Ranking")</f>
        <v>PDC Merit Ranking</v>
      </c>
      <c r="G270" s="8" t="str">
        <f>IFERROR(__xludf.DUMMYFUNCTION("""COMPUTED_VALUE"""),"38th")</f>
        <v>38th</v>
      </c>
      <c r="H270" s="8" t="str">
        <f>IFERROR(__xludf.DUMMYFUNCTION("""COMPUTED_VALUE"""),"PDC Merit Ranking")</f>
        <v>PDC Merit Ranking</v>
      </c>
      <c r="I270" s="10">
        <f>IFERROR(__xludf.DUMMYFUNCTION("""COMPUTED_VALUE"""),43132.0)</f>
        <v>43132</v>
      </c>
      <c r="J270" s="10">
        <f>IFERROR(__xludf.DUMMYFUNCTION("""COMPUTED_VALUE"""),44348.0)</f>
        <v>44348</v>
      </c>
      <c r="K270" s="15">
        <f>IFERROR(__xludf.DUMMYFUNCTION("""COMPUTED_VALUE"""),45444.0)</f>
        <v>45444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9" t="str">
        <f>IFERROR(__xludf.DUMMYFUNCTION("""COMPUTED_VALUE"""),"Van der Voort")</f>
        <v>Van der Voort</v>
      </c>
      <c r="B271" s="8" t="str">
        <f>IFERROR(__xludf.DUMMYFUNCTION("""COMPUTED_VALUE"""),"Vincent")</f>
        <v>Vincent</v>
      </c>
      <c r="C271" s="8" t="str">
        <f>IFERROR(__xludf.DUMMYFUNCTION("""COMPUTED_VALUE"""),"")</f>
        <v/>
      </c>
      <c r="D271" s="8" t="str">
        <f>IFERROR(__xludf.DUMMYFUNCTION("""COMPUTED_VALUE"""),"UNK")</f>
        <v>UNK</v>
      </c>
      <c r="E271" s="8" t="str">
        <f>IFERROR(__xludf.DUMMYFUNCTION("""COMPUTED_VALUE"""),"Netherlands")</f>
        <v>Netherlands</v>
      </c>
      <c r="F271" s="8" t="str">
        <f>IFERROR(__xludf.DUMMYFUNCTION("""COMPUTED_VALUE"""),"PDC Merit Ranking")</f>
        <v>PDC Merit Ranking</v>
      </c>
      <c r="G271" s="8" t="str">
        <f>IFERROR(__xludf.DUMMYFUNCTION("""COMPUTED_VALUE"""),"33rd")</f>
        <v>33rd</v>
      </c>
      <c r="H271" s="8" t="str">
        <f>IFERROR(__xludf.DUMMYFUNCTION("""COMPUTED_VALUE"""),"PDC Merit Ranking")</f>
        <v>PDC Merit Ranking</v>
      </c>
      <c r="I271" s="10">
        <f>IFERROR(__xludf.DUMMYFUNCTION("""COMPUTED_VALUE"""),43132.0)</f>
        <v>43132</v>
      </c>
      <c r="J271" s="10">
        <f>IFERROR(__xludf.DUMMYFUNCTION("""COMPUTED_VALUE"""),44348.0)</f>
        <v>44348</v>
      </c>
      <c r="K271" s="15">
        <f>IFERROR(__xludf.DUMMYFUNCTION("""COMPUTED_VALUE"""),45444.0)</f>
        <v>45444</v>
      </c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9" t="str">
        <f>IFERROR(__xludf.DUMMYFUNCTION("""COMPUTED_VALUE"""),"Van Deurson")</f>
        <v>Van Deurson</v>
      </c>
      <c r="B272" s="8" t="str">
        <f>IFERROR(__xludf.DUMMYFUNCTION("""COMPUTED_VALUE"""),"Randy")</f>
        <v>Randy</v>
      </c>
      <c r="C272" s="8" t="str">
        <f>IFERROR(__xludf.DUMMYFUNCTION("""COMPUTED_VALUE"""),"Lindenhurst")</f>
        <v>Lindenhurst</v>
      </c>
      <c r="D272" s="8" t="str">
        <f>IFERROR(__xludf.DUMMYFUNCTION("""COMPUTED_VALUE"""),"IL")</f>
        <v>IL</v>
      </c>
      <c r="E272" s="8" t="str">
        <f>IFERROR(__xludf.DUMMYFUNCTION("""COMPUTED_VALUE"""),"USA")</f>
        <v>USA</v>
      </c>
      <c r="F272" s="8" t="str">
        <f>IFERROR(__xludf.DUMMYFUNCTION("""COMPUTED_VALUE"""),"Pro AA 501 Doubles")</f>
        <v>Pro AA 501 Doubles</v>
      </c>
      <c r="G272" s="8" t="str">
        <f>IFERROR(__xludf.DUMMYFUNCTION("""COMPUTED_VALUE"""),"4th")</f>
        <v>4th</v>
      </c>
      <c r="H272" s="8" t="str">
        <f>IFERROR(__xludf.DUMMYFUNCTION("""COMPUTED_VALUE"""),"BullShooter 34 Finals")</f>
        <v>BullShooter 34 Finals</v>
      </c>
      <c r="I272" s="10">
        <f>IFERROR(__xludf.DUMMYFUNCTION("""COMPUTED_VALUE"""),43617.0)</f>
        <v>43617</v>
      </c>
      <c r="J272" s="10">
        <f>IFERROR(__xludf.DUMMYFUNCTION("""COMPUTED_VALUE"""),44713.0)</f>
        <v>44713</v>
      </c>
      <c r="K272" s="15">
        <f>IFERROR(__xludf.DUMMYFUNCTION("""COMPUTED_VALUE"""),45809.0)</f>
        <v>45809</v>
      </c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9" t="str">
        <f>IFERROR(__xludf.DUMMYFUNCTION("""COMPUTED_VALUE"""),"Van Gerwen")</f>
        <v>Van Gerwen</v>
      </c>
      <c r="B273" s="8" t="str">
        <f>IFERROR(__xludf.DUMMYFUNCTION("""COMPUTED_VALUE"""),"Michael")</f>
        <v>Michael</v>
      </c>
      <c r="C273" s="8" t="str">
        <f>IFERROR(__xludf.DUMMYFUNCTION("""COMPUTED_VALUE"""),"")</f>
        <v/>
      </c>
      <c r="D273" s="8" t="str">
        <f>IFERROR(__xludf.DUMMYFUNCTION("""COMPUTED_VALUE"""),"UNK")</f>
        <v>UNK</v>
      </c>
      <c r="E273" s="8" t="str">
        <f>IFERROR(__xludf.DUMMYFUNCTION("""COMPUTED_VALUE"""),"Netherlands")</f>
        <v>Netherlands</v>
      </c>
      <c r="F273" s="8" t="str">
        <f>IFERROR(__xludf.DUMMYFUNCTION("""COMPUTED_VALUE"""),"PDC Merit Ranking")</f>
        <v>PDC Merit Ranking</v>
      </c>
      <c r="G273" s="8" t="str">
        <f>IFERROR(__xludf.DUMMYFUNCTION("""COMPUTED_VALUE"""),"1st")</f>
        <v>1st</v>
      </c>
      <c r="H273" s="8" t="str">
        <f>IFERROR(__xludf.DUMMYFUNCTION("""COMPUTED_VALUE"""),"Known Ability")</f>
        <v>Known Ability</v>
      </c>
      <c r="I273" s="10">
        <f>IFERROR(__xludf.DUMMYFUNCTION("""COMPUTED_VALUE"""),43132.0)</f>
        <v>43132</v>
      </c>
      <c r="J273" s="10">
        <f>IFERROR(__xludf.DUMMYFUNCTION("""COMPUTED_VALUE"""),44348.0)</f>
        <v>44348</v>
      </c>
      <c r="K273" s="15">
        <f>IFERROR(__xludf.DUMMYFUNCTION("""COMPUTED_VALUE"""),45444.0)</f>
        <v>45444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9" t="str">
        <f>IFERROR(__xludf.DUMMYFUNCTION("""COMPUTED_VALUE"""),"Van Loan")</f>
        <v>Van Loan</v>
      </c>
      <c r="B274" s="8" t="str">
        <f>IFERROR(__xludf.DUMMYFUNCTION("""COMPUTED_VALUE"""),"Jerry")</f>
        <v>Jerry</v>
      </c>
      <c r="C274" s="8" t="str">
        <f>IFERROR(__xludf.DUMMYFUNCTION("""COMPUTED_VALUE"""),"")</f>
        <v/>
      </c>
      <c r="D274" s="8" t="str">
        <f>IFERROR(__xludf.DUMMYFUNCTION("""COMPUTED_VALUE"""),"UNK")</f>
        <v>UNK</v>
      </c>
      <c r="E274" s="8" t="str">
        <f>IFERROR(__xludf.DUMMYFUNCTION("""COMPUTED_VALUE"""),"USA")</f>
        <v>USA</v>
      </c>
      <c r="F274" s="8" t="str">
        <f>IFERROR(__xludf.DUMMYFUNCTION("""COMPUTED_VALUE"""),"NAPDA 2017")</f>
        <v>NAPDA 2017</v>
      </c>
      <c r="G274" s="8" t="str">
        <f>IFERROR(__xludf.DUMMYFUNCTION("""COMPUTED_VALUE"""),"41st")</f>
        <v>41st</v>
      </c>
      <c r="H274" s="8" t="str">
        <f>IFERROR(__xludf.DUMMYFUNCTION("""COMPUTED_VALUE"""),"NAPDA 2017")</f>
        <v>NAPDA 2017</v>
      </c>
      <c r="I274" s="10">
        <f>IFERROR(__xludf.DUMMYFUNCTION("""COMPUTED_VALUE"""),42772.0)</f>
        <v>42772</v>
      </c>
      <c r="J274" s="10">
        <f>IFERROR(__xludf.DUMMYFUNCTION("""COMPUTED_VALUE"""),43983.0)</f>
        <v>43983</v>
      </c>
      <c r="K274" s="15">
        <f>IFERROR(__xludf.DUMMYFUNCTION("""COMPUTED_VALUE"""),45078.0)</f>
        <v>45078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9" t="str">
        <f>IFERROR(__xludf.DUMMYFUNCTION("""COMPUTED_VALUE"""),"Van Peer")</f>
        <v>Van Peer</v>
      </c>
      <c r="B275" s="8" t="str">
        <f>IFERROR(__xludf.DUMMYFUNCTION("""COMPUTED_VALUE"""),"Berry")</f>
        <v>Berry</v>
      </c>
      <c r="C275" s="8" t="str">
        <f>IFERROR(__xludf.DUMMYFUNCTION("""COMPUTED_VALUE"""),"")</f>
        <v/>
      </c>
      <c r="D275" s="8" t="str">
        <f>IFERROR(__xludf.DUMMYFUNCTION("""COMPUTED_VALUE"""),"")</f>
        <v/>
      </c>
      <c r="E275" s="8" t="str">
        <f>IFERROR(__xludf.DUMMYFUNCTION("""COMPUTED_VALUE"""),"NETHERLANDS")</f>
        <v>NETHERLANDS</v>
      </c>
      <c r="F275" s="8" t="str">
        <f>IFERROR(__xludf.DUMMYFUNCTION("""COMPUTED_VALUE"""),"Pro AA 501 Doubles")</f>
        <v>Pro AA 501 Doubles</v>
      </c>
      <c r="G275" s="8" t="str">
        <f>IFERROR(__xludf.DUMMYFUNCTION("""COMPUTED_VALUE"""),"3rd")</f>
        <v>3rd</v>
      </c>
      <c r="H275" s="8" t="str">
        <f>IFERROR(__xludf.DUMMYFUNCTION("""COMPUTED_VALUE"""),"BullShooter 34 Finals")</f>
        <v>BullShooter 34 Finals</v>
      </c>
      <c r="I275" s="10">
        <f>IFERROR(__xludf.DUMMYFUNCTION("""COMPUTED_VALUE"""),43617.0)</f>
        <v>43617</v>
      </c>
      <c r="J275" s="10">
        <f>IFERROR(__xludf.DUMMYFUNCTION("""COMPUTED_VALUE"""),44713.0)</f>
        <v>44713</v>
      </c>
      <c r="K275" s="15">
        <f>IFERROR(__xludf.DUMMYFUNCTION("""COMPUTED_VALUE"""),45809.0)</f>
        <v>45809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9" t="str">
        <f>IFERROR(__xludf.DUMMYFUNCTION("""COMPUTED_VALUE"""),"Van Zant")</f>
        <v>Van Zant</v>
      </c>
      <c r="B276" s="8" t="str">
        <f>IFERROR(__xludf.DUMMYFUNCTION("""COMPUTED_VALUE"""),"Jason")</f>
        <v>Jason</v>
      </c>
      <c r="C276" s="8" t="str">
        <f>IFERROR(__xludf.DUMMYFUNCTION("""COMPUTED_VALUE"""),"Kettering")</f>
        <v>Kettering</v>
      </c>
      <c r="D276" s="8" t="str">
        <f>IFERROR(__xludf.DUMMYFUNCTION("""COMPUTED_VALUE"""),"OH")</f>
        <v>OH</v>
      </c>
      <c r="E276" s="8" t="str">
        <f>IFERROR(__xludf.DUMMYFUNCTION("""COMPUTED_VALUE"""),"USA")</f>
        <v>USA</v>
      </c>
      <c r="F276" s="8" t="str">
        <f>IFERROR(__xludf.DUMMYFUNCTION("""COMPUTED_VALUE"""),"TopGun A/AA Triples")</f>
        <v>TopGun A/AA Triples</v>
      </c>
      <c r="G276" s="8" t="str">
        <f>IFERROR(__xludf.DUMMYFUNCTION("""COMPUTED_VALUE"""),"3rd")</f>
        <v>3rd</v>
      </c>
      <c r="H276" s="8" t="str">
        <f>IFERROR(__xludf.DUMMYFUNCTION("""COMPUTED_VALUE"""),"BullShooter 34 Finals")</f>
        <v>BullShooter 34 Finals</v>
      </c>
      <c r="I276" s="10">
        <f>IFERROR(__xludf.DUMMYFUNCTION("""COMPUTED_VALUE"""),43617.0)</f>
        <v>43617</v>
      </c>
      <c r="J276" s="10">
        <f>IFERROR(__xludf.DUMMYFUNCTION("""COMPUTED_VALUE"""),44713.0)</f>
        <v>44713</v>
      </c>
      <c r="K276" s="15">
        <f>IFERROR(__xludf.DUMMYFUNCTION("""COMPUTED_VALUE"""),45809.0)</f>
        <v>45809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9" t="str">
        <f>IFERROR(__xludf.DUMMYFUNCTION("""COMPUTED_VALUE"""),"Vaughn")</f>
        <v>Vaughn</v>
      </c>
      <c r="B277" s="8" t="str">
        <f>IFERROR(__xludf.DUMMYFUNCTION("""COMPUTED_VALUE"""),"Sidney")</f>
        <v>Sidney</v>
      </c>
      <c r="C277" s="8" t="str">
        <f>IFERROR(__xludf.DUMMYFUNCTION("""COMPUTED_VALUE"""),"Canonsburg")</f>
        <v>Canonsburg</v>
      </c>
      <c r="D277" s="8" t="str">
        <f>IFERROR(__xludf.DUMMYFUNCTION("""COMPUTED_VALUE"""),"PA")</f>
        <v>PA</v>
      </c>
      <c r="E277" s="8" t="str">
        <f>IFERROR(__xludf.DUMMYFUNCTION("""COMPUTED_VALUE"""),"USA")</f>
        <v>USA</v>
      </c>
      <c r="F277" s="8" t="str">
        <f>IFERROR(__xludf.DUMMYFUNCTION("""COMPUTED_VALUE"""),"TopGun A/AA Triples")</f>
        <v>TopGun A/AA Triples</v>
      </c>
      <c r="G277" s="8" t="str">
        <f>IFERROR(__xludf.DUMMYFUNCTION("""COMPUTED_VALUE"""),"1st")</f>
        <v>1st</v>
      </c>
      <c r="H277" s="8" t="str">
        <f>IFERROR(__xludf.DUMMYFUNCTION("""COMPUTED_VALUE"""),"BullShooter 34 Finals")</f>
        <v>BullShooter 34 Finals</v>
      </c>
      <c r="I277" s="10">
        <f>IFERROR(__xludf.DUMMYFUNCTION("""COMPUTED_VALUE"""),43617.0)</f>
        <v>43617</v>
      </c>
      <c r="J277" s="10">
        <f>IFERROR(__xludf.DUMMYFUNCTION("""COMPUTED_VALUE"""),44713.0)</f>
        <v>44713</v>
      </c>
      <c r="K277" s="15">
        <f>IFERROR(__xludf.DUMMYFUNCTION("""COMPUTED_VALUE"""),45809.0)</f>
        <v>45809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9" t="str">
        <f>IFERROR(__xludf.DUMMYFUNCTION("""COMPUTED_VALUE"""),"Villamor")</f>
        <v>Villamor</v>
      </c>
      <c r="B278" s="8" t="str">
        <f>IFERROR(__xludf.DUMMYFUNCTION("""COMPUTED_VALUE"""),"Andy")</f>
        <v>Andy</v>
      </c>
      <c r="C278" s="8" t="str">
        <f>IFERROR(__xludf.DUMMYFUNCTION("""COMPUTED_VALUE"""),"")</f>
        <v/>
      </c>
      <c r="D278" s="8" t="str">
        <f>IFERROR(__xludf.DUMMYFUNCTION("""COMPUTED_VALUE"""),"UNK")</f>
        <v>UNK</v>
      </c>
      <c r="E278" s="8" t="str">
        <f>IFERROR(__xludf.DUMMYFUNCTION("""COMPUTED_VALUE"""),"Philippines")</f>
        <v>Philippines</v>
      </c>
      <c r="F278" s="8" t="str">
        <f>IFERROR(__xludf.DUMMYFUNCTION("""COMPUTED_VALUE"""),"DL")</f>
        <v>DL</v>
      </c>
      <c r="G278" s="8" t="str">
        <f>IFERROR(__xludf.DUMMYFUNCTION("""COMPUTED_VALUE"""),"53rd")</f>
        <v>53rd</v>
      </c>
      <c r="H278" s="8" t="str">
        <f>IFERROR(__xludf.DUMMYFUNCTION("""COMPUTED_VALUE"""),"DL 2018")</f>
        <v>DL 2018</v>
      </c>
      <c r="I278" s="10">
        <f>IFERROR(__xludf.DUMMYFUNCTION("""COMPUTED_VALUE"""),43136.0)</f>
        <v>43136</v>
      </c>
      <c r="J278" s="10">
        <f>IFERROR(__xludf.DUMMYFUNCTION("""COMPUTED_VALUE"""),44348.0)</f>
        <v>44348</v>
      </c>
      <c r="K278" s="15">
        <f>IFERROR(__xludf.DUMMYFUNCTION("""COMPUTED_VALUE"""),45444.0)</f>
        <v>45444</v>
      </c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9" t="str">
        <f>IFERROR(__xludf.DUMMYFUNCTION("""COMPUTED_VALUE"""),"Wade")</f>
        <v>Wade</v>
      </c>
      <c r="B279" s="8" t="str">
        <f>IFERROR(__xludf.DUMMYFUNCTION("""COMPUTED_VALUE"""),"James")</f>
        <v>James</v>
      </c>
      <c r="C279" s="8" t="str">
        <f>IFERROR(__xludf.DUMMYFUNCTION("""COMPUTED_VALUE"""),"")</f>
        <v/>
      </c>
      <c r="D279" s="8" t="str">
        <f>IFERROR(__xludf.DUMMYFUNCTION("""COMPUTED_VALUE"""),"UNK")</f>
        <v>UNK</v>
      </c>
      <c r="E279" s="8" t="str">
        <f>IFERROR(__xludf.DUMMYFUNCTION("""COMPUTED_VALUE"""),"England")</f>
        <v>England</v>
      </c>
      <c r="F279" s="8" t="str">
        <f>IFERROR(__xludf.DUMMYFUNCTION("""COMPUTED_VALUE"""),"PDC Merit Ranking")</f>
        <v>PDC Merit Ranking</v>
      </c>
      <c r="G279" s="8" t="str">
        <f>IFERROR(__xludf.DUMMYFUNCTION("""COMPUTED_VALUE"""),"9th")</f>
        <v>9th</v>
      </c>
      <c r="H279" s="8" t="str">
        <f>IFERROR(__xludf.DUMMYFUNCTION("""COMPUTED_VALUE"""),"PDC Merit Ranking")</f>
        <v>PDC Merit Ranking</v>
      </c>
      <c r="I279" s="10">
        <f>IFERROR(__xludf.DUMMYFUNCTION("""COMPUTED_VALUE"""),43132.0)</f>
        <v>43132</v>
      </c>
      <c r="J279" s="10">
        <f>IFERROR(__xludf.DUMMYFUNCTION("""COMPUTED_VALUE"""),44348.0)</f>
        <v>44348</v>
      </c>
      <c r="K279" s="15">
        <f>IFERROR(__xludf.DUMMYFUNCTION("""COMPUTED_VALUE"""),45444.0)</f>
        <v>45444</v>
      </c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9" t="str">
        <f>IFERROR(__xludf.DUMMYFUNCTION("""COMPUTED_VALUE"""),"Wagnor")</f>
        <v>Wagnor</v>
      </c>
      <c r="B280" s="8" t="str">
        <f>IFERROR(__xludf.DUMMYFUNCTION("""COMPUTED_VALUE"""),"Scott")</f>
        <v>Scott</v>
      </c>
      <c r="C280" s="8" t="str">
        <f>IFERROR(__xludf.DUMMYFUNCTION("""COMPUTED_VALUE"""),"Union Mills")</f>
        <v>Union Mills</v>
      </c>
      <c r="D280" s="8" t="str">
        <f>IFERROR(__xludf.DUMMYFUNCTION("""COMPUTED_VALUE"""),"IN")</f>
        <v>IN</v>
      </c>
      <c r="E280" s="8" t="str">
        <f>IFERROR(__xludf.DUMMYFUNCTION("""COMPUTED_VALUE"""),"USA")</f>
        <v>USA</v>
      </c>
      <c r="F280" s="8" t="str">
        <f>IFERROR(__xludf.DUMMYFUNCTION("""COMPUTED_VALUE"""),"Pro Doubles")</f>
        <v>Pro Doubles</v>
      </c>
      <c r="G280" s="8" t="str">
        <f>IFERROR(__xludf.DUMMYFUNCTION("""COMPUTED_VALUE"""),"4th")</f>
        <v>4th</v>
      </c>
      <c r="H280" s="8" t="str">
        <f>IFERROR(__xludf.DUMMYFUNCTION("""COMPUTED_VALUE"""),"BS 33 Finals")</f>
        <v>BS 33 Finals</v>
      </c>
      <c r="I280" s="10">
        <f>IFERROR(__xludf.DUMMYFUNCTION("""COMPUTED_VALUE"""),43252.0)</f>
        <v>43252</v>
      </c>
      <c r="J280" s="10">
        <f>IFERROR(__xludf.DUMMYFUNCTION("""COMPUTED_VALUE"""),44348.0)</f>
        <v>44348</v>
      </c>
      <c r="K280" s="15">
        <f>IFERROR(__xludf.DUMMYFUNCTION("""COMPUTED_VALUE"""),45444.0)</f>
        <v>45444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9" t="str">
        <f>IFERROR(__xludf.DUMMYFUNCTION("""COMPUTED_VALUE"""),"Walker")</f>
        <v>Walker</v>
      </c>
      <c r="B281" s="8" t="str">
        <f>IFERROR(__xludf.DUMMYFUNCTION("""COMPUTED_VALUE"""),"Willie")</f>
        <v>Willie</v>
      </c>
      <c r="C281" s="8" t="str">
        <f>IFERROR(__xludf.DUMMYFUNCTION("""COMPUTED_VALUE"""),"Puyallup")</f>
        <v>Puyallup</v>
      </c>
      <c r="D281" s="8" t="str">
        <f>IFERROR(__xludf.DUMMYFUNCTION("""COMPUTED_VALUE"""),"WA")</f>
        <v>WA</v>
      </c>
      <c r="E281" s="8" t="str">
        <f>IFERROR(__xludf.DUMMYFUNCTION("""COMPUTED_VALUE"""),"USA")</f>
        <v>USA</v>
      </c>
      <c r="F281" s="8" t="str">
        <f>IFERROR(__xludf.DUMMYFUNCTION("""COMPUTED_VALUE"""),"Pro 501 Singles")</f>
        <v>Pro 501 Singles</v>
      </c>
      <c r="G281" s="8" t="str">
        <f>IFERROR(__xludf.DUMMYFUNCTION("""COMPUTED_VALUE"""),"2nd")</f>
        <v>2nd</v>
      </c>
      <c r="H281" s="8" t="str">
        <f>IFERROR(__xludf.DUMMYFUNCTION("""COMPUTED_VALUE"""),"Known Ability")</f>
        <v>Known Ability</v>
      </c>
      <c r="I281" s="10">
        <f>IFERROR(__xludf.DUMMYFUNCTION("""COMPUTED_VALUE"""),42887.0)</f>
        <v>42887</v>
      </c>
      <c r="J281" s="10">
        <f>IFERROR(__xludf.DUMMYFUNCTION("""COMPUTED_VALUE"""),43983.0)</f>
        <v>43983</v>
      </c>
      <c r="K281" s="15">
        <f>IFERROR(__xludf.DUMMYFUNCTION("""COMPUTED_VALUE"""),45078.0)</f>
        <v>45078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9" t="str">
        <f>IFERROR(__xludf.DUMMYFUNCTION("""COMPUTED_VALUE"""),"Walsh")</f>
        <v>Walsh</v>
      </c>
      <c r="B282" s="8" t="str">
        <f>IFERROR(__xludf.DUMMYFUNCTION("""COMPUTED_VALUE"""),"David")</f>
        <v>David</v>
      </c>
      <c r="C282" s="8" t="str">
        <f>IFERROR(__xludf.DUMMYFUNCTION("""COMPUTED_VALUE"""),"")</f>
        <v/>
      </c>
      <c r="D282" s="8" t="str">
        <f>IFERROR(__xludf.DUMMYFUNCTION("""COMPUTED_VALUE"""),"UNK")</f>
        <v>UNK</v>
      </c>
      <c r="E282" s="8" t="str">
        <f>IFERROR(__xludf.DUMMYFUNCTION("""COMPUTED_VALUE"""),"USA")</f>
        <v>USA</v>
      </c>
      <c r="F282" s="8" t="str">
        <f>IFERROR(__xludf.DUMMYFUNCTION("""COMPUTED_VALUE"""),"ADO 2018")</f>
        <v>ADO 2018</v>
      </c>
      <c r="G282" s="8" t="str">
        <f>IFERROR(__xludf.DUMMYFUNCTION("""COMPUTED_VALUE"""),"5th")</f>
        <v>5th</v>
      </c>
      <c r="H282" s="8" t="str">
        <f>IFERROR(__xludf.DUMMYFUNCTION("""COMPUTED_VALUE"""),"ADO 2018")</f>
        <v>ADO 2018</v>
      </c>
      <c r="I282" s="10">
        <f>IFERROR(__xludf.DUMMYFUNCTION("""COMPUTED_VALUE"""),43132.0)</f>
        <v>43132</v>
      </c>
      <c r="J282" s="10">
        <f>IFERROR(__xludf.DUMMYFUNCTION("""COMPUTED_VALUE"""),44348.0)</f>
        <v>44348</v>
      </c>
      <c r="K282" s="15">
        <f>IFERROR(__xludf.DUMMYFUNCTION("""COMPUTED_VALUE"""),45444.0)</f>
        <v>45444</v>
      </c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9" t="str">
        <f>IFERROR(__xludf.DUMMYFUNCTION("""COMPUTED_VALUE"""),"Walts")</f>
        <v>Walts</v>
      </c>
      <c r="B283" s="8" t="str">
        <f>IFERROR(__xludf.DUMMYFUNCTION("""COMPUTED_VALUE"""),"Gene")</f>
        <v>Gene</v>
      </c>
      <c r="C283" s="8" t="str">
        <f>IFERROR(__xludf.DUMMYFUNCTION("""COMPUTED_VALUE"""),"")</f>
        <v/>
      </c>
      <c r="D283" s="8" t="str">
        <f>IFERROR(__xludf.DUMMYFUNCTION("""COMPUTED_VALUE"""),"UNK")</f>
        <v>UNK</v>
      </c>
      <c r="E283" s="8" t="str">
        <f>IFERROR(__xludf.DUMMYFUNCTION("""COMPUTED_VALUE"""),"USA")</f>
        <v>USA</v>
      </c>
      <c r="F283" s="8" t="str">
        <f>IFERROR(__xludf.DUMMYFUNCTION("""COMPUTED_VALUE"""),"ADO 2018")</f>
        <v>ADO 2018</v>
      </c>
      <c r="G283" s="8" t="str">
        <f>IFERROR(__xludf.DUMMYFUNCTION("""COMPUTED_VALUE"""),"37th")</f>
        <v>37th</v>
      </c>
      <c r="H283" s="8" t="str">
        <f>IFERROR(__xludf.DUMMYFUNCTION("""COMPUTED_VALUE"""),"ADO 2018")</f>
        <v>ADO 2018</v>
      </c>
      <c r="I283" s="10">
        <f>IFERROR(__xludf.DUMMYFUNCTION("""COMPUTED_VALUE"""),43132.0)</f>
        <v>43132</v>
      </c>
      <c r="J283" s="10">
        <f>IFERROR(__xludf.DUMMYFUNCTION("""COMPUTED_VALUE"""),44348.0)</f>
        <v>44348</v>
      </c>
      <c r="K283" s="15">
        <f>IFERROR(__xludf.DUMMYFUNCTION("""COMPUTED_VALUE"""),45444.0)</f>
        <v>45444</v>
      </c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9" t="str">
        <f>IFERROR(__xludf.DUMMYFUNCTION("""COMPUTED_VALUE"""),"Warnock")</f>
        <v>Warnock</v>
      </c>
      <c r="B284" s="8" t="str">
        <f>IFERROR(__xludf.DUMMYFUNCTION("""COMPUTED_VALUE"""),"Steve")</f>
        <v>Steve</v>
      </c>
      <c r="C284" s="8" t="str">
        <f>IFERROR(__xludf.DUMMYFUNCTION("""COMPUTED_VALUE"""),"")</f>
        <v/>
      </c>
      <c r="D284" s="8" t="str">
        <f>IFERROR(__xludf.DUMMYFUNCTION("""COMPUTED_VALUE"""),"")</f>
        <v/>
      </c>
      <c r="E284" s="8" t="str">
        <f>IFERROR(__xludf.DUMMYFUNCTION("""COMPUTED_VALUE"""),"Canada")</f>
        <v>Canada</v>
      </c>
      <c r="F284" s="8" t="str">
        <f>IFERROR(__xludf.DUMMYFUNCTION("""COMPUTED_VALUE"""),"Pro Doubles")</f>
        <v>Pro Doubles</v>
      </c>
      <c r="G284" s="8" t="str">
        <f>IFERROR(__xludf.DUMMYFUNCTION("""COMPUTED_VALUE"""),"1st")</f>
        <v>1st</v>
      </c>
      <c r="H284" s="8" t="str">
        <f>IFERROR(__xludf.DUMMYFUNCTION("""COMPUTED_VALUE"""),"OFF AA IN 18")</f>
        <v>OFF AA IN 18</v>
      </c>
      <c r="I284" s="10">
        <f>IFERROR(__xludf.DUMMYFUNCTION("""COMPUTED_VALUE"""),43252.0)</f>
        <v>43252</v>
      </c>
      <c r="J284" s="10">
        <f>IFERROR(__xludf.DUMMYFUNCTION("""COMPUTED_VALUE"""),44348.0)</f>
        <v>44348</v>
      </c>
      <c r="K284" s="15">
        <f>IFERROR(__xludf.DUMMYFUNCTION("""COMPUTED_VALUE"""),45444.0)</f>
        <v>45444</v>
      </c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9" t="str">
        <f>IFERROR(__xludf.DUMMYFUNCTION("""COMPUTED_VALUE"""),"Watanabe")</f>
        <v>Watanabe</v>
      </c>
      <c r="B285" s="8" t="str">
        <f>IFERROR(__xludf.DUMMYFUNCTION("""COMPUTED_VALUE"""),"Youhi")</f>
        <v>Youhi</v>
      </c>
      <c r="C285" s="8" t="str">
        <f>IFERROR(__xludf.DUMMYFUNCTION("""COMPUTED_VALUE"""),"")</f>
        <v/>
      </c>
      <c r="D285" s="8" t="str">
        <f>IFERROR(__xludf.DUMMYFUNCTION("""COMPUTED_VALUE"""),"UNK")</f>
        <v>UNK</v>
      </c>
      <c r="E285" s="8" t="str">
        <f>IFERROR(__xludf.DUMMYFUNCTION("""COMPUTED_VALUE"""),"JAPAN")</f>
        <v>JAPAN</v>
      </c>
      <c r="F285" s="8" t="str">
        <f>IFERROR(__xludf.DUMMYFUNCTION("""COMPUTED_VALUE"""),"DL")</f>
        <v>DL</v>
      </c>
      <c r="G285" s="8" t="str">
        <f>IFERROR(__xludf.DUMMYFUNCTION("""COMPUTED_VALUE"""),"38th")</f>
        <v>38th</v>
      </c>
      <c r="H285" s="8" t="str">
        <f>IFERROR(__xludf.DUMMYFUNCTION("""COMPUTED_VALUE"""),"DL 2018")</f>
        <v>DL 2018</v>
      </c>
      <c r="I285" s="10">
        <f>IFERROR(__xludf.DUMMYFUNCTION("""COMPUTED_VALUE"""),43136.0)</f>
        <v>43136</v>
      </c>
      <c r="J285" s="10">
        <f>IFERROR(__xludf.DUMMYFUNCTION("""COMPUTED_VALUE"""),44348.0)</f>
        <v>44348</v>
      </c>
      <c r="K285" s="15">
        <f>IFERROR(__xludf.DUMMYFUNCTION("""COMPUTED_VALUE"""),45444.0)</f>
        <v>45444</v>
      </c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9" t="str">
        <f>IFERROR(__xludf.DUMMYFUNCTION("""COMPUTED_VALUE"""),"Wattimena")</f>
        <v>Wattimena</v>
      </c>
      <c r="B286" s="8" t="str">
        <f>IFERROR(__xludf.DUMMYFUNCTION("""COMPUTED_VALUE"""),"Jermaine")</f>
        <v>Jermaine</v>
      </c>
      <c r="C286" s="8" t="str">
        <f>IFERROR(__xludf.DUMMYFUNCTION("""COMPUTED_VALUE"""),"")</f>
        <v/>
      </c>
      <c r="D286" s="8" t="str">
        <f>IFERROR(__xludf.DUMMYFUNCTION("""COMPUTED_VALUE"""),"UNK")</f>
        <v>UNK</v>
      </c>
      <c r="E286" s="8" t="str">
        <f>IFERROR(__xludf.DUMMYFUNCTION("""COMPUTED_VALUE"""),"Netherlands")</f>
        <v>Netherlands</v>
      </c>
      <c r="F286" s="8" t="str">
        <f>IFERROR(__xludf.DUMMYFUNCTION("""COMPUTED_VALUE"""),"PDC Merit Ranking")</f>
        <v>PDC Merit Ranking</v>
      </c>
      <c r="G286" s="8" t="str">
        <f>IFERROR(__xludf.DUMMYFUNCTION("""COMPUTED_VALUE"""),"39th")</f>
        <v>39th</v>
      </c>
      <c r="H286" s="8" t="str">
        <f>IFERROR(__xludf.DUMMYFUNCTION("""COMPUTED_VALUE"""),"PDC Merit Ranking")</f>
        <v>PDC Merit Ranking</v>
      </c>
      <c r="I286" s="10">
        <f>IFERROR(__xludf.DUMMYFUNCTION("""COMPUTED_VALUE"""),43132.0)</f>
        <v>43132</v>
      </c>
      <c r="J286" s="10">
        <f>IFERROR(__xludf.DUMMYFUNCTION("""COMPUTED_VALUE"""),44348.0)</f>
        <v>44348</v>
      </c>
      <c r="K286" s="15">
        <f>IFERROR(__xludf.DUMMYFUNCTION("""COMPUTED_VALUE"""),45444.0)</f>
        <v>45444</v>
      </c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9" t="str">
        <f>IFERROR(__xludf.DUMMYFUNCTION("""COMPUTED_VALUE"""),"Waugh")</f>
        <v>Waugh</v>
      </c>
      <c r="B287" s="8" t="str">
        <f>IFERROR(__xludf.DUMMYFUNCTION("""COMPUTED_VALUE"""),"Samuel")</f>
        <v>Samuel</v>
      </c>
      <c r="C287" s="8" t="str">
        <f>IFERROR(__xludf.DUMMYFUNCTION("""COMPUTED_VALUE"""),"Waterville")</f>
        <v>Waterville</v>
      </c>
      <c r="D287" s="8" t="str">
        <f>IFERROR(__xludf.DUMMYFUNCTION("""COMPUTED_VALUE"""),"MN")</f>
        <v>MN</v>
      </c>
      <c r="E287" s="8" t="str">
        <f>IFERROR(__xludf.DUMMYFUNCTION("""COMPUTED_VALUE"""),"USA")</f>
        <v>USA</v>
      </c>
      <c r="F287" s="8" t="str">
        <f>IFERROR(__xludf.DUMMYFUNCTION("""COMPUTED_VALUE"""),"Top Gun A/AA Triples")</f>
        <v>Top Gun A/AA Triples</v>
      </c>
      <c r="G287" s="8" t="str">
        <f>IFERROR(__xludf.DUMMYFUNCTION("""COMPUTED_VALUE"""),"3rd/4th")</f>
        <v>3rd/4th</v>
      </c>
      <c r="H287" s="8" t="str">
        <f>IFERROR(__xludf.DUMMYFUNCTION("""COMPUTED_VALUE"""),"BullShooter 32")</f>
        <v>BullShooter 32</v>
      </c>
      <c r="I287" s="10">
        <f>IFERROR(__xludf.DUMMYFUNCTION("""COMPUTED_VALUE"""),42887.0)</f>
        <v>42887</v>
      </c>
      <c r="J287" s="10">
        <f>IFERROR(__xludf.DUMMYFUNCTION("""COMPUTED_VALUE"""),43983.0)</f>
        <v>43983</v>
      </c>
      <c r="K287" s="15">
        <f>IFERROR(__xludf.DUMMYFUNCTION("""COMPUTED_VALUE"""),45078.0)</f>
        <v>45078</v>
      </c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9" t="str">
        <f>IFERROR(__xludf.DUMMYFUNCTION("""COMPUTED_VALUE"""),"Webster")</f>
        <v>Webster</v>
      </c>
      <c r="B288" s="8" t="str">
        <f>IFERROR(__xludf.DUMMYFUNCTION("""COMPUTED_VALUE"""),"Darren")</f>
        <v>Darren</v>
      </c>
      <c r="C288" s="8" t="str">
        <f>IFERROR(__xludf.DUMMYFUNCTION("""COMPUTED_VALUE"""),"")</f>
        <v/>
      </c>
      <c r="D288" s="8" t="str">
        <f>IFERROR(__xludf.DUMMYFUNCTION("""COMPUTED_VALUE"""),"UNK")</f>
        <v>UNK</v>
      </c>
      <c r="E288" s="8" t="str">
        <f>IFERROR(__xludf.DUMMYFUNCTION("""COMPUTED_VALUE"""),"England")</f>
        <v>England</v>
      </c>
      <c r="F288" s="8" t="str">
        <f>IFERROR(__xludf.DUMMYFUNCTION("""COMPUTED_VALUE"""),"PDC Merit Ranking")</f>
        <v>PDC Merit Ranking</v>
      </c>
      <c r="G288" s="8" t="str">
        <f>IFERROR(__xludf.DUMMYFUNCTION("""COMPUTED_VALUE"""),"19th")</f>
        <v>19th</v>
      </c>
      <c r="H288" s="8" t="str">
        <f>IFERROR(__xludf.DUMMYFUNCTION("""COMPUTED_VALUE"""),"PDC Merit Ranking")</f>
        <v>PDC Merit Ranking</v>
      </c>
      <c r="I288" s="10">
        <f>IFERROR(__xludf.DUMMYFUNCTION("""COMPUTED_VALUE"""),43132.0)</f>
        <v>43132</v>
      </c>
      <c r="J288" s="10">
        <f>IFERROR(__xludf.DUMMYFUNCTION("""COMPUTED_VALUE"""),44348.0)</f>
        <v>44348</v>
      </c>
      <c r="K288" s="15">
        <f>IFERROR(__xludf.DUMMYFUNCTION("""COMPUTED_VALUE"""),45444.0)</f>
        <v>45444</v>
      </c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9" t="str">
        <f>IFERROR(__xludf.DUMMYFUNCTION("""COMPUTED_VALUE"""),"Webster")</f>
        <v>Webster</v>
      </c>
      <c r="B289" s="8" t="str">
        <f>IFERROR(__xludf.DUMMYFUNCTION("""COMPUTED_VALUE"""),"Mark")</f>
        <v>Mark</v>
      </c>
      <c r="C289" s="8" t="str">
        <f>IFERROR(__xludf.DUMMYFUNCTION("""COMPUTED_VALUE"""),"")</f>
        <v/>
      </c>
      <c r="D289" s="8" t="str">
        <f>IFERROR(__xludf.DUMMYFUNCTION("""COMPUTED_VALUE"""),"UNK")</f>
        <v>UNK</v>
      </c>
      <c r="E289" s="8" t="str">
        <f>IFERROR(__xludf.DUMMYFUNCTION("""COMPUTED_VALUE"""),"Wales")</f>
        <v>Wales</v>
      </c>
      <c r="F289" s="8" t="str">
        <f>IFERROR(__xludf.DUMMYFUNCTION("""COMPUTED_VALUE"""),"PDC Merit Ranking")</f>
        <v>PDC Merit Ranking</v>
      </c>
      <c r="G289" s="8" t="str">
        <f>IFERROR(__xludf.DUMMYFUNCTION("""COMPUTED_VALUE"""),"34th")</f>
        <v>34th</v>
      </c>
      <c r="H289" s="8" t="str">
        <f>IFERROR(__xludf.DUMMYFUNCTION("""COMPUTED_VALUE"""),"PDC Merit Ranking")</f>
        <v>PDC Merit Ranking</v>
      </c>
      <c r="I289" s="10">
        <f>IFERROR(__xludf.DUMMYFUNCTION("""COMPUTED_VALUE"""),43132.0)</f>
        <v>43132</v>
      </c>
      <c r="J289" s="10">
        <f>IFERROR(__xludf.DUMMYFUNCTION("""COMPUTED_VALUE"""),44348.0)</f>
        <v>44348</v>
      </c>
      <c r="K289" s="15">
        <f>IFERROR(__xludf.DUMMYFUNCTION("""COMPUTED_VALUE"""),45444.0)</f>
        <v>45444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9" t="str">
        <f>IFERROR(__xludf.DUMMYFUNCTION("""COMPUTED_VALUE"""),"Wei Li")</f>
        <v>Wei Li</v>
      </c>
      <c r="B290" s="8" t="str">
        <f>IFERROR(__xludf.DUMMYFUNCTION("""COMPUTED_VALUE"""),"Chen")</f>
        <v>Chen</v>
      </c>
      <c r="C290" s="8" t="str">
        <f>IFERROR(__xludf.DUMMYFUNCTION("""COMPUTED_VALUE"""),"")</f>
        <v/>
      </c>
      <c r="D290" s="8" t="str">
        <f>IFERROR(__xludf.DUMMYFUNCTION("""COMPUTED_VALUE"""),"UNK")</f>
        <v>UNK</v>
      </c>
      <c r="E290" s="8" t="str">
        <f>IFERROR(__xludf.DUMMYFUNCTION("""COMPUTED_VALUE"""),"Taiwan")</f>
        <v>Taiwan</v>
      </c>
      <c r="F290" s="8" t="str">
        <f>IFERROR(__xludf.DUMMYFUNCTION("""COMPUTED_VALUE"""),"DL")</f>
        <v>DL</v>
      </c>
      <c r="G290" s="8" t="str">
        <f>IFERROR(__xludf.DUMMYFUNCTION("""COMPUTED_VALUE"""),"39th")</f>
        <v>39th</v>
      </c>
      <c r="H290" s="8" t="str">
        <f>IFERROR(__xludf.DUMMYFUNCTION("""COMPUTED_VALUE"""),"DL 2018")</f>
        <v>DL 2018</v>
      </c>
      <c r="I290" s="10">
        <f>IFERROR(__xludf.DUMMYFUNCTION("""COMPUTED_VALUE"""),43136.0)</f>
        <v>43136</v>
      </c>
      <c r="J290" s="10">
        <f>IFERROR(__xludf.DUMMYFUNCTION("""COMPUTED_VALUE"""),44348.0)</f>
        <v>44348</v>
      </c>
      <c r="K290" s="15">
        <f>IFERROR(__xludf.DUMMYFUNCTION("""COMPUTED_VALUE"""),45444.0)</f>
        <v>45444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9" t="str">
        <f>IFERROR(__xludf.DUMMYFUNCTION("""COMPUTED_VALUE"""),"West")</f>
        <v>West</v>
      </c>
      <c r="B291" s="8" t="str">
        <f>IFERROR(__xludf.DUMMYFUNCTION("""COMPUTED_VALUE"""),"Steve")</f>
        <v>Steve</v>
      </c>
      <c r="C291" s="8" t="str">
        <f>IFERROR(__xludf.DUMMYFUNCTION("""COMPUTED_VALUE"""),"")</f>
        <v/>
      </c>
      <c r="D291" s="8" t="str">
        <f>IFERROR(__xludf.DUMMYFUNCTION("""COMPUTED_VALUE"""),"UNK")</f>
        <v>UNK</v>
      </c>
      <c r="E291" s="8" t="str">
        <f>IFERROR(__xludf.DUMMYFUNCTION("""COMPUTED_VALUE"""),"England")</f>
        <v>England</v>
      </c>
      <c r="F291" s="8" t="str">
        <f>IFERROR(__xludf.DUMMYFUNCTION("""COMPUTED_VALUE"""),"PDC Merit Ranking")</f>
        <v>PDC Merit Ranking</v>
      </c>
      <c r="G291" s="8" t="str">
        <f>IFERROR(__xludf.DUMMYFUNCTION("""COMPUTED_VALUE"""),"32nd")</f>
        <v>32nd</v>
      </c>
      <c r="H291" s="8" t="str">
        <f>IFERROR(__xludf.DUMMYFUNCTION("""COMPUTED_VALUE"""),"PDC Merit Ranking")</f>
        <v>PDC Merit Ranking</v>
      </c>
      <c r="I291" s="10">
        <f>IFERROR(__xludf.DUMMYFUNCTION("""COMPUTED_VALUE"""),43132.0)</f>
        <v>43132</v>
      </c>
      <c r="J291" s="10">
        <f>IFERROR(__xludf.DUMMYFUNCTION("""COMPUTED_VALUE"""),44348.0)</f>
        <v>44348</v>
      </c>
      <c r="K291" s="15">
        <f>IFERROR(__xludf.DUMMYFUNCTION("""COMPUTED_VALUE"""),45444.0)</f>
        <v>45444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9" t="str">
        <f>IFERROR(__xludf.DUMMYFUNCTION("""COMPUTED_VALUE"""),"White")</f>
        <v>White</v>
      </c>
      <c r="B292" s="8" t="str">
        <f>IFERROR(__xludf.DUMMYFUNCTION("""COMPUTED_VALUE"""),"Chris")</f>
        <v>Chris</v>
      </c>
      <c r="C292" s="8" t="str">
        <f>IFERROR(__xludf.DUMMYFUNCTION("""COMPUTED_VALUE"""),"")</f>
        <v/>
      </c>
      <c r="D292" s="8" t="str">
        <f>IFERROR(__xludf.DUMMYFUNCTION("""COMPUTED_VALUE"""),"UNK")</f>
        <v>UNK</v>
      </c>
      <c r="E292" s="8" t="str">
        <f>IFERROR(__xludf.DUMMYFUNCTION("""COMPUTED_VALUE"""),"Canada")</f>
        <v>Canada</v>
      </c>
      <c r="F292" s="8" t="str">
        <f>IFERROR(__xludf.DUMMYFUNCTION("""COMPUTED_VALUE"""),"NAPDA 2018")</f>
        <v>NAPDA 2018</v>
      </c>
      <c r="G292" s="8" t="str">
        <f>IFERROR(__xludf.DUMMYFUNCTION("""COMPUTED_VALUE"""),"12th")</f>
        <v>12th</v>
      </c>
      <c r="H292" s="8" t="str">
        <f>IFERROR(__xludf.DUMMYFUNCTION("""COMPUTED_VALUE"""),"Known Ability")</f>
        <v>Known Ability</v>
      </c>
      <c r="I292" s="10">
        <f>IFERROR(__xludf.DUMMYFUNCTION("""COMPUTED_VALUE"""),43132.0)</f>
        <v>43132</v>
      </c>
      <c r="J292" s="10">
        <f>IFERROR(__xludf.DUMMYFUNCTION("""COMPUTED_VALUE"""),44348.0)</f>
        <v>44348</v>
      </c>
      <c r="K292" s="15">
        <f>IFERROR(__xludf.DUMMYFUNCTION("""COMPUTED_VALUE"""),45444.0)</f>
        <v>45444</v>
      </c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9" t="str">
        <f>IFERROR(__xludf.DUMMYFUNCTION("""COMPUTED_VALUE"""),"White")</f>
        <v>White</v>
      </c>
      <c r="B293" s="8" t="str">
        <f>IFERROR(__xludf.DUMMYFUNCTION("""COMPUTED_VALUE"""),"Ian")</f>
        <v>Ian</v>
      </c>
      <c r="C293" s="8" t="str">
        <f>IFERROR(__xludf.DUMMYFUNCTION("""COMPUTED_VALUE"""),"")</f>
        <v/>
      </c>
      <c r="D293" s="8" t="str">
        <f>IFERROR(__xludf.DUMMYFUNCTION("""COMPUTED_VALUE"""),"UNK")</f>
        <v>UNK</v>
      </c>
      <c r="E293" s="8" t="str">
        <f>IFERROR(__xludf.DUMMYFUNCTION("""COMPUTED_VALUE"""),"England")</f>
        <v>England</v>
      </c>
      <c r="F293" s="8" t="str">
        <f>IFERROR(__xludf.DUMMYFUNCTION("""COMPUTED_VALUE"""),"PDC Merit Ranking")</f>
        <v>PDC Merit Ranking</v>
      </c>
      <c r="G293" s="8" t="str">
        <f>IFERROR(__xludf.DUMMYFUNCTION("""COMPUTED_VALUE"""),"14th")</f>
        <v>14th</v>
      </c>
      <c r="H293" s="8" t="str">
        <f>IFERROR(__xludf.DUMMYFUNCTION("""COMPUTED_VALUE"""),"PDC Merit Ranking")</f>
        <v>PDC Merit Ranking</v>
      </c>
      <c r="I293" s="10">
        <f>IFERROR(__xludf.DUMMYFUNCTION("""COMPUTED_VALUE"""),43132.0)</f>
        <v>43132</v>
      </c>
      <c r="J293" s="10">
        <f>IFERROR(__xludf.DUMMYFUNCTION("""COMPUTED_VALUE"""),44348.0)</f>
        <v>44348</v>
      </c>
      <c r="K293" s="15">
        <f>IFERROR(__xludf.DUMMYFUNCTION("""COMPUTED_VALUE"""),45444.0)</f>
        <v>45444</v>
      </c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9" t="str">
        <f>IFERROR(__xludf.DUMMYFUNCTION("""COMPUTED_VALUE"""),"Whitlock")</f>
        <v>Whitlock</v>
      </c>
      <c r="B294" s="8" t="str">
        <f>IFERROR(__xludf.DUMMYFUNCTION("""COMPUTED_VALUE"""),"Simon")</f>
        <v>Simon</v>
      </c>
      <c r="C294" s="8" t="str">
        <f>IFERROR(__xludf.DUMMYFUNCTION("""COMPUTED_VALUE"""),"")</f>
        <v/>
      </c>
      <c r="D294" s="8" t="str">
        <f>IFERROR(__xludf.DUMMYFUNCTION("""COMPUTED_VALUE"""),"UNK")</f>
        <v>UNK</v>
      </c>
      <c r="E294" s="8" t="str">
        <f>IFERROR(__xludf.DUMMYFUNCTION("""COMPUTED_VALUE"""),"Australia")</f>
        <v>Australia</v>
      </c>
      <c r="F294" s="8" t="str">
        <f>IFERROR(__xludf.DUMMYFUNCTION("""COMPUTED_VALUE"""),"PDC Merit Ranking")</f>
        <v>PDC Merit Ranking</v>
      </c>
      <c r="G294" s="8" t="str">
        <f>IFERROR(__xludf.DUMMYFUNCTION("""COMPUTED_VALUE"""),"8th")</f>
        <v>8th</v>
      </c>
      <c r="H294" s="8" t="str">
        <f>IFERROR(__xludf.DUMMYFUNCTION("""COMPUTED_VALUE"""),"PDC Merit Ranking")</f>
        <v>PDC Merit Ranking</v>
      </c>
      <c r="I294" s="10">
        <f>IFERROR(__xludf.DUMMYFUNCTION("""COMPUTED_VALUE"""),43132.0)</f>
        <v>43132</v>
      </c>
      <c r="J294" s="10">
        <f>IFERROR(__xludf.DUMMYFUNCTION("""COMPUTED_VALUE"""),44348.0)</f>
        <v>44348</v>
      </c>
      <c r="K294" s="15">
        <f>IFERROR(__xludf.DUMMYFUNCTION("""COMPUTED_VALUE"""),45444.0)</f>
        <v>45444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9" t="str">
        <f>IFERROR(__xludf.DUMMYFUNCTION("""COMPUTED_VALUE"""),"Widmayer")</f>
        <v>Widmayer</v>
      </c>
      <c r="B295" s="8" t="str">
        <f>IFERROR(__xludf.DUMMYFUNCTION("""COMPUTED_VALUE"""),"Jim")</f>
        <v>Jim</v>
      </c>
      <c r="C295" s="8" t="str">
        <f>IFERROR(__xludf.DUMMYFUNCTION("""COMPUTED_VALUE"""),"")</f>
        <v/>
      </c>
      <c r="D295" s="8" t="str">
        <f>IFERROR(__xludf.DUMMYFUNCTION("""COMPUTED_VALUE"""),"NY")</f>
        <v>NY</v>
      </c>
      <c r="E295" s="8" t="str">
        <f>IFERROR(__xludf.DUMMYFUNCTION("""COMPUTED_VALUE"""),"USA")</f>
        <v>USA</v>
      </c>
      <c r="F295" s="8" t="str">
        <f>IFERROR(__xludf.DUMMYFUNCTION("""COMPUTED_VALUE"""),"ADO 2018")</f>
        <v>ADO 2018</v>
      </c>
      <c r="G295" s="8" t="str">
        <f>IFERROR(__xludf.DUMMYFUNCTION("""COMPUTED_VALUE"""),"5th")</f>
        <v>5th</v>
      </c>
      <c r="H295" s="8" t="str">
        <f>IFERROR(__xludf.DUMMYFUNCTION("""COMPUTED_VALUE"""),"Known Ability")</f>
        <v>Known Ability</v>
      </c>
      <c r="I295" s="10">
        <f>IFERROR(__xludf.DUMMYFUNCTION("""COMPUTED_VALUE"""),43132.0)</f>
        <v>43132</v>
      </c>
      <c r="J295" s="10">
        <f>IFERROR(__xludf.DUMMYFUNCTION("""COMPUTED_VALUE"""),44348.0)</f>
        <v>44348</v>
      </c>
      <c r="K295" s="15">
        <f>IFERROR(__xludf.DUMMYFUNCTION("""COMPUTED_VALUE"""),45444.0)</f>
        <v>45444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9" t="str">
        <f>IFERROR(__xludf.DUMMYFUNCTION("""COMPUTED_VALUE"""),"Wiles")</f>
        <v>Wiles</v>
      </c>
      <c r="B296" s="8" t="str">
        <f>IFERROR(__xludf.DUMMYFUNCTION("""COMPUTED_VALUE"""),"Bob")</f>
        <v>Bob</v>
      </c>
      <c r="C296" s="8" t="str">
        <f>IFERROR(__xludf.DUMMYFUNCTION("""COMPUTED_VALUE"""),"Levittown")</f>
        <v>Levittown</v>
      </c>
      <c r="D296" s="8" t="str">
        <f>IFERROR(__xludf.DUMMYFUNCTION("""COMPUTED_VALUE"""),"PA")</f>
        <v>PA</v>
      </c>
      <c r="E296" s="8" t="str">
        <f>IFERROR(__xludf.DUMMYFUNCTION("""COMPUTED_VALUE"""),"USA")</f>
        <v>USA</v>
      </c>
      <c r="F296" s="8" t="str">
        <f>IFERROR(__xludf.DUMMYFUNCTION("""COMPUTED_VALUE"""),"Asia Champ")</f>
        <v>Asia Champ</v>
      </c>
      <c r="G296" s="8" t="str">
        <f>IFERROR(__xludf.DUMMYFUNCTION("""COMPUTED_VALUE"""),"")</f>
        <v/>
      </c>
      <c r="H296" s="8" t="str">
        <f>IFERROR(__xludf.DUMMYFUNCTION("""COMPUTED_VALUE"""),"Known Ability")</f>
        <v>Known Ability</v>
      </c>
      <c r="I296" s="10">
        <f>IFERROR(__xludf.DUMMYFUNCTION("""COMPUTED_VALUE"""),40330.0)</f>
        <v>40330</v>
      </c>
      <c r="J296" s="10" t="str">
        <f>IFERROR(__xludf.DUMMYFUNCTION("""COMPUTED_VALUE"""),"")</f>
        <v/>
      </c>
      <c r="K296" s="15">
        <f>IFERROR(__xludf.DUMMYFUNCTION("""COMPUTED_VALUE"""),45809.0)</f>
        <v>45809</v>
      </c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9" t="str">
        <f>IFERROR(__xludf.DUMMYFUNCTION("""COMPUTED_VALUE"""),"Wilson")</f>
        <v>Wilson</v>
      </c>
      <c r="B297" s="8" t="str">
        <f>IFERROR(__xludf.DUMMYFUNCTION("""COMPUTED_VALUE"""),"James")</f>
        <v>James</v>
      </c>
      <c r="C297" s="8" t="str">
        <f>IFERROR(__xludf.DUMMYFUNCTION("""COMPUTED_VALUE"""),"")</f>
        <v/>
      </c>
      <c r="D297" s="8" t="str">
        <f>IFERROR(__xludf.DUMMYFUNCTION("""COMPUTED_VALUE"""),"UNK")</f>
        <v>UNK</v>
      </c>
      <c r="E297" s="8" t="str">
        <f>IFERROR(__xludf.DUMMYFUNCTION("""COMPUTED_VALUE"""),"England")</f>
        <v>England</v>
      </c>
      <c r="F297" s="8" t="str">
        <f>IFERROR(__xludf.DUMMYFUNCTION("""COMPUTED_VALUE"""),"PDC Merit Ranking")</f>
        <v>PDC Merit Ranking</v>
      </c>
      <c r="G297" s="8" t="str">
        <f>IFERROR(__xludf.DUMMYFUNCTION("""COMPUTED_VALUE"""),"30th")</f>
        <v>30th</v>
      </c>
      <c r="H297" s="8" t="str">
        <f>IFERROR(__xludf.DUMMYFUNCTION("""COMPUTED_VALUE"""),"PDC Merit Ranking")</f>
        <v>PDC Merit Ranking</v>
      </c>
      <c r="I297" s="10">
        <f>IFERROR(__xludf.DUMMYFUNCTION("""COMPUTED_VALUE"""),43132.0)</f>
        <v>43132</v>
      </c>
      <c r="J297" s="10">
        <f>IFERROR(__xludf.DUMMYFUNCTION("""COMPUTED_VALUE"""),44348.0)</f>
        <v>44348</v>
      </c>
      <c r="K297" s="15">
        <f>IFERROR(__xludf.DUMMYFUNCTION("""COMPUTED_VALUE"""),45444.0)</f>
        <v>45444</v>
      </c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9" t="str">
        <f>IFERROR(__xludf.DUMMYFUNCTION("""COMPUTED_VALUE"""),"Witherby")</f>
        <v>Witherby</v>
      </c>
      <c r="B298" s="8" t="str">
        <f>IFERROR(__xludf.DUMMYFUNCTION("""COMPUTED_VALUE"""),"Kurtis")</f>
        <v>Kurtis</v>
      </c>
      <c r="C298" s="8" t="str">
        <f>IFERROR(__xludf.DUMMYFUNCTION("""COMPUTED_VALUE"""),"Machesney Park")</f>
        <v>Machesney Park</v>
      </c>
      <c r="D298" s="8" t="str">
        <f>IFERROR(__xludf.DUMMYFUNCTION("""COMPUTED_VALUE"""),"IL")</f>
        <v>IL</v>
      </c>
      <c r="E298" s="8" t="str">
        <f>IFERROR(__xludf.DUMMYFUNCTION("""COMPUTED_VALUE"""),"USA")</f>
        <v>USA</v>
      </c>
      <c r="F298" s="8" t="str">
        <f>IFERROR(__xludf.DUMMYFUNCTION("""COMPUTED_VALUE"""),"Pro 501 Doubles")</f>
        <v>Pro 501 Doubles</v>
      </c>
      <c r="G298" s="8" t="str">
        <f>IFERROR(__xludf.DUMMYFUNCTION("""COMPUTED_VALUE"""),"4th")</f>
        <v>4th</v>
      </c>
      <c r="H298" s="8" t="str">
        <f>IFERROR(__xludf.DUMMYFUNCTION("""COMPUTED_VALUE"""),"BullShooter 34 Finals")</f>
        <v>BullShooter 34 Finals</v>
      </c>
      <c r="I298" s="10">
        <f>IFERROR(__xludf.DUMMYFUNCTION("""COMPUTED_VALUE"""),43617.0)</f>
        <v>43617</v>
      </c>
      <c r="J298" s="10">
        <f>IFERROR(__xludf.DUMMYFUNCTION("""COMPUTED_VALUE"""),44713.0)</f>
        <v>44713</v>
      </c>
      <c r="K298" s="15">
        <f>IFERROR(__xludf.DUMMYFUNCTION("""COMPUTED_VALUE"""),45809.0)</f>
        <v>45809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9" t="str">
        <f>IFERROR(__xludf.DUMMYFUNCTION("""COMPUTED_VALUE"""),"Woong")</f>
        <v>Woong</v>
      </c>
      <c r="B299" s="8" t="str">
        <f>IFERROR(__xludf.DUMMYFUNCTION("""COMPUTED_VALUE"""),"Hee Han")</f>
        <v>Hee Han</v>
      </c>
      <c r="C299" s="8" t="str">
        <f>IFERROR(__xludf.DUMMYFUNCTION("""COMPUTED_VALUE"""),"")</f>
        <v/>
      </c>
      <c r="D299" s="8" t="str">
        <f>IFERROR(__xludf.DUMMYFUNCTION("""COMPUTED_VALUE"""),"UNK")</f>
        <v>UNK</v>
      </c>
      <c r="E299" s="8" t="str">
        <f>IFERROR(__xludf.DUMMYFUNCTION("""COMPUTED_VALUE"""),"Korea")</f>
        <v>Korea</v>
      </c>
      <c r="F299" s="8" t="str">
        <f>IFERROR(__xludf.DUMMYFUNCTION("""COMPUTED_VALUE"""),"DL")</f>
        <v>DL</v>
      </c>
      <c r="G299" s="8" t="str">
        <f>IFERROR(__xludf.DUMMYFUNCTION("""COMPUTED_VALUE"""),"16th")</f>
        <v>16th</v>
      </c>
      <c r="H299" s="8" t="str">
        <f>IFERROR(__xludf.DUMMYFUNCTION("""COMPUTED_VALUE"""),"DL")</f>
        <v>DL</v>
      </c>
      <c r="I299" s="10">
        <f>IFERROR(__xludf.DUMMYFUNCTION("""COMPUTED_VALUE"""),42767.0)</f>
        <v>42767</v>
      </c>
      <c r="J299" s="10">
        <f>IFERROR(__xludf.DUMMYFUNCTION("""COMPUTED_VALUE"""),43983.0)</f>
        <v>43983</v>
      </c>
      <c r="K299" s="15">
        <f>IFERROR(__xludf.DUMMYFUNCTION("""COMPUTED_VALUE"""),45078.0)</f>
        <v>45078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9" t="str">
        <f>IFERROR(__xludf.DUMMYFUNCTION("""COMPUTED_VALUE"""),"Wright")</f>
        <v>Wright</v>
      </c>
      <c r="B300" s="8" t="str">
        <f>IFERROR(__xludf.DUMMYFUNCTION("""COMPUTED_VALUE"""),"Jason")</f>
        <v>Jason</v>
      </c>
      <c r="C300" s="8" t="str">
        <f>IFERROR(__xludf.DUMMYFUNCTION("""COMPUTED_VALUE"""),"")</f>
        <v/>
      </c>
      <c r="D300" s="8" t="str">
        <f>IFERROR(__xludf.DUMMYFUNCTION("""COMPUTED_VALUE"""),"KS")</f>
        <v>KS</v>
      </c>
      <c r="E300" s="8" t="str">
        <f>IFERROR(__xludf.DUMMYFUNCTION("""COMPUTED_VALUE"""),"USA")</f>
        <v>USA</v>
      </c>
      <c r="F300" s="8" t="str">
        <f>IFERROR(__xludf.DUMMYFUNCTION("""COMPUTED_VALUE"""),"ADO 2017")</f>
        <v>ADO 2017</v>
      </c>
      <c r="G300" s="8" t="str">
        <f>IFERROR(__xludf.DUMMYFUNCTION("""COMPUTED_VALUE"""),"43rd")</f>
        <v>43rd</v>
      </c>
      <c r="H300" s="8" t="str">
        <f>IFERROR(__xludf.DUMMYFUNCTION("""COMPUTED_VALUE"""),"ADO 2017")</f>
        <v>ADO 2017</v>
      </c>
      <c r="I300" s="10">
        <f>IFERROR(__xludf.DUMMYFUNCTION("""COMPUTED_VALUE"""),42765.0)</f>
        <v>42765</v>
      </c>
      <c r="J300" s="10">
        <f>IFERROR(__xludf.DUMMYFUNCTION("""COMPUTED_VALUE"""),43983.0)</f>
        <v>43983</v>
      </c>
      <c r="K300" s="15">
        <f>IFERROR(__xludf.DUMMYFUNCTION("""COMPUTED_VALUE"""),45078.0)</f>
        <v>45078</v>
      </c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9" t="str">
        <f>IFERROR(__xludf.DUMMYFUNCTION("""COMPUTED_VALUE"""),"Wright")</f>
        <v>Wright</v>
      </c>
      <c r="B301" s="8" t="str">
        <f>IFERROR(__xludf.DUMMYFUNCTION("""COMPUTED_VALUE"""),"Peter")</f>
        <v>Peter</v>
      </c>
      <c r="C301" s="8" t="str">
        <f>IFERROR(__xludf.DUMMYFUNCTION("""COMPUTED_VALUE"""),"")</f>
        <v/>
      </c>
      <c r="D301" s="8" t="str">
        <f>IFERROR(__xludf.DUMMYFUNCTION("""COMPUTED_VALUE"""),"UNK")</f>
        <v>UNK</v>
      </c>
      <c r="E301" s="8" t="str">
        <f>IFERROR(__xludf.DUMMYFUNCTION("""COMPUTED_VALUE"""),"Scotland")</f>
        <v>Scotland</v>
      </c>
      <c r="F301" s="8" t="str">
        <f>IFERROR(__xludf.DUMMYFUNCTION("""COMPUTED_VALUE"""),"PDC Merit Ranking")</f>
        <v>PDC Merit Ranking</v>
      </c>
      <c r="G301" s="8" t="str">
        <f>IFERROR(__xludf.DUMMYFUNCTION("""COMPUTED_VALUE"""),"2nd")</f>
        <v>2nd</v>
      </c>
      <c r="H301" s="8" t="str">
        <f>IFERROR(__xludf.DUMMYFUNCTION("""COMPUTED_VALUE"""),"PDC Merit Ranking")</f>
        <v>PDC Merit Ranking</v>
      </c>
      <c r="I301" s="10">
        <f>IFERROR(__xludf.DUMMYFUNCTION("""COMPUTED_VALUE"""),43132.0)</f>
        <v>43132</v>
      </c>
      <c r="J301" s="10">
        <f>IFERROR(__xludf.DUMMYFUNCTION("""COMPUTED_VALUE"""),44348.0)</f>
        <v>44348</v>
      </c>
      <c r="K301" s="15">
        <f>IFERROR(__xludf.DUMMYFUNCTION("""COMPUTED_VALUE"""),45444.0)</f>
        <v>45444</v>
      </c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9" t="str">
        <f>IFERROR(__xludf.DUMMYFUNCTION("""COMPUTED_VALUE"""),"Yamaguchi")</f>
        <v>Yamaguchi</v>
      </c>
      <c r="B302" s="8" t="str">
        <f>IFERROR(__xludf.DUMMYFUNCTION("""COMPUTED_VALUE"""),"Yuriko")</f>
        <v>Yuriko</v>
      </c>
      <c r="C302" s="8" t="str">
        <f>IFERROR(__xludf.DUMMYFUNCTION("""COMPUTED_VALUE"""),"")</f>
        <v/>
      </c>
      <c r="D302" s="8" t="str">
        <f>IFERROR(__xludf.DUMMYFUNCTION("""COMPUTED_VALUE"""),"UNK")</f>
        <v>UNK</v>
      </c>
      <c r="E302" s="8" t="str">
        <f>IFERROR(__xludf.DUMMYFUNCTION("""COMPUTED_VALUE"""),"JAPAN")</f>
        <v>JAPAN</v>
      </c>
      <c r="F302" s="8" t="str">
        <f>IFERROR(__xludf.DUMMYFUNCTION("""COMPUTED_VALUE"""),"DL")</f>
        <v>DL</v>
      </c>
      <c r="G302" s="8" t="str">
        <f>IFERROR(__xludf.DUMMYFUNCTION("""COMPUTED_VALUE"""),"58th")</f>
        <v>58th</v>
      </c>
      <c r="H302" s="8" t="str">
        <f>IFERROR(__xludf.DUMMYFUNCTION("""COMPUTED_VALUE"""),"DL 2018")</f>
        <v>DL 2018</v>
      </c>
      <c r="I302" s="10">
        <f>IFERROR(__xludf.DUMMYFUNCTION("""COMPUTED_VALUE"""),43136.0)</f>
        <v>43136</v>
      </c>
      <c r="J302" s="10">
        <f>IFERROR(__xludf.DUMMYFUNCTION("""COMPUTED_VALUE"""),44348.0)</f>
        <v>44348</v>
      </c>
      <c r="K302" s="15">
        <f>IFERROR(__xludf.DUMMYFUNCTION("""COMPUTED_VALUE"""),45444.0)</f>
        <v>45444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9" t="str">
        <f>IFERROR(__xludf.DUMMYFUNCTION("""COMPUTED_VALUE"""),"Young")</f>
        <v>Young</v>
      </c>
      <c r="B303" s="8" t="str">
        <f>IFERROR(__xludf.DUMMYFUNCTION("""COMPUTED_VALUE"""),"Darin")</f>
        <v>Darin</v>
      </c>
      <c r="C303" s="8" t="str">
        <f>IFERROR(__xludf.DUMMYFUNCTION("""COMPUTED_VALUE"""),"Freeland")</f>
        <v>Freeland</v>
      </c>
      <c r="D303" s="8" t="str">
        <f>IFERROR(__xludf.DUMMYFUNCTION("""COMPUTED_VALUE"""),"PA")</f>
        <v>PA</v>
      </c>
      <c r="E303" s="8" t="str">
        <f>IFERROR(__xludf.DUMMYFUNCTION("""COMPUTED_VALUE"""),"USA")</f>
        <v>USA</v>
      </c>
      <c r="F303" s="8" t="str">
        <f>IFERROR(__xludf.DUMMYFUNCTION("""COMPUTED_VALUE"""),"ADO 2018")</f>
        <v>ADO 2018</v>
      </c>
      <c r="G303" s="8" t="str">
        <f>IFERROR(__xludf.DUMMYFUNCTION("""COMPUTED_VALUE"""),"8th")</f>
        <v>8th</v>
      </c>
      <c r="H303" s="8" t="str">
        <f>IFERROR(__xludf.DUMMYFUNCTION("""COMPUTED_VALUE"""),"Known Ability")</f>
        <v>Known Ability</v>
      </c>
      <c r="I303" s="10">
        <f>IFERROR(__xludf.DUMMYFUNCTION("""COMPUTED_VALUE"""),43132.0)</f>
        <v>43132</v>
      </c>
      <c r="J303" s="10">
        <f>IFERROR(__xludf.DUMMYFUNCTION("""COMPUTED_VALUE"""),44348.0)</f>
        <v>44348</v>
      </c>
      <c r="K303" s="15">
        <f>IFERROR(__xludf.DUMMYFUNCTION("""COMPUTED_VALUE"""),45444.0)</f>
        <v>45444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9" t="str">
        <f>IFERROR(__xludf.DUMMYFUNCTION("""COMPUTED_VALUE"""),"Yu")</f>
        <v>Yu</v>
      </c>
      <c r="B304" s="8" t="str">
        <f>IFERROR(__xludf.DUMMYFUNCTION("""COMPUTED_VALUE"""),"Bruce")</f>
        <v>Bruce</v>
      </c>
      <c r="C304" s="8" t="str">
        <f>IFERROR(__xludf.DUMMYFUNCTION("""COMPUTED_VALUE"""),"")</f>
        <v/>
      </c>
      <c r="D304" s="8" t="str">
        <f>IFERROR(__xludf.DUMMYFUNCTION("""COMPUTED_VALUE"""),"UNK")</f>
        <v>UNK</v>
      </c>
      <c r="E304" s="8" t="str">
        <f>IFERROR(__xludf.DUMMYFUNCTION("""COMPUTED_VALUE"""),"Taiwan")</f>
        <v>Taiwan</v>
      </c>
      <c r="F304" s="8" t="str">
        <f>IFERROR(__xludf.DUMMYFUNCTION("""COMPUTED_VALUE"""),"DL")</f>
        <v>DL</v>
      </c>
      <c r="G304" s="8" t="str">
        <f>IFERROR(__xludf.DUMMYFUNCTION("""COMPUTED_VALUE"""),"58th")</f>
        <v>58th</v>
      </c>
      <c r="H304" s="8" t="str">
        <f>IFERROR(__xludf.DUMMYFUNCTION("""COMPUTED_VALUE"""),"DL 2018")</f>
        <v>DL 2018</v>
      </c>
      <c r="I304" s="10">
        <f>IFERROR(__xludf.DUMMYFUNCTION("""COMPUTED_VALUE"""),43136.0)</f>
        <v>43136</v>
      </c>
      <c r="J304" s="10">
        <f>IFERROR(__xludf.DUMMYFUNCTION("""COMPUTED_VALUE"""),44348.0)</f>
        <v>44348</v>
      </c>
      <c r="K304" s="15">
        <f>IFERROR(__xludf.DUMMYFUNCTION("""COMPUTED_VALUE"""),45444.0)</f>
        <v>45444</v>
      </c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9" t="str">
        <f>IFERROR(__xludf.DUMMYFUNCTION("""COMPUTED_VALUE"""),"Yu")</f>
        <v>Yu</v>
      </c>
      <c r="B305" s="8" t="str">
        <f>IFERROR(__xludf.DUMMYFUNCTION("""COMPUTED_VALUE"""),"Mica")</f>
        <v>Mica</v>
      </c>
      <c r="C305" s="8" t="str">
        <f>IFERROR(__xludf.DUMMYFUNCTION("""COMPUTED_VALUE"""),"")</f>
        <v/>
      </c>
      <c r="D305" s="8" t="str">
        <f>IFERROR(__xludf.DUMMYFUNCTION("""COMPUTED_VALUE"""),"UNK")</f>
        <v>UNK</v>
      </c>
      <c r="E305" s="8" t="str">
        <f>IFERROR(__xludf.DUMMYFUNCTION("""COMPUTED_VALUE"""),"Hong Kong")</f>
        <v>Hong Kong</v>
      </c>
      <c r="F305" s="8" t="str">
        <f>IFERROR(__xludf.DUMMYFUNCTION("""COMPUTED_VALUE"""),"DL")</f>
        <v>DL</v>
      </c>
      <c r="G305" s="8" t="str">
        <f>IFERROR(__xludf.DUMMYFUNCTION("""COMPUTED_VALUE"""),"48th")</f>
        <v>48th</v>
      </c>
      <c r="H305" s="8" t="str">
        <f>IFERROR(__xludf.DUMMYFUNCTION("""COMPUTED_VALUE"""),"DL 2018")</f>
        <v>DL 2018</v>
      </c>
      <c r="I305" s="10">
        <f>IFERROR(__xludf.DUMMYFUNCTION("""COMPUTED_VALUE"""),43136.0)</f>
        <v>43136</v>
      </c>
      <c r="J305" s="10">
        <f>IFERROR(__xludf.DUMMYFUNCTION("""COMPUTED_VALUE"""),44348.0)</f>
        <v>44348</v>
      </c>
      <c r="K305" s="15">
        <f>IFERROR(__xludf.DUMMYFUNCTION("""COMPUTED_VALUE"""),45444.0)</f>
        <v>45444</v>
      </c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9"/>
      <c r="B306" s="8"/>
      <c r="C306" s="8"/>
      <c r="D306" s="8"/>
      <c r="E306" s="8"/>
      <c r="F306" s="8"/>
      <c r="G306" s="8"/>
      <c r="H306" s="8"/>
      <c r="I306" s="10"/>
      <c r="J306" s="10"/>
      <c r="K306" s="11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9"/>
      <c r="B307" s="8"/>
      <c r="C307" s="8"/>
      <c r="D307" s="8"/>
      <c r="E307" s="8"/>
      <c r="F307" s="8"/>
      <c r="G307" s="8"/>
      <c r="H307" s="8"/>
      <c r="I307" s="10"/>
      <c r="J307" s="10"/>
      <c r="K307" s="11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9"/>
      <c r="B308" s="8"/>
      <c r="C308" s="8"/>
      <c r="D308" s="8"/>
      <c r="E308" s="8"/>
      <c r="F308" s="8"/>
      <c r="G308" s="8"/>
      <c r="H308" s="8"/>
      <c r="I308" s="10"/>
      <c r="J308" s="10"/>
      <c r="K308" s="1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9"/>
      <c r="B309" s="8"/>
      <c r="C309" s="8"/>
      <c r="D309" s="8"/>
      <c r="E309" s="8"/>
      <c r="F309" s="8"/>
      <c r="G309" s="8"/>
      <c r="H309" s="8"/>
      <c r="I309" s="10"/>
      <c r="J309" s="10"/>
      <c r="K309" s="1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9"/>
      <c r="B310" s="8"/>
      <c r="C310" s="8"/>
      <c r="D310" s="8"/>
      <c r="E310" s="8"/>
      <c r="F310" s="8"/>
      <c r="G310" s="8"/>
      <c r="H310" s="8"/>
      <c r="I310" s="10"/>
      <c r="J310" s="10"/>
      <c r="K310" s="11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9"/>
      <c r="B311" s="8"/>
      <c r="C311" s="8"/>
      <c r="D311" s="8"/>
      <c r="E311" s="8"/>
      <c r="F311" s="8"/>
      <c r="G311" s="8"/>
      <c r="H311" s="8"/>
      <c r="I311" s="10"/>
      <c r="J311" s="10"/>
      <c r="K311" s="11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9"/>
      <c r="B312" s="8"/>
      <c r="C312" s="8"/>
      <c r="D312" s="8"/>
      <c r="E312" s="8"/>
      <c r="F312" s="8"/>
      <c r="G312" s="8"/>
      <c r="H312" s="8"/>
      <c r="I312" s="10"/>
      <c r="J312" s="10"/>
      <c r="K312" s="11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9"/>
      <c r="B313" s="8"/>
      <c r="C313" s="8"/>
      <c r="D313" s="8"/>
      <c r="E313" s="8"/>
      <c r="F313" s="8"/>
      <c r="G313" s="8"/>
      <c r="H313" s="8"/>
      <c r="I313" s="10"/>
      <c r="J313" s="10"/>
      <c r="K313" s="1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9"/>
      <c r="B314" s="8"/>
      <c r="C314" s="8"/>
      <c r="D314" s="8"/>
      <c r="E314" s="8"/>
      <c r="F314" s="8"/>
      <c r="G314" s="8"/>
      <c r="H314" s="8"/>
      <c r="I314" s="10"/>
      <c r="J314" s="10"/>
      <c r="K314" s="1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9"/>
      <c r="B315" s="8"/>
      <c r="C315" s="8"/>
      <c r="D315" s="8"/>
      <c r="E315" s="8"/>
      <c r="F315" s="8"/>
      <c r="G315" s="8"/>
      <c r="H315" s="8"/>
      <c r="I315" s="10"/>
      <c r="J315" s="10"/>
      <c r="K315" s="11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9"/>
      <c r="B316" s="8"/>
      <c r="C316" s="8"/>
      <c r="D316" s="8"/>
      <c r="E316" s="8"/>
      <c r="F316" s="8"/>
      <c r="G316" s="8"/>
      <c r="H316" s="8"/>
      <c r="I316" s="10"/>
      <c r="J316" s="10"/>
      <c r="K316" s="11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9"/>
      <c r="B317" s="8"/>
      <c r="C317" s="8"/>
      <c r="D317" s="8"/>
      <c r="E317" s="8"/>
      <c r="F317" s="8"/>
      <c r="G317" s="8"/>
      <c r="H317" s="8"/>
      <c r="I317" s="10"/>
      <c r="J317" s="10"/>
      <c r="K317" s="1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9"/>
      <c r="B318" s="8"/>
      <c r="C318" s="8"/>
      <c r="D318" s="8"/>
      <c r="E318" s="8"/>
      <c r="F318" s="8"/>
      <c r="G318" s="8"/>
      <c r="H318" s="8"/>
      <c r="I318" s="10"/>
      <c r="J318" s="10"/>
      <c r="K318" s="1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9"/>
      <c r="B319" s="8"/>
      <c r="C319" s="8"/>
      <c r="D319" s="8"/>
      <c r="E319" s="8"/>
      <c r="F319" s="8"/>
      <c r="G319" s="8"/>
      <c r="H319" s="8"/>
      <c r="I319" s="10"/>
      <c r="J319" s="10"/>
      <c r="K319" s="11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12"/>
      <c r="B320" s="13"/>
      <c r="C320" s="13"/>
      <c r="D320" s="13"/>
      <c r="E320" s="13"/>
      <c r="F320" s="13"/>
      <c r="G320" s="13"/>
      <c r="H320" s="13"/>
      <c r="I320" s="14"/>
      <c r="J320" s="14"/>
      <c r="K320" s="11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9"/>
      <c r="B321" s="8"/>
      <c r="C321" s="8"/>
      <c r="D321" s="8"/>
      <c r="E321" s="8"/>
      <c r="F321" s="8"/>
      <c r="G321" s="8"/>
      <c r="H321" s="8"/>
      <c r="I321" s="10"/>
      <c r="J321" s="10"/>
      <c r="K321" s="11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9"/>
      <c r="B322" s="8"/>
      <c r="C322" s="8"/>
      <c r="D322" s="8"/>
      <c r="E322" s="8"/>
      <c r="F322" s="8"/>
      <c r="G322" s="8"/>
      <c r="H322" s="8"/>
      <c r="I322" s="10"/>
      <c r="J322" s="10"/>
      <c r="K322" s="11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9"/>
      <c r="B323" s="8"/>
      <c r="C323" s="8"/>
      <c r="D323" s="8"/>
      <c r="E323" s="8"/>
      <c r="F323" s="8"/>
      <c r="G323" s="8"/>
      <c r="H323" s="8"/>
      <c r="I323" s="10"/>
      <c r="J323" s="10"/>
      <c r="K323" s="1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9"/>
      <c r="B324" s="8"/>
      <c r="C324" s="8"/>
      <c r="D324" s="8"/>
      <c r="E324" s="8"/>
      <c r="F324" s="8"/>
      <c r="G324" s="8"/>
      <c r="H324" s="8"/>
      <c r="I324" s="10"/>
      <c r="J324" s="10"/>
      <c r="K324" s="1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9"/>
      <c r="B325" s="8"/>
      <c r="C325" s="8"/>
      <c r="D325" s="8"/>
      <c r="E325" s="8"/>
      <c r="F325" s="8"/>
      <c r="G325" s="8"/>
      <c r="H325" s="8"/>
      <c r="I325" s="10"/>
      <c r="J325" s="10"/>
      <c r="K325" s="11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9"/>
      <c r="B326" s="8"/>
      <c r="C326" s="8"/>
      <c r="D326" s="8"/>
      <c r="E326" s="8"/>
      <c r="F326" s="8"/>
      <c r="G326" s="8"/>
      <c r="H326" s="8"/>
      <c r="I326" s="10"/>
      <c r="J326" s="10"/>
      <c r="K326" s="11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9"/>
      <c r="B327" s="8"/>
      <c r="C327" s="8"/>
      <c r="D327" s="8"/>
      <c r="E327" s="8"/>
      <c r="F327" s="8"/>
      <c r="G327" s="8"/>
      <c r="H327" s="8"/>
      <c r="I327" s="10"/>
      <c r="J327" s="10"/>
      <c r="K327" s="1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9"/>
      <c r="B328" s="8"/>
      <c r="C328" s="8"/>
      <c r="D328" s="8"/>
      <c r="E328" s="8"/>
      <c r="F328" s="8"/>
      <c r="G328" s="8"/>
      <c r="H328" s="8"/>
      <c r="I328" s="10"/>
      <c r="J328" s="10"/>
      <c r="K328" s="1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9"/>
      <c r="B329" s="8"/>
      <c r="C329" s="8"/>
      <c r="D329" s="8"/>
      <c r="E329" s="8"/>
      <c r="F329" s="8"/>
      <c r="G329" s="8"/>
      <c r="H329" s="8"/>
      <c r="I329" s="10"/>
      <c r="J329" s="10"/>
      <c r="K329" s="11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9"/>
      <c r="B330" s="8"/>
      <c r="C330" s="8"/>
      <c r="D330" s="8"/>
      <c r="E330" s="8"/>
      <c r="F330" s="8"/>
      <c r="G330" s="8"/>
      <c r="H330" s="8"/>
      <c r="I330" s="10"/>
      <c r="J330" s="10"/>
      <c r="K330" s="11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9"/>
      <c r="B331" s="8"/>
      <c r="C331" s="8"/>
      <c r="D331" s="8"/>
      <c r="E331" s="8"/>
      <c r="F331" s="8"/>
      <c r="G331" s="8"/>
      <c r="H331" s="8"/>
      <c r="I331" s="10"/>
      <c r="J331" s="10"/>
      <c r="K331" s="11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9"/>
      <c r="B332" s="8"/>
      <c r="C332" s="8"/>
      <c r="D332" s="8"/>
      <c r="E332" s="8"/>
      <c r="F332" s="8"/>
      <c r="G332" s="8"/>
      <c r="H332" s="8"/>
      <c r="I332" s="10"/>
      <c r="J332" s="10"/>
      <c r="K332" s="11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9"/>
      <c r="B333" s="8"/>
      <c r="C333" s="8"/>
      <c r="D333" s="8"/>
      <c r="E333" s="8"/>
      <c r="F333" s="8"/>
      <c r="G333" s="8"/>
      <c r="H333" s="8"/>
      <c r="I333" s="10"/>
      <c r="J333" s="10"/>
      <c r="K333" s="1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9"/>
      <c r="B334" s="8"/>
      <c r="C334" s="8"/>
      <c r="D334" s="8"/>
      <c r="E334" s="8"/>
      <c r="F334" s="8"/>
      <c r="G334" s="8"/>
      <c r="H334" s="8"/>
      <c r="I334" s="10"/>
      <c r="J334" s="10"/>
      <c r="K334" s="1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9"/>
      <c r="B335" s="8"/>
      <c r="C335" s="8"/>
      <c r="D335" s="8"/>
      <c r="E335" s="8"/>
      <c r="F335" s="8"/>
      <c r="G335" s="8"/>
      <c r="H335" s="8"/>
      <c r="I335" s="10"/>
      <c r="J335" s="10"/>
      <c r="K335" s="11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9"/>
      <c r="B336" s="8"/>
      <c r="C336" s="8"/>
      <c r="D336" s="8"/>
      <c r="E336" s="8"/>
      <c r="F336" s="8"/>
      <c r="G336" s="8"/>
      <c r="H336" s="8"/>
      <c r="I336" s="10"/>
      <c r="J336" s="10"/>
      <c r="K336" s="11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9"/>
      <c r="B337" s="8"/>
      <c r="C337" s="8"/>
      <c r="D337" s="8"/>
      <c r="E337" s="8"/>
      <c r="F337" s="8"/>
      <c r="G337" s="8"/>
      <c r="H337" s="8"/>
      <c r="I337" s="10"/>
      <c r="J337" s="10"/>
      <c r="K337" s="1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9"/>
      <c r="B338" s="8"/>
      <c r="C338" s="8"/>
      <c r="D338" s="8"/>
      <c r="E338" s="8"/>
      <c r="F338" s="8"/>
      <c r="G338" s="8"/>
      <c r="H338" s="8"/>
      <c r="I338" s="10"/>
      <c r="J338" s="10"/>
      <c r="K338" s="1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9"/>
      <c r="B339" s="8"/>
      <c r="C339" s="8"/>
      <c r="D339" s="8"/>
      <c r="E339" s="8"/>
      <c r="F339" s="8"/>
      <c r="G339" s="8"/>
      <c r="H339" s="8"/>
      <c r="I339" s="10"/>
      <c r="J339" s="10"/>
      <c r="K339" s="11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9"/>
      <c r="B340" s="8"/>
      <c r="C340" s="8"/>
      <c r="D340" s="8"/>
      <c r="E340" s="8"/>
      <c r="F340" s="8"/>
      <c r="G340" s="8"/>
      <c r="H340" s="8"/>
      <c r="I340" s="10"/>
      <c r="J340" s="10"/>
      <c r="K340" s="11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9"/>
      <c r="B341" s="8"/>
      <c r="C341" s="8"/>
      <c r="D341" s="8"/>
      <c r="E341" s="8"/>
      <c r="F341" s="8"/>
      <c r="G341" s="8"/>
      <c r="H341" s="8"/>
      <c r="I341" s="10"/>
      <c r="J341" s="10"/>
      <c r="K341" s="1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9"/>
      <c r="B342" s="8"/>
      <c r="C342" s="8"/>
      <c r="D342" s="8"/>
      <c r="E342" s="8"/>
      <c r="F342" s="8"/>
      <c r="G342" s="8"/>
      <c r="H342" s="8"/>
      <c r="I342" s="10"/>
      <c r="J342" s="10"/>
      <c r="K342" s="1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9"/>
      <c r="B343" s="8"/>
      <c r="C343" s="8"/>
      <c r="D343" s="8"/>
      <c r="E343" s="8"/>
      <c r="F343" s="8"/>
      <c r="G343" s="8"/>
      <c r="H343" s="8"/>
      <c r="I343" s="10"/>
      <c r="J343" s="10"/>
      <c r="K343" s="11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9"/>
      <c r="B344" s="8"/>
      <c r="C344" s="8"/>
      <c r="D344" s="8"/>
      <c r="E344" s="8"/>
      <c r="F344" s="8"/>
      <c r="G344" s="8"/>
      <c r="H344" s="8"/>
      <c r="I344" s="10"/>
      <c r="J344" s="10"/>
      <c r="K344" s="11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9"/>
      <c r="B345" s="8"/>
      <c r="C345" s="8"/>
      <c r="D345" s="8"/>
      <c r="E345" s="8"/>
      <c r="F345" s="8"/>
      <c r="G345" s="8"/>
      <c r="H345" s="8"/>
      <c r="I345" s="10"/>
      <c r="J345" s="10"/>
      <c r="K345" s="1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9"/>
      <c r="B346" s="8"/>
      <c r="C346" s="8"/>
      <c r="D346" s="8"/>
      <c r="E346" s="8"/>
      <c r="F346" s="8"/>
      <c r="G346" s="8"/>
      <c r="H346" s="8"/>
      <c r="I346" s="10"/>
      <c r="J346" s="10"/>
      <c r="K346" s="1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9"/>
      <c r="B347" s="8"/>
      <c r="C347" s="8"/>
      <c r="D347" s="8"/>
      <c r="E347" s="8"/>
      <c r="F347" s="8"/>
      <c r="G347" s="8"/>
      <c r="H347" s="8"/>
      <c r="I347" s="10"/>
      <c r="J347" s="10"/>
      <c r="K347" s="11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9"/>
      <c r="B348" s="8"/>
      <c r="C348" s="8"/>
      <c r="D348" s="8"/>
      <c r="E348" s="8"/>
      <c r="F348" s="8"/>
      <c r="G348" s="8"/>
      <c r="H348" s="8"/>
      <c r="I348" s="10"/>
      <c r="J348" s="10"/>
      <c r="K348" s="11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9"/>
      <c r="B349" s="8"/>
      <c r="C349" s="8"/>
      <c r="D349" s="8"/>
      <c r="E349" s="8"/>
      <c r="F349" s="8"/>
      <c r="G349" s="8"/>
      <c r="H349" s="8"/>
      <c r="I349" s="10"/>
      <c r="J349" s="10"/>
      <c r="K349" s="1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9"/>
      <c r="B350" s="8"/>
      <c r="C350" s="8"/>
      <c r="D350" s="8"/>
      <c r="E350" s="8"/>
      <c r="F350" s="8"/>
      <c r="G350" s="8"/>
      <c r="H350" s="8"/>
      <c r="I350" s="10"/>
      <c r="J350" s="10"/>
      <c r="K350" s="1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9"/>
      <c r="B351" s="8"/>
      <c r="C351" s="8"/>
      <c r="D351" s="8"/>
      <c r="E351" s="8"/>
      <c r="F351" s="8"/>
      <c r="G351" s="8"/>
      <c r="H351" s="8"/>
      <c r="I351" s="10"/>
      <c r="J351" s="10"/>
      <c r="K351" s="11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9"/>
      <c r="B352" s="8"/>
      <c r="C352" s="8"/>
      <c r="D352" s="8"/>
      <c r="E352" s="8"/>
      <c r="F352" s="8"/>
      <c r="G352" s="8"/>
      <c r="H352" s="8"/>
      <c r="I352" s="10"/>
      <c r="J352" s="10"/>
      <c r="K352" s="11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9"/>
      <c r="B353" s="8"/>
      <c r="C353" s="8"/>
      <c r="D353" s="8"/>
      <c r="E353" s="8"/>
      <c r="F353" s="8"/>
      <c r="G353" s="8"/>
      <c r="H353" s="8"/>
      <c r="I353" s="10"/>
      <c r="J353" s="10"/>
      <c r="K353" s="11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9"/>
      <c r="B354" s="8"/>
      <c r="C354" s="8"/>
      <c r="D354" s="8"/>
      <c r="E354" s="8"/>
      <c r="F354" s="8"/>
      <c r="G354" s="8"/>
      <c r="H354" s="8"/>
      <c r="I354" s="10"/>
      <c r="J354" s="10"/>
      <c r="K354" s="11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9"/>
      <c r="B355" s="8"/>
      <c r="C355" s="8"/>
      <c r="D355" s="8"/>
      <c r="E355" s="8"/>
      <c r="F355" s="8"/>
      <c r="G355" s="8"/>
      <c r="H355" s="8"/>
      <c r="I355" s="10"/>
      <c r="J355" s="10"/>
      <c r="K355" s="11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9"/>
      <c r="B356" s="8"/>
      <c r="C356" s="8"/>
      <c r="D356" s="8"/>
      <c r="E356" s="8"/>
      <c r="F356" s="8"/>
      <c r="G356" s="8"/>
      <c r="H356" s="8"/>
      <c r="I356" s="10"/>
      <c r="J356" s="10"/>
      <c r="K356" s="1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9"/>
      <c r="B357" s="8"/>
      <c r="C357" s="8"/>
      <c r="D357" s="8"/>
      <c r="E357" s="8"/>
      <c r="F357" s="8"/>
      <c r="G357" s="8"/>
      <c r="H357" s="8"/>
      <c r="I357" s="10"/>
      <c r="J357" s="10"/>
      <c r="K357" s="1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9"/>
      <c r="B358" s="8"/>
      <c r="C358" s="8"/>
      <c r="D358" s="8"/>
      <c r="E358" s="8"/>
      <c r="F358" s="8"/>
      <c r="G358" s="8"/>
      <c r="H358" s="8"/>
      <c r="I358" s="10"/>
      <c r="J358" s="10"/>
      <c r="K358" s="11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9"/>
      <c r="B359" s="8"/>
      <c r="C359" s="8"/>
      <c r="D359" s="8"/>
      <c r="E359" s="8"/>
      <c r="F359" s="8"/>
      <c r="G359" s="8"/>
      <c r="H359" s="8"/>
      <c r="I359" s="10"/>
      <c r="J359" s="10"/>
      <c r="K359" s="11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9"/>
      <c r="B360" s="8"/>
      <c r="C360" s="8"/>
      <c r="D360" s="8"/>
      <c r="E360" s="8"/>
      <c r="F360" s="8"/>
      <c r="G360" s="8"/>
      <c r="H360" s="8"/>
      <c r="I360" s="10"/>
      <c r="J360" s="10"/>
      <c r="K360" s="1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9"/>
      <c r="B361" s="8"/>
      <c r="C361" s="8"/>
      <c r="D361" s="8"/>
      <c r="E361" s="8"/>
      <c r="F361" s="8"/>
      <c r="G361" s="8"/>
      <c r="H361" s="8"/>
      <c r="I361" s="10"/>
      <c r="J361" s="10"/>
      <c r="K361" s="1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9"/>
      <c r="B362" s="8"/>
      <c r="C362" s="8"/>
      <c r="D362" s="8"/>
      <c r="E362" s="8"/>
      <c r="F362" s="8"/>
      <c r="G362" s="8"/>
      <c r="H362" s="8"/>
      <c r="I362" s="10"/>
      <c r="J362" s="10"/>
      <c r="K362" s="11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9"/>
      <c r="B363" s="8"/>
      <c r="C363" s="8"/>
      <c r="D363" s="8"/>
      <c r="E363" s="8"/>
      <c r="F363" s="8"/>
      <c r="G363" s="8"/>
      <c r="H363" s="8"/>
      <c r="I363" s="10"/>
      <c r="J363" s="10"/>
      <c r="K363" s="11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9"/>
      <c r="B364" s="8"/>
      <c r="C364" s="8"/>
      <c r="D364" s="8"/>
      <c r="E364" s="8"/>
      <c r="F364" s="8"/>
      <c r="G364" s="8"/>
      <c r="H364" s="8"/>
      <c r="I364" s="10"/>
      <c r="J364" s="10"/>
      <c r="K364" s="11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9"/>
      <c r="B365" s="8"/>
      <c r="C365" s="8"/>
      <c r="D365" s="8"/>
      <c r="E365" s="8"/>
      <c r="F365" s="8"/>
      <c r="G365" s="8"/>
      <c r="H365" s="8"/>
      <c r="I365" s="10"/>
      <c r="J365" s="10"/>
      <c r="K365" s="11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9"/>
      <c r="B366" s="8"/>
      <c r="C366" s="8"/>
      <c r="D366" s="8"/>
      <c r="E366" s="8"/>
      <c r="F366" s="8"/>
      <c r="G366" s="8"/>
      <c r="H366" s="8"/>
      <c r="I366" s="10"/>
      <c r="J366" s="10"/>
      <c r="K366" s="1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9"/>
      <c r="B367" s="8"/>
      <c r="C367" s="8"/>
      <c r="D367" s="8"/>
      <c r="E367" s="8"/>
      <c r="F367" s="8"/>
      <c r="G367" s="8"/>
      <c r="H367" s="8"/>
      <c r="I367" s="10"/>
      <c r="J367" s="10"/>
      <c r="K367" s="1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9"/>
      <c r="B368" s="8"/>
      <c r="C368" s="8"/>
      <c r="D368" s="8"/>
      <c r="E368" s="8"/>
      <c r="F368" s="8"/>
      <c r="G368" s="8"/>
      <c r="H368" s="8"/>
      <c r="I368" s="10"/>
      <c r="J368" s="10"/>
      <c r="K368" s="1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9"/>
      <c r="B369" s="8"/>
      <c r="C369" s="8"/>
      <c r="D369" s="8"/>
      <c r="E369" s="8"/>
      <c r="F369" s="8"/>
      <c r="G369" s="8"/>
      <c r="H369" s="8"/>
      <c r="I369" s="10"/>
      <c r="J369" s="10"/>
      <c r="K369" s="1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9"/>
      <c r="B370" s="8"/>
      <c r="C370" s="8"/>
      <c r="D370" s="8"/>
      <c r="E370" s="8"/>
      <c r="F370" s="8"/>
      <c r="G370" s="8"/>
      <c r="H370" s="8"/>
      <c r="I370" s="10"/>
      <c r="J370" s="10"/>
      <c r="K370" s="1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12"/>
      <c r="B371" s="13"/>
      <c r="C371" s="13"/>
      <c r="D371" s="13"/>
      <c r="E371" s="13"/>
      <c r="F371" s="13"/>
      <c r="G371" s="13"/>
      <c r="H371" s="13"/>
      <c r="I371" s="14"/>
      <c r="J371" s="14"/>
      <c r="K371" s="11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9"/>
      <c r="B372" s="8"/>
      <c r="C372" s="8"/>
      <c r="D372" s="8"/>
      <c r="E372" s="8"/>
      <c r="F372" s="8"/>
      <c r="G372" s="8"/>
      <c r="H372" s="8"/>
      <c r="I372" s="10"/>
      <c r="J372" s="10"/>
      <c r="K372" s="11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9"/>
      <c r="B373" s="8"/>
      <c r="C373" s="8"/>
      <c r="D373" s="8"/>
      <c r="E373" s="8"/>
      <c r="F373" s="8"/>
      <c r="G373" s="8"/>
      <c r="H373" s="8"/>
      <c r="I373" s="10"/>
      <c r="J373" s="10"/>
      <c r="K373" s="11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9"/>
      <c r="B374" s="8"/>
      <c r="C374" s="8"/>
      <c r="D374" s="8"/>
      <c r="E374" s="8"/>
      <c r="F374" s="8"/>
      <c r="G374" s="8"/>
      <c r="H374" s="8"/>
      <c r="I374" s="10"/>
      <c r="J374" s="10"/>
      <c r="K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9"/>
      <c r="B375" s="8"/>
      <c r="C375" s="8"/>
      <c r="D375" s="8"/>
      <c r="E375" s="8"/>
      <c r="F375" s="8"/>
      <c r="G375" s="8"/>
      <c r="H375" s="8"/>
      <c r="I375" s="10"/>
      <c r="J375" s="10"/>
      <c r="K375" s="11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9"/>
      <c r="B376" s="8"/>
      <c r="C376" s="8"/>
      <c r="D376" s="8"/>
      <c r="E376" s="8"/>
      <c r="F376" s="8"/>
      <c r="G376" s="8"/>
      <c r="H376" s="8"/>
      <c r="I376" s="10"/>
      <c r="J376" s="10"/>
      <c r="K376" s="11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9"/>
      <c r="B377" s="8"/>
      <c r="C377" s="8"/>
      <c r="D377" s="8"/>
      <c r="E377" s="8"/>
      <c r="F377" s="8"/>
      <c r="G377" s="8"/>
      <c r="H377" s="8"/>
      <c r="I377" s="10"/>
      <c r="J377" s="10"/>
      <c r="K377" s="11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9"/>
      <c r="B378" s="8"/>
      <c r="C378" s="8"/>
      <c r="D378" s="8"/>
      <c r="E378" s="8"/>
      <c r="F378" s="8"/>
      <c r="G378" s="8"/>
      <c r="H378" s="8"/>
      <c r="I378" s="10"/>
      <c r="J378" s="10"/>
      <c r="K378" s="11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9"/>
      <c r="B379" s="8"/>
      <c r="C379" s="8"/>
      <c r="D379" s="8"/>
      <c r="E379" s="8"/>
      <c r="F379" s="8"/>
      <c r="G379" s="8"/>
      <c r="H379" s="8"/>
      <c r="I379" s="10"/>
      <c r="J379" s="10"/>
      <c r="K379" s="11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9"/>
      <c r="B380" s="8"/>
      <c r="C380" s="8"/>
      <c r="D380" s="8"/>
      <c r="E380" s="8"/>
      <c r="F380" s="8"/>
      <c r="G380" s="8"/>
      <c r="H380" s="8"/>
      <c r="I380" s="10"/>
      <c r="J380" s="10"/>
      <c r="K380" s="11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9"/>
      <c r="B381" s="8"/>
      <c r="C381" s="8"/>
      <c r="D381" s="8"/>
      <c r="E381" s="8"/>
      <c r="F381" s="8"/>
      <c r="G381" s="8"/>
      <c r="H381" s="8"/>
      <c r="I381" s="10"/>
      <c r="J381" s="10"/>
      <c r="K381" s="11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9"/>
      <c r="B382" s="8"/>
      <c r="C382" s="8"/>
      <c r="D382" s="8"/>
      <c r="E382" s="8"/>
      <c r="F382" s="8"/>
      <c r="G382" s="8"/>
      <c r="H382" s="8"/>
      <c r="I382" s="10"/>
      <c r="J382" s="10"/>
      <c r="K382" s="11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9"/>
      <c r="B383" s="8"/>
      <c r="C383" s="8"/>
      <c r="D383" s="8"/>
      <c r="E383" s="8"/>
      <c r="F383" s="8"/>
      <c r="G383" s="8"/>
      <c r="H383" s="8"/>
      <c r="I383" s="10"/>
      <c r="J383" s="10"/>
      <c r="K383" s="11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9"/>
      <c r="B384" s="8"/>
      <c r="C384" s="8"/>
      <c r="D384" s="8"/>
      <c r="E384" s="8"/>
      <c r="F384" s="8"/>
      <c r="G384" s="8"/>
      <c r="H384" s="8"/>
      <c r="I384" s="10"/>
      <c r="J384" s="10"/>
      <c r="K384" s="11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9"/>
      <c r="B385" s="8"/>
      <c r="C385" s="8"/>
      <c r="D385" s="8"/>
      <c r="E385" s="8"/>
      <c r="F385" s="8"/>
      <c r="G385" s="8"/>
      <c r="H385" s="8"/>
      <c r="I385" s="10"/>
      <c r="J385" s="10"/>
      <c r="K385" s="11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12"/>
      <c r="B386" s="13"/>
      <c r="C386" s="13"/>
      <c r="D386" s="13"/>
      <c r="E386" s="13"/>
      <c r="F386" s="13"/>
      <c r="G386" s="13"/>
      <c r="H386" s="13"/>
      <c r="I386" s="14"/>
      <c r="J386" s="14"/>
      <c r="K386" s="11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9"/>
      <c r="B387" s="8"/>
      <c r="C387" s="8"/>
      <c r="D387" s="8"/>
      <c r="E387" s="8"/>
      <c r="F387" s="8"/>
      <c r="G387" s="8"/>
      <c r="H387" s="8"/>
      <c r="I387" s="10"/>
      <c r="J387" s="10"/>
      <c r="K387" s="11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9"/>
      <c r="B388" s="8"/>
      <c r="C388" s="8"/>
      <c r="D388" s="8"/>
      <c r="E388" s="8"/>
      <c r="F388" s="8"/>
      <c r="G388" s="8"/>
      <c r="H388" s="8"/>
      <c r="I388" s="10"/>
      <c r="J388" s="10"/>
      <c r="K388" s="11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9"/>
      <c r="B389" s="8"/>
      <c r="C389" s="8"/>
      <c r="D389" s="8"/>
      <c r="E389" s="8"/>
      <c r="F389" s="8"/>
      <c r="G389" s="8"/>
      <c r="H389" s="8"/>
      <c r="I389" s="10"/>
      <c r="J389" s="10"/>
      <c r="K389" s="11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9"/>
      <c r="B390" s="8"/>
      <c r="C390" s="8"/>
      <c r="D390" s="8"/>
      <c r="E390" s="8"/>
      <c r="F390" s="8"/>
      <c r="G390" s="8"/>
      <c r="H390" s="8"/>
      <c r="I390" s="10"/>
      <c r="J390" s="10"/>
      <c r="K390" s="11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9"/>
      <c r="B391" s="8"/>
      <c r="C391" s="8"/>
      <c r="D391" s="8"/>
      <c r="E391" s="8"/>
      <c r="F391" s="8"/>
      <c r="G391" s="8"/>
      <c r="H391" s="8"/>
      <c r="I391" s="10"/>
      <c r="J391" s="10"/>
      <c r="K391" s="11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9"/>
      <c r="B392" s="8"/>
      <c r="C392" s="8"/>
      <c r="D392" s="8"/>
      <c r="E392" s="8"/>
      <c r="F392" s="8"/>
      <c r="G392" s="8"/>
      <c r="H392" s="8"/>
      <c r="I392" s="10"/>
      <c r="J392" s="10"/>
      <c r="K392" s="11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9"/>
      <c r="B393" s="8"/>
      <c r="C393" s="8"/>
      <c r="D393" s="8"/>
      <c r="E393" s="8"/>
      <c r="F393" s="8"/>
      <c r="G393" s="8"/>
      <c r="H393" s="8"/>
      <c r="I393" s="10"/>
      <c r="J393" s="10"/>
      <c r="K393" s="11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9"/>
      <c r="B394" s="8"/>
      <c r="C394" s="8"/>
      <c r="D394" s="8"/>
      <c r="E394" s="8"/>
      <c r="F394" s="8"/>
      <c r="G394" s="8"/>
      <c r="H394" s="8"/>
      <c r="I394" s="10"/>
      <c r="J394" s="10"/>
      <c r="K394" s="11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9"/>
      <c r="B395" s="8"/>
      <c r="C395" s="8"/>
      <c r="D395" s="8"/>
      <c r="E395" s="8"/>
      <c r="F395" s="8"/>
      <c r="G395" s="8"/>
      <c r="H395" s="8"/>
      <c r="I395" s="10"/>
      <c r="J395" s="10"/>
      <c r="K395" s="11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9"/>
      <c r="B396" s="8"/>
      <c r="C396" s="8"/>
      <c r="D396" s="8"/>
      <c r="E396" s="8"/>
      <c r="F396" s="8"/>
      <c r="G396" s="8"/>
      <c r="H396" s="8"/>
      <c r="I396" s="10"/>
      <c r="J396" s="10"/>
      <c r="K396" s="11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9"/>
      <c r="B397" s="8"/>
      <c r="C397" s="8"/>
      <c r="D397" s="8"/>
      <c r="E397" s="8"/>
      <c r="F397" s="8"/>
      <c r="G397" s="8"/>
      <c r="H397" s="8"/>
      <c r="I397" s="10"/>
      <c r="J397" s="10"/>
      <c r="K397" s="11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9"/>
      <c r="B398" s="8"/>
      <c r="C398" s="8"/>
      <c r="D398" s="8"/>
      <c r="E398" s="8"/>
      <c r="F398" s="8"/>
      <c r="G398" s="8"/>
      <c r="H398" s="8"/>
      <c r="I398" s="10"/>
      <c r="J398" s="10"/>
      <c r="K398" s="11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9"/>
      <c r="B399" s="8"/>
      <c r="C399" s="8"/>
      <c r="D399" s="8"/>
      <c r="E399" s="8"/>
      <c r="F399" s="8"/>
      <c r="G399" s="8"/>
      <c r="H399" s="8"/>
      <c r="I399" s="10"/>
      <c r="J399" s="10"/>
      <c r="K399" s="11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9"/>
      <c r="B400" s="8"/>
      <c r="C400" s="8"/>
      <c r="D400" s="8"/>
      <c r="E400" s="8"/>
      <c r="F400" s="8"/>
      <c r="G400" s="8"/>
      <c r="H400" s="8"/>
      <c r="I400" s="10"/>
      <c r="J400" s="10"/>
      <c r="K400" s="11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9"/>
      <c r="B401" s="8"/>
      <c r="C401" s="8"/>
      <c r="D401" s="8"/>
      <c r="E401" s="8"/>
      <c r="F401" s="8"/>
      <c r="G401" s="8"/>
      <c r="H401" s="8"/>
      <c r="I401" s="10"/>
      <c r="J401" s="10"/>
      <c r="K401" s="11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9"/>
      <c r="B402" s="8"/>
      <c r="C402" s="8"/>
      <c r="D402" s="8"/>
      <c r="E402" s="8"/>
      <c r="F402" s="8"/>
      <c r="G402" s="8"/>
      <c r="H402" s="8"/>
      <c r="I402" s="10"/>
      <c r="J402" s="10"/>
      <c r="K402" s="11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9"/>
      <c r="B403" s="8"/>
      <c r="C403" s="8"/>
      <c r="D403" s="8"/>
      <c r="E403" s="8"/>
      <c r="F403" s="8"/>
      <c r="G403" s="8"/>
      <c r="H403" s="8"/>
      <c r="I403" s="10"/>
      <c r="J403" s="10"/>
      <c r="K403" s="11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9"/>
      <c r="B404" s="8"/>
      <c r="C404" s="8"/>
      <c r="D404" s="8"/>
      <c r="E404" s="8"/>
      <c r="F404" s="8"/>
      <c r="G404" s="8"/>
      <c r="H404" s="8"/>
      <c r="I404" s="10"/>
      <c r="J404" s="10"/>
      <c r="K404" s="11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9"/>
      <c r="B405" s="8"/>
      <c r="C405" s="8"/>
      <c r="D405" s="8"/>
      <c r="E405" s="8"/>
      <c r="F405" s="8"/>
      <c r="G405" s="8"/>
      <c r="H405" s="8"/>
      <c r="I405" s="10"/>
      <c r="J405" s="10"/>
      <c r="K405" s="11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9"/>
      <c r="B406" s="8"/>
      <c r="C406" s="8"/>
      <c r="D406" s="8"/>
      <c r="E406" s="8"/>
      <c r="F406" s="8"/>
      <c r="G406" s="8"/>
      <c r="H406" s="8"/>
      <c r="I406" s="10"/>
      <c r="J406" s="10"/>
      <c r="K406" s="11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9"/>
      <c r="B407" s="8"/>
      <c r="C407" s="8"/>
      <c r="D407" s="8"/>
      <c r="E407" s="8"/>
      <c r="F407" s="8"/>
      <c r="G407" s="8"/>
      <c r="H407" s="8"/>
      <c r="I407" s="10"/>
      <c r="J407" s="10"/>
      <c r="K407" s="11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9"/>
      <c r="B408" s="8"/>
      <c r="C408" s="8"/>
      <c r="D408" s="8"/>
      <c r="E408" s="8"/>
      <c r="F408" s="8"/>
      <c r="G408" s="8"/>
      <c r="H408" s="8"/>
      <c r="I408" s="10"/>
      <c r="J408" s="10"/>
      <c r="K408" s="11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9"/>
      <c r="B409" s="8"/>
      <c r="C409" s="8"/>
      <c r="D409" s="8"/>
      <c r="E409" s="8"/>
      <c r="F409" s="8"/>
      <c r="G409" s="8"/>
      <c r="H409" s="8"/>
      <c r="I409" s="10"/>
      <c r="J409" s="10"/>
      <c r="K409" s="11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9"/>
      <c r="B410" s="8"/>
      <c r="C410" s="8"/>
      <c r="D410" s="8"/>
      <c r="E410" s="8"/>
      <c r="F410" s="8"/>
      <c r="G410" s="8"/>
      <c r="H410" s="8"/>
      <c r="I410" s="10"/>
      <c r="J410" s="10"/>
      <c r="K410" s="11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9"/>
      <c r="B411" s="8"/>
      <c r="C411" s="8"/>
      <c r="D411" s="8"/>
      <c r="E411" s="8"/>
      <c r="F411" s="8"/>
      <c r="G411" s="8"/>
      <c r="H411" s="8"/>
      <c r="I411" s="10"/>
      <c r="J411" s="10"/>
      <c r="K411" s="11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9"/>
      <c r="B412" s="8"/>
      <c r="C412" s="8"/>
      <c r="D412" s="8"/>
      <c r="E412" s="8"/>
      <c r="F412" s="8"/>
      <c r="G412" s="8"/>
      <c r="H412" s="8"/>
      <c r="I412" s="10"/>
      <c r="J412" s="10"/>
      <c r="K412" s="11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9"/>
      <c r="B413" s="8"/>
      <c r="C413" s="8"/>
      <c r="D413" s="8"/>
      <c r="E413" s="8"/>
      <c r="F413" s="8"/>
      <c r="G413" s="8"/>
      <c r="H413" s="8"/>
      <c r="I413" s="10"/>
      <c r="J413" s="10"/>
      <c r="K413" s="11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9"/>
      <c r="B414" s="8"/>
      <c r="C414" s="8"/>
      <c r="D414" s="8"/>
      <c r="E414" s="8"/>
      <c r="F414" s="8"/>
      <c r="G414" s="8"/>
      <c r="H414" s="8"/>
      <c r="I414" s="10"/>
      <c r="J414" s="10"/>
      <c r="K414" s="11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9"/>
      <c r="B415" s="8"/>
      <c r="C415" s="8"/>
      <c r="D415" s="8"/>
      <c r="E415" s="8"/>
      <c r="F415" s="8"/>
      <c r="G415" s="8"/>
      <c r="H415" s="8"/>
      <c r="I415" s="10"/>
      <c r="J415" s="10"/>
      <c r="K415" s="11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9"/>
      <c r="B416" s="8"/>
      <c r="C416" s="8"/>
      <c r="D416" s="8"/>
      <c r="E416" s="8"/>
      <c r="F416" s="8"/>
      <c r="G416" s="8"/>
      <c r="H416" s="8"/>
      <c r="I416" s="10"/>
      <c r="J416" s="10"/>
      <c r="K416" s="11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9"/>
      <c r="B417" s="8"/>
      <c r="C417" s="8"/>
      <c r="D417" s="8"/>
      <c r="E417" s="8"/>
      <c r="F417" s="8"/>
      <c r="G417" s="8"/>
      <c r="H417" s="8"/>
      <c r="I417" s="10"/>
      <c r="J417" s="10"/>
      <c r="K417" s="11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9"/>
      <c r="B418" s="8"/>
      <c r="C418" s="8"/>
      <c r="D418" s="8"/>
      <c r="E418" s="8"/>
      <c r="F418" s="8"/>
      <c r="G418" s="8"/>
      <c r="H418" s="8"/>
      <c r="I418" s="10"/>
      <c r="J418" s="10"/>
      <c r="K418" s="11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9"/>
      <c r="B419" s="8"/>
      <c r="C419" s="8"/>
      <c r="D419" s="8"/>
      <c r="E419" s="8"/>
      <c r="F419" s="8"/>
      <c r="G419" s="8"/>
      <c r="H419" s="8"/>
      <c r="I419" s="10"/>
      <c r="J419" s="10"/>
      <c r="K419" s="11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9"/>
      <c r="B420" s="8"/>
      <c r="C420" s="8"/>
      <c r="D420" s="8"/>
      <c r="E420" s="8"/>
      <c r="F420" s="8"/>
      <c r="G420" s="8"/>
      <c r="H420" s="8"/>
      <c r="I420" s="10"/>
      <c r="J420" s="10"/>
      <c r="K420" s="11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9"/>
      <c r="B421" s="8"/>
      <c r="C421" s="8"/>
      <c r="D421" s="8"/>
      <c r="E421" s="8"/>
      <c r="F421" s="8"/>
      <c r="G421" s="8"/>
      <c r="H421" s="8"/>
      <c r="I421" s="10"/>
      <c r="J421" s="10"/>
      <c r="K421" s="11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9"/>
      <c r="B422" s="8"/>
      <c r="C422" s="8"/>
      <c r="D422" s="8"/>
      <c r="E422" s="8"/>
      <c r="F422" s="8"/>
      <c r="G422" s="8"/>
      <c r="H422" s="8"/>
      <c r="I422" s="10"/>
      <c r="J422" s="10"/>
      <c r="K422" s="11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9"/>
      <c r="B423" s="8"/>
      <c r="C423" s="8"/>
      <c r="D423" s="8"/>
      <c r="E423" s="8"/>
      <c r="F423" s="8"/>
      <c r="G423" s="8"/>
      <c r="H423" s="8"/>
      <c r="I423" s="10"/>
      <c r="J423" s="10"/>
      <c r="K423" s="11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9"/>
      <c r="B424" s="8"/>
      <c r="C424" s="8"/>
      <c r="D424" s="8"/>
      <c r="E424" s="8"/>
      <c r="F424" s="8"/>
      <c r="G424" s="8"/>
      <c r="H424" s="8"/>
      <c r="I424" s="10"/>
      <c r="J424" s="10"/>
      <c r="K424" s="11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9"/>
      <c r="B425" s="8"/>
      <c r="C425" s="8"/>
      <c r="D425" s="8"/>
      <c r="E425" s="8"/>
      <c r="F425" s="8"/>
      <c r="G425" s="8"/>
      <c r="H425" s="8"/>
      <c r="I425" s="10"/>
      <c r="J425" s="10"/>
      <c r="K425" s="11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9"/>
      <c r="B426" s="8"/>
      <c r="C426" s="8"/>
      <c r="D426" s="8"/>
      <c r="E426" s="8"/>
      <c r="F426" s="8"/>
      <c r="G426" s="8"/>
      <c r="H426" s="8"/>
      <c r="I426" s="10"/>
      <c r="J426" s="10"/>
      <c r="K426" s="11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9"/>
      <c r="B427" s="8"/>
      <c r="C427" s="8"/>
      <c r="D427" s="8"/>
      <c r="E427" s="8"/>
      <c r="F427" s="8"/>
      <c r="G427" s="8"/>
      <c r="H427" s="8"/>
      <c r="I427" s="10"/>
      <c r="J427" s="10"/>
      <c r="K427" s="11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9"/>
      <c r="B428" s="8"/>
      <c r="C428" s="8"/>
      <c r="D428" s="8"/>
      <c r="E428" s="8"/>
      <c r="F428" s="8"/>
      <c r="G428" s="8"/>
      <c r="H428" s="8"/>
      <c r="I428" s="10"/>
      <c r="J428" s="10"/>
      <c r="K428" s="11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9"/>
      <c r="B429" s="8"/>
      <c r="C429" s="8"/>
      <c r="D429" s="8"/>
      <c r="E429" s="8"/>
      <c r="F429" s="8"/>
      <c r="G429" s="8"/>
      <c r="H429" s="8"/>
      <c r="I429" s="10"/>
      <c r="J429" s="10"/>
      <c r="K429" s="11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9"/>
      <c r="B430" s="8"/>
      <c r="C430" s="8"/>
      <c r="D430" s="8"/>
      <c r="E430" s="8"/>
      <c r="F430" s="8"/>
      <c r="G430" s="8"/>
      <c r="H430" s="8"/>
      <c r="I430" s="10"/>
      <c r="J430" s="10"/>
      <c r="K430" s="11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9"/>
      <c r="B431" s="8"/>
      <c r="C431" s="8"/>
      <c r="D431" s="8"/>
      <c r="E431" s="8"/>
      <c r="F431" s="8"/>
      <c r="G431" s="8"/>
      <c r="H431" s="8"/>
      <c r="I431" s="10"/>
      <c r="J431" s="10"/>
      <c r="K431" s="11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9"/>
      <c r="B432" s="8"/>
      <c r="C432" s="8"/>
      <c r="D432" s="8"/>
      <c r="E432" s="8"/>
      <c r="F432" s="8"/>
      <c r="G432" s="8"/>
      <c r="H432" s="8"/>
      <c r="I432" s="10"/>
      <c r="J432" s="10"/>
      <c r="K432" s="11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9"/>
      <c r="B433" s="8"/>
      <c r="C433" s="8"/>
      <c r="D433" s="8"/>
      <c r="E433" s="8"/>
      <c r="F433" s="8"/>
      <c r="G433" s="8"/>
      <c r="H433" s="8"/>
      <c r="I433" s="10"/>
      <c r="J433" s="10"/>
      <c r="K433" s="11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9"/>
      <c r="B434" s="8"/>
      <c r="C434" s="8"/>
      <c r="D434" s="8"/>
      <c r="E434" s="8"/>
      <c r="F434" s="8"/>
      <c r="G434" s="8"/>
      <c r="H434" s="8"/>
      <c r="I434" s="10"/>
      <c r="J434" s="10"/>
      <c r="K434" s="11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9"/>
      <c r="B435" s="8"/>
      <c r="C435" s="8"/>
      <c r="D435" s="8"/>
      <c r="E435" s="8"/>
      <c r="F435" s="8"/>
      <c r="G435" s="8"/>
      <c r="H435" s="8"/>
      <c r="I435" s="10"/>
      <c r="J435" s="10"/>
      <c r="K435" s="11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9"/>
      <c r="B436" s="8"/>
      <c r="C436" s="8"/>
      <c r="D436" s="8"/>
      <c r="E436" s="8"/>
      <c r="F436" s="8"/>
      <c r="G436" s="8"/>
      <c r="H436" s="8"/>
      <c r="I436" s="10"/>
      <c r="J436" s="10"/>
      <c r="K436" s="11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9"/>
      <c r="B437" s="8"/>
      <c r="C437" s="8"/>
      <c r="D437" s="8"/>
      <c r="E437" s="8"/>
      <c r="F437" s="8"/>
      <c r="G437" s="8"/>
      <c r="H437" s="8"/>
      <c r="I437" s="10"/>
      <c r="J437" s="10"/>
      <c r="K437" s="11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9"/>
      <c r="B438" s="8"/>
      <c r="C438" s="8"/>
      <c r="D438" s="8"/>
      <c r="E438" s="8"/>
      <c r="F438" s="8"/>
      <c r="G438" s="8"/>
      <c r="H438" s="8"/>
      <c r="I438" s="10"/>
      <c r="J438" s="10"/>
      <c r="K438" s="11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9"/>
      <c r="B439" s="8"/>
      <c r="C439" s="8"/>
      <c r="D439" s="8"/>
      <c r="E439" s="8"/>
      <c r="F439" s="8"/>
      <c r="G439" s="8"/>
      <c r="H439" s="8"/>
      <c r="I439" s="10"/>
      <c r="J439" s="10"/>
      <c r="K439" s="11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9"/>
      <c r="B440" s="8"/>
      <c r="C440" s="8"/>
      <c r="D440" s="8"/>
      <c r="E440" s="8"/>
      <c r="F440" s="8"/>
      <c r="G440" s="8"/>
      <c r="H440" s="8"/>
      <c r="I440" s="10"/>
      <c r="J440" s="10"/>
      <c r="K440" s="11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9"/>
      <c r="B441" s="8"/>
      <c r="C441" s="8"/>
      <c r="D441" s="8"/>
      <c r="E441" s="8"/>
      <c r="F441" s="8"/>
      <c r="G441" s="8"/>
      <c r="H441" s="8"/>
      <c r="I441" s="10"/>
      <c r="J441" s="10"/>
      <c r="K441" s="11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9"/>
      <c r="B442" s="8"/>
      <c r="C442" s="8"/>
      <c r="D442" s="8"/>
      <c r="E442" s="8"/>
      <c r="F442" s="8"/>
      <c r="G442" s="8"/>
      <c r="H442" s="8"/>
      <c r="I442" s="10"/>
      <c r="J442" s="10"/>
      <c r="K442" s="11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9"/>
      <c r="B443" s="8"/>
      <c r="C443" s="8"/>
      <c r="D443" s="8"/>
      <c r="E443" s="8"/>
      <c r="F443" s="8"/>
      <c r="G443" s="8"/>
      <c r="H443" s="8"/>
      <c r="I443" s="10"/>
      <c r="J443" s="10"/>
      <c r="K443" s="11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9"/>
      <c r="B444" s="8"/>
      <c r="C444" s="8"/>
      <c r="D444" s="8"/>
      <c r="E444" s="8"/>
      <c r="F444" s="8"/>
      <c r="G444" s="8"/>
      <c r="H444" s="8"/>
      <c r="I444" s="10"/>
      <c r="J444" s="10"/>
      <c r="K444" s="11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9"/>
      <c r="B445" s="8"/>
      <c r="C445" s="8"/>
      <c r="D445" s="8"/>
      <c r="E445" s="8"/>
      <c r="F445" s="8"/>
      <c r="G445" s="8"/>
      <c r="H445" s="8"/>
      <c r="I445" s="10"/>
      <c r="J445" s="10"/>
      <c r="K445" s="11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9"/>
      <c r="B446" s="8"/>
      <c r="C446" s="8"/>
      <c r="D446" s="8"/>
      <c r="E446" s="8"/>
      <c r="F446" s="8"/>
      <c r="G446" s="8"/>
      <c r="H446" s="8"/>
      <c r="I446" s="10"/>
      <c r="J446" s="10"/>
      <c r="K446" s="11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9"/>
      <c r="B447" s="8"/>
      <c r="C447" s="8"/>
      <c r="D447" s="8"/>
      <c r="E447" s="8"/>
      <c r="F447" s="8"/>
      <c r="G447" s="8"/>
      <c r="H447" s="8"/>
      <c r="I447" s="10"/>
      <c r="J447" s="10"/>
      <c r="K447" s="11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9"/>
      <c r="B448" s="8"/>
      <c r="C448" s="8"/>
      <c r="D448" s="8"/>
      <c r="E448" s="8"/>
      <c r="F448" s="8"/>
      <c r="G448" s="8"/>
      <c r="H448" s="8"/>
      <c r="I448" s="10"/>
      <c r="J448" s="10"/>
      <c r="K448" s="11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9"/>
      <c r="B449" s="8"/>
      <c r="C449" s="8"/>
      <c r="D449" s="8"/>
      <c r="E449" s="8"/>
      <c r="F449" s="8"/>
      <c r="G449" s="8"/>
      <c r="H449" s="8"/>
      <c r="I449" s="10"/>
      <c r="J449" s="10"/>
      <c r="K449" s="11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9"/>
      <c r="B450" s="8"/>
      <c r="C450" s="8"/>
      <c r="D450" s="8"/>
      <c r="E450" s="8"/>
      <c r="F450" s="8"/>
      <c r="G450" s="8"/>
      <c r="H450" s="8"/>
      <c r="I450" s="10"/>
      <c r="J450" s="10"/>
      <c r="K450" s="11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9"/>
      <c r="B451" s="8"/>
      <c r="C451" s="8"/>
      <c r="D451" s="8"/>
      <c r="E451" s="8"/>
      <c r="F451" s="8"/>
      <c r="G451" s="8"/>
      <c r="H451" s="8"/>
      <c r="I451" s="10"/>
      <c r="J451" s="10"/>
      <c r="K451" s="11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9"/>
      <c r="B452" s="8"/>
      <c r="C452" s="8"/>
      <c r="D452" s="8"/>
      <c r="E452" s="8"/>
      <c r="F452" s="8"/>
      <c r="G452" s="8"/>
      <c r="H452" s="8"/>
      <c r="I452" s="10"/>
      <c r="J452" s="10"/>
      <c r="K452" s="11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9"/>
      <c r="B453" s="8"/>
      <c r="C453" s="8"/>
      <c r="D453" s="8"/>
      <c r="E453" s="8"/>
      <c r="F453" s="8"/>
      <c r="G453" s="8"/>
      <c r="H453" s="8"/>
      <c r="I453" s="10"/>
      <c r="J453" s="10"/>
      <c r="K453" s="11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9"/>
      <c r="B454" s="8"/>
      <c r="C454" s="8"/>
      <c r="D454" s="8"/>
      <c r="E454" s="8"/>
      <c r="F454" s="8"/>
      <c r="G454" s="8"/>
      <c r="H454" s="8"/>
      <c r="I454" s="10"/>
      <c r="J454" s="10"/>
      <c r="K454" s="11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9"/>
      <c r="B455" s="8"/>
      <c r="C455" s="8"/>
      <c r="D455" s="8"/>
      <c r="E455" s="8"/>
      <c r="F455" s="8"/>
      <c r="G455" s="8"/>
      <c r="H455" s="8"/>
      <c r="I455" s="10"/>
      <c r="J455" s="10"/>
      <c r="K455" s="11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9"/>
      <c r="B456" s="8"/>
      <c r="C456" s="8"/>
      <c r="D456" s="8"/>
      <c r="E456" s="8"/>
      <c r="F456" s="8"/>
      <c r="G456" s="8"/>
      <c r="H456" s="8"/>
      <c r="I456" s="10"/>
      <c r="J456" s="10"/>
      <c r="K456" s="11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9"/>
      <c r="B457" s="8"/>
      <c r="C457" s="8"/>
      <c r="D457" s="8"/>
      <c r="E457" s="8"/>
      <c r="F457" s="8"/>
      <c r="G457" s="8"/>
      <c r="H457" s="8"/>
      <c r="I457" s="10"/>
      <c r="J457" s="10"/>
      <c r="K457" s="11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9"/>
      <c r="B458" s="8"/>
      <c r="C458" s="8"/>
      <c r="D458" s="8"/>
      <c r="E458" s="8"/>
      <c r="F458" s="8"/>
      <c r="G458" s="8"/>
      <c r="H458" s="8"/>
      <c r="I458" s="10"/>
      <c r="J458" s="10"/>
      <c r="K458" s="11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9"/>
      <c r="B459" s="8"/>
      <c r="C459" s="8"/>
      <c r="D459" s="8"/>
      <c r="E459" s="8"/>
      <c r="F459" s="8"/>
      <c r="G459" s="8"/>
      <c r="H459" s="8"/>
      <c r="I459" s="10"/>
      <c r="J459" s="10"/>
      <c r="K459" s="11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9"/>
      <c r="B460" s="8"/>
      <c r="C460" s="8"/>
      <c r="D460" s="8"/>
      <c r="E460" s="8"/>
      <c r="F460" s="8"/>
      <c r="G460" s="8"/>
      <c r="H460" s="8"/>
      <c r="I460" s="10"/>
      <c r="J460" s="10"/>
      <c r="K460" s="11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9"/>
      <c r="B461" s="8"/>
      <c r="C461" s="8"/>
      <c r="D461" s="8"/>
      <c r="E461" s="8"/>
      <c r="F461" s="8"/>
      <c r="G461" s="8"/>
      <c r="H461" s="8"/>
      <c r="I461" s="10"/>
      <c r="J461" s="10"/>
      <c r="K461" s="11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9"/>
      <c r="B462" s="8"/>
      <c r="C462" s="8"/>
      <c r="D462" s="8"/>
      <c r="E462" s="8"/>
      <c r="F462" s="8"/>
      <c r="G462" s="8"/>
      <c r="H462" s="8"/>
      <c r="I462" s="10"/>
      <c r="J462" s="10"/>
      <c r="K462" s="11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9"/>
      <c r="B463" s="8"/>
      <c r="C463" s="8"/>
      <c r="D463" s="8"/>
      <c r="E463" s="8"/>
      <c r="F463" s="8"/>
      <c r="G463" s="8"/>
      <c r="H463" s="8"/>
      <c r="I463" s="10"/>
      <c r="J463" s="10"/>
      <c r="K463" s="11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9"/>
      <c r="B464" s="8"/>
      <c r="C464" s="8"/>
      <c r="D464" s="8"/>
      <c r="E464" s="8"/>
      <c r="F464" s="8"/>
      <c r="G464" s="8"/>
      <c r="H464" s="8"/>
      <c r="I464" s="10"/>
      <c r="J464" s="10"/>
      <c r="K464" s="11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9"/>
      <c r="B465" s="8"/>
      <c r="C465" s="8"/>
      <c r="D465" s="8"/>
      <c r="E465" s="8"/>
      <c r="F465" s="8"/>
      <c r="G465" s="8"/>
      <c r="H465" s="8"/>
      <c r="I465" s="10"/>
      <c r="J465" s="10"/>
      <c r="K465" s="11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9"/>
      <c r="B466" s="8"/>
      <c r="C466" s="8"/>
      <c r="D466" s="8"/>
      <c r="E466" s="8"/>
      <c r="F466" s="8"/>
      <c r="G466" s="8"/>
      <c r="H466" s="8"/>
      <c r="I466" s="10"/>
      <c r="J466" s="10"/>
      <c r="K466" s="11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9"/>
      <c r="B467" s="8"/>
      <c r="C467" s="8"/>
      <c r="D467" s="8"/>
      <c r="E467" s="8"/>
      <c r="F467" s="8"/>
      <c r="G467" s="8"/>
      <c r="H467" s="8"/>
      <c r="I467" s="10"/>
      <c r="J467" s="10"/>
      <c r="K467" s="11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9"/>
      <c r="B468" s="8"/>
      <c r="C468" s="8"/>
      <c r="D468" s="8"/>
      <c r="E468" s="8"/>
      <c r="F468" s="8"/>
      <c r="G468" s="8"/>
      <c r="H468" s="8"/>
      <c r="I468" s="10"/>
      <c r="J468" s="10"/>
      <c r="K468" s="11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9"/>
      <c r="B469" s="8"/>
      <c r="C469" s="8"/>
      <c r="D469" s="8"/>
      <c r="E469" s="8"/>
      <c r="F469" s="8"/>
      <c r="G469" s="8"/>
      <c r="H469" s="8"/>
      <c r="I469" s="10"/>
      <c r="J469" s="10"/>
      <c r="K469" s="11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9"/>
      <c r="B470" s="8"/>
      <c r="C470" s="8"/>
      <c r="D470" s="8"/>
      <c r="E470" s="8"/>
      <c r="F470" s="8"/>
      <c r="G470" s="8"/>
      <c r="H470" s="8"/>
      <c r="I470" s="10"/>
      <c r="J470" s="10"/>
      <c r="K470" s="11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9"/>
      <c r="B471" s="8"/>
      <c r="C471" s="8"/>
      <c r="D471" s="8"/>
      <c r="E471" s="8"/>
      <c r="F471" s="8"/>
      <c r="G471" s="8"/>
      <c r="H471" s="8"/>
      <c r="I471" s="10"/>
      <c r="J471" s="10"/>
      <c r="K471" s="11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9"/>
      <c r="B472" s="8"/>
      <c r="C472" s="8"/>
      <c r="D472" s="8"/>
      <c r="E472" s="8"/>
      <c r="F472" s="8"/>
      <c r="G472" s="8"/>
      <c r="H472" s="8"/>
      <c r="I472" s="10"/>
      <c r="J472" s="10"/>
      <c r="K472" s="11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9"/>
      <c r="B473" s="8"/>
      <c r="C473" s="8"/>
      <c r="D473" s="8"/>
      <c r="E473" s="8"/>
      <c r="F473" s="8"/>
      <c r="G473" s="8"/>
      <c r="H473" s="8"/>
      <c r="I473" s="10"/>
      <c r="J473" s="10"/>
      <c r="K473" s="11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9"/>
      <c r="B474" s="8"/>
      <c r="C474" s="8"/>
      <c r="D474" s="8"/>
      <c r="E474" s="8"/>
      <c r="F474" s="8"/>
      <c r="G474" s="8"/>
      <c r="H474" s="8"/>
      <c r="I474" s="10"/>
      <c r="J474" s="10"/>
      <c r="K474" s="11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9"/>
      <c r="B475" s="8"/>
      <c r="C475" s="8"/>
      <c r="D475" s="8"/>
      <c r="E475" s="8"/>
      <c r="F475" s="8"/>
      <c r="G475" s="8"/>
      <c r="H475" s="8"/>
      <c r="I475" s="10"/>
      <c r="J475" s="10"/>
      <c r="K475" s="11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9"/>
      <c r="B476" s="8"/>
      <c r="C476" s="8"/>
      <c r="D476" s="8"/>
      <c r="E476" s="8"/>
      <c r="F476" s="8"/>
      <c r="G476" s="8"/>
      <c r="H476" s="8"/>
      <c r="I476" s="10"/>
      <c r="J476" s="10"/>
      <c r="K476" s="11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9"/>
      <c r="B477" s="8"/>
      <c r="C477" s="8"/>
      <c r="D477" s="8"/>
      <c r="E477" s="8"/>
      <c r="F477" s="8"/>
      <c r="G477" s="8"/>
      <c r="H477" s="8"/>
      <c r="I477" s="10"/>
      <c r="J477" s="10"/>
      <c r="K477" s="11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9"/>
      <c r="B478" s="8"/>
      <c r="C478" s="8"/>
      <c r="D478" s="8"/>
      <c r="E478" s="8"/>
      <c r="F478" s="8"/>
      <c r="G478" s="8"/>
      <c r="H478" s="8"/>
      <c r="I478" s="10"/>
      <c r="J478" s="10"/>
      <c r="K478" s="11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9"/>
      <c r="B479" s="8"/>
      <c r="C479" s="8"/>
      <c r="D479" s="8"/>
      <c r="E479" s="8"/>
      <c r="F479" s="8"/>
      <c r="G479" s="8"/>
      <c r="H479" s="8"/>
      <c r="I479" s="10"/>
      <c r="J479" s="10"/>
      <c r="K479" s="11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9"/>
      <c r="B480" s="8"/>
      <c r="C480" s="8"/>
      <c r="D480" s="8"/>
      <c r="E480" s="8"/>
      <c r="F480" s="8"/>
      <c r="G480" s="8"/>
      <c r="H480" s="8"/>
      <c r="I480" s="10"/>
      <c r="J480" s="10"/>
      <c r="K480" s="11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9"/>
      <c r="B481" s="8"/>
      <c r="C481" s="8"/>
      <c r="D481" s="8"/>
      <c r="E481" s="8"/>
      <c r="F481" s="8"/>
      <c r="G481" s="8"/>
      <c r="H481" s="8"/>
      <c r="I481" s="10"/>
      <c r="J481" s="10"/>
      <c r="K481" s="11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9"/>
      <c r="B482" s="8"/>
      <c r="C482" s="8"/>
      <c r="D482" s="8"/>
      <c r="E482" s="8"/>
      <c r="F482" s="8"/>
      <c r="G482" s="8"/>
      <c r="H482" s="8"/>
      <c r="I482" s="10"/>
      <c r="J482" s="10"/>
      <c r="K482" s="11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9"/>
      <c r="B483" s="8"/>
      <c r="C483" s="8"/>
      <c r="D483" s="8"/>
      <c r="E483" s="8"/>
      <c r="F483" s="8"/>
      <c r="G483" s="8"/>
      <c r="H483" s="8"/>
      <c r="I483" s="10"/>
      <c r="J483" s="10"/>
      <c r="K483" s="11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9"/>
      <c r="B484" s="8"/>
      <c r="C484" s="8"/>
      <c r="D484" s="8"/>
      <c r="E484" s="8"/>
      <c r="F484" s="8"/>
      <c r="G484" s="8"/>
      <c r="H484" s="8"/>
      <c r="I484" s="10"/>
      <c r="J484" s="10"/>
      <c r="K484" s="11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9"/>
      <c r="B485" s="8"/>
      <c r="C485" s="8"/>
      <c r="D485" s="8"/>
      <c r="E485" s="8"/>
      <c r="F485" s="8"/>
      <c r="G485" s="8"/>
      <c r="H485" s="8"/>
      <c r="I485" s="10"/>
      <c r="J485" s="10"/>
      <c r="K485" s="11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9"/>
      <c r="B486" s="8"/>
      <c r="C486" s="8"/>
      <c r="D486" s="8"/>
      <c r="E486" s="8"/>
      <c r="F486" s="8"/>
      <c r="G486" s="8"/>
      <c r="H486" s="8"/>
      <c r="I486" s="10"/>
      <c r="J486" s="10"/>
      <c r="K486" s="11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9"/>
      <c r="B487" s="8"/>
      <c r="C487" s="8"/>
      <c r="D487" s="8"/>
      <c r="E487" s="8"/>
      <c r="F487" s="8"/>
      <c r="G487" s="8"/>
      <c r="H487" s="8"/>
      <c r="I487" s="10"/>
      <c r="J487" s="10"/>
      <c r="K487" s="11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9"/>
      <c r="B488" s="8"/>
      <c r="C488" s="8"/>
      <c r="D488" s="8"/>
      <c r="E488" s="8"/>
      <c r="F488" s="8"/>
      <c r="G488" s="8"/>
      <c r="H488" s="8"/>
      <c r="I488" s="10"/>
      <c r="J488" s="10"/>
      <c r="K488" s="11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9"/>
      <c r="B489" s="8"/>
      <c r="C489" s="8"/>
      <c r="D489" s="8"/>
      <c r="E489" s="8"/>
      <c r="F489" s="8"/>
      <c r="G489" s="8"/>
      <c r="H489" s="8"/>
      <c r="I489" s="10"/>
      <c r="J489" s="10"/>
      <c r="K489" s="11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9"/>
      <c r="B490" s="8"/>
      <c r="C490" s="8"/>
      <c r="D490" s="8"/>
      <c r="E490" s="8"/>
      <c r="F490" s="8"/>
      <c r="G490" s="8"/>
      <c r="H490" s="8"/>
      <c r="I490" s="10"/>
      <c r="J490" s="10"/>
      <c r="K490" s="11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9"/>
      <c r="B491" s="8"/>
      <c r="C491" s="8"/>
      <c r="D491" s="8"/>
      <c r="E491" s="8"/>
      <c r="F491" s="8"/>
      <c r="G491" s="8"/>
      <c r="H491" s="8"/>
      <c r="I491" s="10"/>
      <c r="J491" s="10"/>
      <c r="K491" s="11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9"/>
      <c r="B492" s="8"/>
      <c r="C492" s="8"/>
      <c r="D492" s="8"/>
      <c r="E492" s="8"/>
      <c r="F492" s="8"/>
      <c r="G492" s="8"/>
      <c r="H492" s="8"/>
      <c r="I492" s="10"/>
      <c r="J492" s="10"/>
      <c r="K492" s="11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9"/>
      <c r="B493" s="8"/>
      <c r="C493" s="8"/>
      <c r="D493" s="8"/>
      <c r="E493" s="8"/>
      <c r="F493" s="8"/>
      <c r="G493" s="8"/>
      <c r="H493" s="8"/>
      <c r="I493" s="10"/>
      <c r="J493" s="10"/>
      <c r="K493" s="11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9"/>
      <c r="B494" s="8"/>
      <c r="C494" s="8"/>
      <c r="D494" s="8"/>
      <c r="E494" s="8"/>
      <c r="F494" s="8"/>
      <c r="G494" s="8"/>
      <c r="H494" s="8"/>
      <c r="I494" s="10"/>
      <c r="J494" s="10"/>
      <c r="K494" s="11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9"/>
      <c r="B495" s="8"/>
      <c r="C495" s="8"/>
      <c r="D495" s="8"/>
      <c r="E495" s="8"/>
      <c r="F495" s="8"/>
      <c r="G495" s="8"/>
      <c r="H495" s="8"/>
      <c r="I495" s="10"/>
      <c r="J495" s="10"/>
      <c r="K495" s="11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9"/>
      <c r="B496" s="8"/>
      <c r="C496" s="8"/>
      <c r="D496" s="8"/>
      <c r="E496" s="8"/>
      <c r="F496" s="8"/>
      <c r="G496" s="8"/>
      <c r="H496" s="8"/>
      <c r="I496" s="10"/>
      <c r="J496" s="10"/>
      <c r="K496" s="11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9"/>
      <c r="B497" s="8"/>
      <c r="C497" s="8"/>
      <c r="D497" s="8"/>
      <c r="E497" s="8"/>
      <c r="F497" s="8"/>
      <c r="G497" s="8"/>
      <c r="H497" s="8"/>
      <c r="I497" s="10"/>
      <c r="J497" s="10"/>
      <c r="K497" s="11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9"/>
      <c r="B498" s="8"/>
      <c r="C498" s="8"/>
      <c r="D498" s="8"/>
      <c r="E498" s="8"/>
      <c r="F498" s="8"/>
      <c r="G498" s="8"/>
      <c r="H498" s="8"/>
      <c r="I498" s="10"/>
      <c r="J498" s="10"/>
      <c r="K498" s="11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9"/>
      <c r="B499" s="8"/>
      <c r="C499" s="8"/>
      <c r="D499" s="8"/>
      <c r="E499" s="8"/>
      <c r="F499" s="8"/>
      <c r="G499" s="8"/>
      <c r="H499" s="8"/>
      <c r="I499" s="10"/>
      <c r="J499" s="10"/>
      <c r="K499" s="11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9"/>
      <c r="B500" s="8"/>
      <c r="C500" s="8"/>
      <c r="D500" s="8"/>
      <c r="E500" s="8"/>
      <c r="F500" s="8"/>
      <c r="G500" s="8"/>
      <c r="H500" s="8"/>
      <c r="I500" s="10"/>
      <c r="J500" s="10"/>
      <c r="K500" s="11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9"/>
      <c r="B501" s="8"/>
      <c r="C501" s="8"/>
      <c r="D501" s="8"/>
      <c r="E501" s="8"/>
      <c r="F501" s="8"/>
      <c r="G501" s="8"/>
      <c r="H501" s="8"/>
      <c r="I501" s="10"/>
      <c r="J501" s="10"/>
      <c r="K501" s="11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9"/>
      <c r="B502" s="8"/>
      <c r="C502" s="8"/>
      <c r="D502" s="8"/>
      <c r="E502" s="8"/>
      <c r="F502" s="8"/>
      <c r="G502" s="8"/>
      <c r="H502" s="8"/>
      <c r="I502" s="10"/>
      <c r="J502" s="10"/>
      <c r="K502" s="11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9"/>
      <c r="B503" s="8"/>
      <c r="C503" s="8"/>
      <c r="D503" s="8"/>
      <c r="E503" s="8"/>
      <c r="F503" s="8"/>
      <c r="G503" s="8"/>
      <c r="H503" s="8"/>
      <c r="I503" s="10"/>
      <c r="J503" s="10"/>
      <c r="K503" s="11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9"/>
      <c r="B504" s="8"/>
      <c r="C504" s="8"/>
      <c r="D504" s="8"/>
      <c r="E504" s="8"/>
      <c r="F504" s="8"/>
      <c r="G504" s="8"/>
      <c r="H504" s="8"/>
      <c r="I504" s="10"/>
      <c r="J504" s="10"/>
      <c r="K504" s="11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9"/>
      <c r="B505" s="8"/>
      <c r="C505" s="8"/>
      <c r="D505" s="8"/>
      <c r="E505" s="8"/>
      <c r="F505" s="8"/>
      <c r="G505" s="8"/>
      <c r="H505" s="8"/>
      <c r="I505" s="10"/>
      <c r="J505" s="10"/>
      <c r="K505" s="11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9"/>
      <c r="B506" s="8"/>
      <c r="C506" s="8"/>
      <c r="D506" s="8"/>
      <c r="E506" s="8"/>
      <c r="F506" s="8"/>
      <c r="G506" s="8"/>
      <c r="H506" s="8"/>
      <c r="I506" s="10"/>
      <c r="J506" s="10"/>
      <c r="K506" s="11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9"/>
      <c r="B507" s="8"/>
      <c r="C507" s="8"/>
      <c r="D507" s="8"/>
      <c r="E507" s="8"/>
      <c r="F507" s="8"/>
      <c r="G507" s="8"/>
      <c r="H507" s="8"/>
      <c r="I507" s="10"/>
      <c r="J507" s="10"/>
      <c r="K507" s="11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9"/>
      <c r="B508" s="8"/>
      <c r="C508" s="8"/>
      <c r="D508" s="8"/>
      <c r="E508" s="8"/>
      <c r="F508" s="8"/>
      <c r="G508" s="8"/>
      <c r="H508" s="8"/>
      <c r="I508" s="10"/>
      <c r="J508" s="10"/>
      <c r="K508" s="11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9"/>
      <c r="B509" s="8"/>
      <c r="C509" s="8"/>
      <c r="D509" s="8"/>
      <c r="E509" s="8"/>
      <c r="F509" s="8"/>
      <c r="G509" s="8"/>
      <c r="H509" s="8"/>
      <c r="I509" s="10"/>
      <c r="J509" s="10"/>
      <c r="K509" s="11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9"/>
      <c r="B510" s="8"/>
      <c r="C510" s="8"/>
      <c r="D510" s="8"/>
      <c r="E510" s="8"/>
      <c r="F510" s="8"/>
      <c r="G510" s="8"/>
      <c r="H510" s="8"/>
      <c r="I510" s="10"/>
      <c r="J510" s="10"/>
      <c r="K510" s="11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9"/>
      <c r="B511" s="8"/>
      <c r="C511" s="8"/>
      <c r="D511" s="8"/>
      <c r="E511" s="8"/>
      <c r="F511" s="8"/>
      <c r="G511" s="8"/>
      <c r="H511" s="8"/>
      <c r="I511" s="10"/>
      <c r="J511" s="10"/>
      <c r="K511" s="11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9"/>
      <c r="B512" s="8"/>
      <c r="C512" s="8"/>
      <c r="D512" s="8"/>
      <c r="E512" s="8"/>
      <c r="F512" s="8"/>
      <c r="G512" s="8"/>
      <c r="H512" s="8"/>
      <c r="I512" s="10"/>
      <c r="J512" s="10"/>
      <c r="K512" s="11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9"/>
      <c r="B513" s="8"/>
      <c r="C513" s="8"/>
      <c r="D513" s="8"/>
      <c r="E513" s="8"/>
      <c r="F513" s="8"/>
      <c r="G513" s="8"/>
      <c r="H513" s="8"/>
      <c r="I513" s="10"/>
      <c r="J513" s="10"/>
      <c r="K513" s="11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9"/>
      <c r="B514" s="8"/>
      <c r="C514" s="8"/>
      <c r="D514" s="8"/>
      <c r="E514" s="8"/>
      <c r="F514" s="8"/>
      <c r="G514" s="8"/>
      <c r="H514" s="8"/>
      <c r="I514" s="10"/>
      <c r="J514" s="10"/>
      <c r="K514" s="11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9"/>
      <c r="B515" s="8"/>
      <c r="C515" s="8"/>
      <c r="D515" s="8"/>
      <c r="E515" s="8"/>
      <c r="F515" s="8"/>
      <c r="G515" s="8"/>
      <c r="H515" s="8"/>
      <c r="I515" s="10"/>
      <c r="J515" s="10"/>
      <c r="K515" s="11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9"/>
      <c r="B516" s="8"/>
      <c r="C516" s="8"/>
      <c r="D516" s="8"/>
      <c r="E516" s="8"/>
      <c r="F516" s="8"/>
      <c r="G516" s="8"/>
      <c r="H516" s="8"/>
      <c r="I516" s="10"/>
      <c r="J516" s="10"/>
      <c r="K516" s="11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9"/>
      <c r="B517" s="8"/>
      <c r="C517" s="8"/>
      <c r="D517" s="8"/>
      <c r="E517" s="8"/>
      <c r="F517" s="8"/>
      <c r="G517" s="8"/>
      <c r="H517" s="8"/>
      <c r="I517" s="10"/>
      <c r="J517" s="10"/>
      <c r="K517" s="11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9"/>
      <c r="B518" s="8"/>
      <c r="C518" s="8"/>
      <c r="D518" s="8"/>
      <c r="E518" s="8"/>
      <c r="F518" s="8"/>
      <c r="G518" s="8"/>
      <c r="H518" s="8"/>
      <c r="I518" s="10"/>
      <c r="J518" s="10"/>
      <c r="K518" s="11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9"/>
      <c r="B519" s="8"/>
      <c r="C519" s="8"/>
      <c r="D519" s="8"/>
      <c r="E519" s="8"/>
      <c r="F519" s="8"/>
      <c r="G519" s="8"/>
      <c r="H519" s="8"/>
      <c r="I519" s="10"/>
      <c r="J519" s="10"/>
      <c r="K519" s="11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9"/>
      <c r="B520" s="8"/>
      <c r="C520" s="8"/>
      <c r="D520" s="8"/>
      <c r="E520" s="8"/>
      <c r="F520" s="8"/>
      <c r="G520" s="8"/>
      <c r="H520" s="8"/>
      <c r="I520" s="10"/>
      <c r="J520" s="10"/>
      <c r="K520" s="11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9"/>
      <c r="B521" s="8"/>
      <c r="C521" s="8"/>
      <c r="D521" s="8"/>
      <c r="E521" s="8"/>
      <c r="F521" s="8"/>
      <c r="G521" s="8"/>
      <c r="H521" s="8"/>
      <c r="I521" s="10"/>
      <c r="J521" s="10"/>
      <c r="K521" s="11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9"/>
      <c r="B522" s="8"/>
      <c r="C522" s="8"/>
      <c r="D522" s="8"/>
      <c r="E522" s="8"/>
      <c r="F522" s="8"/>
      <c r="G522" s="8"/>
      <c r="H522" s="8"/>
      <c r="I522" s="10"/>
      <c r="J522" s="10"/>
      <c r="K522" s="11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9"/>
      <c r="B523" s="8"/>
      <c r="C523" s="8"/>
      <c r="D523" s="8"/>
      <c r="E523" s="8"/>
      <c r="F523" s="8"/>
      <c r="G523" s="8"/>
      <c r="H523" s="8"/>
      <c r="I523" s="10"/>
      <c r="J523" s="10"/>
      <c r="K523" s="11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9"/>
      <c r="B524" s="8"/>
      <c r="C524" s="8"/>
      <c r="D524" s="8"/>
      <c r="E524" s="8"/>
      <c r="F524" s="8"/>
      <c r="G524" s="8"/>
      <c r="H524" s="8"/>
      <c r="I524" s="10"/>
      <c r="J524" s="10"/>
      <c r="K524" s="11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9"/>
      <c r="B525" s="8"/>
      <c r="C525" s="8"/>
      <c r="D525" s="8"/>
      <c r="E525" s="8"/>
      <c r="F525" s="8"/>
      <c r="G525" s="8"/>
      <c r="H525" s="8"/>
      <c r="I525" s="10"/>
      <c r="J525" s="10"/>
      <c r="K525" s="11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9"/>
      <c r="B526" s="8"/>
      <c r="C526" s="8"/>
      <c r="D526" s="8"/>
      <c r="E526" s="8"/>
      <c r="F526" s="8"/>
      <c r="G526" s="8"/>
      <c r="H526" s="8"/>
      <c r="I526" s="10"/>
      <c r="J526" s="10"/>
      <c r="K526" s="11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9"/>
      <c r="B527" s="8"/>
      <c r="C527" s="8"/>
      <c r="D527" s="8"/>
      <c r="E527" s="8"/>
      <c r="F527" s="8"/>
      <c r="G527" s="8"/>
      <c r="H527" s="8"/>
      <c r="I527" s="10"/>
      <c r="J527" s="10"/>
      <c r="K527" s="11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9"/>
      <c r="B528" s="8"/>
      <c r="C528" s="8"/>
      <c r="D528" s="8"/>
      <c r="E528" s="8"/>
      <c r="F528" s="8"/>
      <c r="G528" s="8"/>
      <c r="H528" s="8"/>
      <c r="I528" s="10"/>
      <c r="J528" s="10"/>
      <c r="K528" s="11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9"/>
      <c r="B529" s="8"/>
      <c r="C529" s="8"/>
      <c r="D529" s="8"/>
      <c r="E529" s="8"/>
      <c r="F529" s="8"/>
      <c r="G529" s="8"/>
      <c r="H529" s="8"/>
      <c r="I529" s="10"/>
      <c r="J529" s="10"/>
      <c r="K529" s="11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9"/>
      <c r="B530" s="8"/>
      <c r="C530" s="8"/>
      <c r="D530" s="8"/>
      <c r="E530" s="8"/>
      <c r="F530" s="8"/>
      <c r="G530" s="8"/>
      <c r="H530" s="8"/>
      <c r="I530" s="10"/>
      <c r="J530" s="10"/>
      <c r="K530" s="11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9"/>
      <c r="B531" s="8"/>
      <c r="C531" s="8"/>
      <c r="D531" s="8"/>
      <c r="E531" s="8"/>
      <c r="F531" s="8"/>
      <c r="G531" s="8"/>
      <c r="H531" s="8"/>
      <c r="I531" s="10"/>
      <c r="J531" s="10"/>
      <c r="K531" s="11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9"/>
      <c r="B532" s="8"/>
      <c r="C532" s="8"/>
      <c r="D532" s="8"/>
      <c r="E532" s="8"/>
      <c r="F532" s="8"/>
      <c r="G532" s="8"/>
      <c r="H532" s="8"/>
      <c r="I532" s="10"/>
      <c r="J532" s="10"/>
      <c r="K532" s="11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9"/>
      <c r="B533" s="8"/>
      <c r="C533" s="8"/>
      <c r="D533" s="8"/>
      <c r="E533" s="8"/>
      <c r="F533" s="8"/>
      <c r="G533" s="8"/>
      <c r="H533" s="8"/>
      <c r="I533" s="10"/>
      <c r="J533" s="10"/>
      <c r="K533" s="11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9"/>
      <c r="B534" s="8"/>
      <c r="C534" s="8"/>
      <c r="D534" s="8"/>
      <c r="E534" s="8"/>
      <c r="F534" s="8"/>
      <c r="G534" s="8"/>
      <c r="H534" s="8"/>
      <c r="I534" s="10"/>
      <c r="J534" s="10"/>
      <c r="K534" s="11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9"/>
      <c r="B535" s="8"/>
      <c r="C535" s="8"/>
      <c r="D535" s="8"/>
      <c r="E535" s="8"/>
      <c r="F535" s="8"/>
      <c r="G535" s="8"/>
      <c r="H535" s="8"/>
      <c r="I535" s="10"/>
      <c r="J535" s="10"/>
      <c r="K535" s="11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9"/>
      <c r="B536" s="8"/>
      <c r="C536" s="8"/>
      <c r="D536" s="8"/>
      <c r="E536" s="8"/>
      <c r="F536" s="8"/>
      <c r="G536" s="8"/>
      <c r="H536" s="8"/>
      <c r="I536" s="10"/>
      <c r="J536" s="10"/>
      <c r="K536" s="11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9"/>
      <c r="B537" s="8"/>
      <c r="C537" s="8"/>
      <c r="D537" s="8"/>
      <c r="E537" s="8"/>
      <c r="F537" s="8"/>
      <c r="G537" s="8"/>
      <c r="H537" s="8"/>
      <c r="I537" s="10"/>
      <c r="J537" s="10"/>
      <c r="K537" s="11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9"/>
      <c r="B538" s="8"/>
      <c r="C538" s="8"/>
      <c r="D538" s="8"/>
      <c r="E538" s="8"/>
      <c r="F538" s="8"/>
      <c r="G538" s="8"/>
      <c r="H538" s="8"/>
      <c r="I538" s="10"/>
      <c r="J538" s="10"/>
      <c r="K538" s="11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9"/>
      <c r="B539" s="8"/>
      <c r="C539" s="8"/>
      <c r="D539" s="8"/>
      <c r="E539" s="8"/>
      <c r="F539" s="8"/>
      <c r="G539" s="8"/>
      <c r="H539" s="8"/>
      <c r="I539" s="10"/>
      <c r="J539" s="10"/>
      <c r="K539" s="11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9"/>
      <c r="B540" s="8"/>
      <c r="C540" s="8"/>
      <c r="D540" s="8"/>
      <c r="E540" s="8"/>
      <c r="F540" s="8"/>
      <c r="G540" s="8"/>
      <c r="H540" s="8"/>
      <c r="I540" s="10"/>
      <c r="J540" s="10"/>
      <c r="K540" s="11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9"/>
      <c r="B541" s="8"/>
      <c r="C541" s="8"/>
      <c r="D541" s="8"/>
      <c r="E541" s="8"/>
      <c r="F541" s="8"/>
      <c r="G541" s="8"/>
      <c r="H541" s="8"/>
      <c r="I541" s="10"/>
      <c r="J541" s="10"/>
      <c r="K541" s="11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9"/>
      <c r="B542" s="8"/>
      <c r="C542" s="8"/>
      <c r="D542" s="8"/>
      <c r="E542" s="8"/>
      <c r="F542" s="8"/>
      <c r="G542" s="8"/>
      <c r="H542" s="8"/>
      <c r="I542" s="10"/>
      <c r="J542" s="10"/>
      <c r="K542" s="11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9"/>
      <c r="B543" s="8"/>
      <c r="C543" s="8"/>
      <c r="D543" s="8"/>
      <c r="E543" s="8"/>
      <c r="F543" s="8"/>
      <c r="G543" s="8"/>
      <c r="H543" s="8"/>
      <c r="I543" s="10"/>
      <c r="J543" s="10"/>
      <c r="K543" s="11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9"/>
      <c r="B544" s="8"/>
      <c r="C544" s="8"/>
      <c r="D544" s="8"/>
      <c r="E544" s="8"/>
      <c r="F544" s="8"/>
      <c r="G544" s="8"/>
      <c r="H544" s="8"/>
      <c r="I544" s="10"/>
      <c r="J544" s="10"/>
      <c r="K544" s="11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9"/>
      <c r="B545" s="8"/>
      <c r="C545" s="8"/>
      <c r="D545" s="8"/>
      <c r="E545" s="8"/>
      <c r="F545" s="8"/>
      <c r="G545" s="8"/>
      <c r="H545" s="8"/>
      <c r="I545" s="10"/>
      <c r="J545" s="10"/>
      <c r="K545" s="11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9"/>
      <c r="B546" s="8"/>
      <c r="C546" s="8"/>
      <c r="D546" s="8"/>
      <c r="E546" s="8"/>
      <c r="F546" s="8"/>
      <c r="G546" s="8"/>
      <c r="H546" s="8"/>
      <c r="I546" s="10"/>
      <c r="J546" s="10"/>
      <c r="K546" s="11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9"/>
      <c r="B547" s="8"/>
      <c r="C547" s="8"/>
      <c r="D547" s="8"/>
      <c r="E547" s="8"/>
      <c r="F547" s="8"/>
      <c r="G547" s="8"/>
      <c r="H547" s="8"/>
      <c r="I547" s="10"/>
      <c r="J547" s="10"/>
      <c r="K547" s="11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9"/>
      <c r="B548" s="8"/>
      <c r="C548" s="8"/>
      <c r="D548" s="8"/>
      <c r="E548" s="8"/>
      <c r="F548" s="8"/>
      <c r="G548" s="8"/>
      <c r="H548" s="8"/>
      <c r="I548" s="10"/>
      <c r="J548" s="10"/>
      <c r="K548" s="11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9"/>
      <c r="B549" s="8"/>
      <c r="C549" s="8"/>
      <c r="D549" s="8"/>
      <c r="E549" s="8"/>
      <c r="F549" s="8"/>
      <c r="G549" s="8"/>
      <c r="H549" s="8"/>
      <c r="I549" s="10"/>
      <c r="J549" s="10"/>
      <c r="K549" s="11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9"/>
      <c r="B550" s="8"/>
      <c r="C550" s="8"/>
      <c r="D550" s="8"/>
      <c r="E550" s="8"/>
      <c r="F550" s="8"/>
      <c r="G550" s="8"/>
      <c r="H550" s="8"/>
      <c r="I550" s="10"/>
      <c r="J550" s="10"/>
      <c r="K550" s="11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9"/>
      <c r="B551" s="8"/>
      <c r="C551" s="8"/>
      <c r="D551" s="8"/>
      <c r="E551" s="8"/>
      <c r="F551" s="8"/>
      <c r="G551" s="8"/>
      <c r="H551" s="8"/>
      <c r="I551" s="10"/>
      <c r="J551" s="10"/>
      <c r="K551" s="11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9"/>
      <c r="B552" s="8"/>
      <c r="C552" s="8"/>
      <c r="D552" s="8"/>
      <c r="E552" s="8"/>
      <c r="F552" s="8"/>
      <c r="G552" s="8"/>
      <c r="H552" s="8"/>
      <c r="I552" s="10"/>
      <c r="J552" s="10"/>
      <c r="K552" s="11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9"/>
      <c r="B553" s="8"/>
      <c r="C553" s="8"/>
      <c r="D553" s="8"/>
      <c r="E553" s="8"/>
      <c r="F553" s="8"/>
      <c r="G553" s="8"/>
      <c r="H553" s="8"/>
      <c r="I553" s="10"/>
      <c r="J553" s="10"/>
      <c r="K553" s="11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9"/>
      <c r="B554" s="8"/>
      <c r="C554" s="8"/>
      <c r="D554" s="8"/>
      <c r="E554" s="8"/>
      <c r="F554" s="8"/>
      <c r="G554" s="8"/>
      <c r="H554" s="8"/>
      <c r="I554" s="10"/>
      <c r="J554" s="10"/>
      <c r="K554" s="11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9"/>
      <c r="B555" s="8"/>
      <c r="C555" s="8"/>
      <c r="D555" s="8"/>
      <c r="E555" s="8"/>
      <c r="F555" s="8"/>
      <c r="G555" s="8"/>
      <c r="H555" s="8"/>
      <c r="I555" s="10"/>
      <c r="J555" s="10"/>
      <c r="K555" s="11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9"/>
      <c r="B556" s="8"/>
      <c r="C556" s="8"/>
      <c r="D556" s="8"/>
      <c r="E556" s="8"/>
      <c r="F556" s="8"/>
      <c r="G556" s="8"/>
      <c r="H556" s="8"/>
      <c r="I556" s="10"/>
      <c r="J556" s="10"/>
      <c r="K556" s="11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9"/>
      <c r="B557" s="8"/>
      <c r="C557" s="8"/>
      <c r="D557" s="8"/>
      <c r="E557" s="8"/>
      <c r="F557" s="8"/>
      <c r="G557" s="8"/>
      <c r="H557" s="8"/>
      <c r="I557" s="10"/>
      <c r="J557" s="10"/>
      <c r="K557" s="11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9"/>
      <c r="B558" s="8"/>
      <c r="C558" s="8"/>
      <c r="D558" s="8"/>
      <c r="E558" s="8"/>
      <c r="F558" s="8"/>
      <c r="G558" s="8"/>
      <c r="H558" s="8"/>
      <c r="I558" s="10"/>
      <c r="J558" s="10"/>
      <c r="K558" s="11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9"/>
      <c r="B559" s="8"/>
      <c r="C559" s="8"/>
      <c r="D559" s="8"/>
      <c r="E559" s="8"/>
      <c r="F559" s="8"/>
      <c r="G559" s="8"/>
      <c r="H559" s="8"/>
      <c r="I559" s="10"/>
      <c r="J559" s="10"/>
      <c r="K559" s="11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9"/>
      <c r="B560" s="8"/>
      <c r="C560" s="8"/>
      <c r="D560" s="8"/>
      <c r="E560" s="8"/>
      <c r="F560" s="8"/>
      <c r="G560" s="8"/>
      <c r="H560" s="8"/>
      <c r="I560" s="10"/>
      <c r="J560" s="10"/>
      <c r="K560" s="11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9"/>
      <c r="B561" s="8"/>
      <c r="C561" s="8"/>
      <c r="D561" s="8"/>
      <c r="E561" s="8"/>
      <c r="F561" s="8"/>
      <c r="G561" s="8"/>
      <c r="H561" s="8"/>
      <c r="I561" s="10"/>
      <c r="J561" s="10"/>
      <c r="K561" s="11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9"/>
      <c r="B562" s="8"/>
      <c r="C562" s="8"/>
      <c r="D562" s="8"/>
      <c r="E562" s="8"/>
      <c r="F562" s="8"/>
      <c r="G562" s="8"/>
      <c r="H562" s="8"/>
      <c r="I562" s="10"/>
      <c r="J562" s="10"/>
      <c r="K562" s="11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9"/>
      <c r="B563" s="8"/>
      <c r="C563" s="8"/>
      <c r="D563" s="8"/>
      <c r="E563" s="8"/>
      <c r="F563" s="8"/>
      <c r="G563" s="8"/>
      <c r="H563" s="8"/>
      <c r="I563" s="10"/>
      <c r="J563" s="10"/>
      <c r="K563" s="11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9"/>
      <c r="B564" s="8"/>
      <c r="C564" s="8"/>
      <c r="D564" s="8"/>
      <c r="E564" s="8"/>
      <c r="F564" s="8"/>
      <c r="G564" s="8"/>
      <c r="H564" s="8"/>
      <c r="I564" s="10"/>
      <c r="J564" s="10"/>
      <c r="K564" s="11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9"/>
      <c r="B565" s="8"/>
      <c r="C565" s="8"/>
      <c r="D565" s="8"/>
      <c r="E565" s="8"/>
      <c r="F565" s="8"/>
      <c r="G565" s="8"/>
      <c r="H565" s="8"/>
      <c r="I565" s="10"/>
      <c r="J565" s="10"/>
      <c r="K565" s="11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9"/>
      <c r="B566" s="8"/>
      <c r="C566" s="8"/>
      <c r="D566" s="8"/>
      <c r="E566" s="8"/>
      <c r="F566" s="8"/>
      <c r="G566" s="8"/>
      <c r="H566" s="8"/>
      <c r="I566" s="10"/>
      <c r="J566" s="10"/>
      <c r="K566" s="11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9"/>
      <c r="B567" s="8"/>
      <c r="C567" s="8"/>
      <c r="D567" s="8"/>
      <c r="E567" s="8"/>
      <c r="F567" s="8"/>
      <c r="G567" s="8"/>
      <c r="H567" s="8"/>
      <c r="I567" s="10"/>
      <c r="J567" s="10"/>
      <c r="K567" s="11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9"/>
      <c r="B568" s="8"/>
      <c r="C568" s="8"/>
      <c r="D568" s="8"/>
      <c r="E568" s="8"/>
      <c r="F568" s="8"/>
      <c r="G568" s="8"/>
      <c r="H568" s="8"/>
      <c r="I568" s="10"/>
      <c r="J568" s="10"/>
      <c r="K568" s="11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9"/>
      <c r="B569" s="8"/>
      <c r="C569" s="8"/>
      <c r="D569" s="8"/>
      <c r="E569" s="8"/>
      <c r="F569" s="8"/>
      <c r="G569" s="8"/>
      <c r="H569" s="8"/>
      <c r="I569" s="10"/>
      <c r="J569" s="10"/>
      <c r="K569" s="11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9"/>
      <c r="B570" s="8"/>
      <c r="C570" s="8"/>
      <c r="D570" s="8"/>
      <c r="E570" s="8"/>
      <c r="F570" s="8"/>
      <c r="G570" s="8"/>
      <c r="H570" s="8"/>
      <c r="I570" s="10"/>
      <c r="J570" s="10"/>
      <c r="K570" s="11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9"/>
      <c r="B571" s="8"/>
      <c r="C571" s="8"/>
      <c r="D571" s="8"/>
      <c r="E571" s="8"/>
      <c r="F571" s="8"/>
      <c r="G571" s="8"/>
      <c r="H571" s="8"/>
      <c r="I571" s="10"/>
      <c r="J571" s="10"/>
      <c r="K571" s="11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9"/>
      <c r="B572" s="8"/>
      <c r="C572" s="8"/>
      <c r="D572" s="8"/>
      <c r="E572" s="8"/>
      <c r="F572" s="8"/>
      <c r="G572" s="8"/>
      <c r="H572" s="8"/>
      <c r="I572" s="10"/>
      <c r="J572" s="10"/>
      <c r="K572" s="11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9"/>
      <c r="B573" s="8"/>
      <c r="C573" s="8"/>
      <c r="D573" s="8"/>
      <c r="E573" s="8"/>
      <c r="F573" s="8"/>
      <c r="G573" s="8"/>
      <c r="H573" s="8"/>
      <c r="I573" s="10"/>
      <c r="J573" s="10"/>
      <c r="K573" s="11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9"/>
      <c r="B574" s="8"/>
      <c r="C574" s="8"/>
      <c r="D574" s="8"/>
      <c r="E574" s="8"/>
      <c r="F574" s="8"/>
      <c r="G574" s="8"/>
      <c r="H574" s="8"/>
      <c r="I574" s="10"/>
      <c r="J574" s="10"/>
      <c r="K574" s="11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9"/>
      <c r="B575" s="8"/>
      <c r="C575" s="8"/>
      <c r="D575" s="8"/>
      <c r="E575" s="8"/>
      <c r="F575" s="8"/>
      <c r="G575" s="8"/>
      <c r="H575" s="8"/>
      <c r="I575" s="10"/>
      <c r="J575" s="10"/>
      <c r="K575" s="11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9"/>
      <c r="B576" s="8"/>
      <c r="C576" s="8"/>
      <c r="D576" s="8"/>
      <c r="E576" s="8"/>
      <c r="F576" s="8"/>
      <c r="G576" s="8"/>
      <c r="H576" s="8"/>
      <c r="I576" s="10"/>
      <c r="J576" s="10"/>
      <c r="K576" s="11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9"/>
      <c r="B577" s="8"/>
      <c r="C577" s="8"/>
      <c r="D577" s="8"/>
      <c r="E577" s="8"/>
      <c r="F577" s="8"/>
      <c r="G577" s="8"/>
      <c r="H577" s="8"/>
      <c r="I577" s="10"/>
      <c r="J577" s="10"/>
      <c r="K577" s="11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9"/>
      <c r="B578" s="8"/>
      <c r="C578" s="8"/>
      <c r="D578" s="8"/>
      <c r="E578" s="8"/>
      <c r="F578" s="8"/>
      <c r="G578" s="8"/>
      <c r="H578" s="8"/>
      <c r="I578" s="10"/>
      <c r="J578" s="10"/>
      <c r="K578" s="11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9"/>
      <c r="B579" s="8"/>
      <c r="C579" s="8"/>
      <c r="D579" s="8"/>
      <c r="E579" s="8"/>
      <c r="F579" s="8"/>
      <c r="G579" s="8"/>
      <c r="H579" s="8"/>
      <c r="I579" s="10"/>
      <c r="J579" s="10"/>
      <c r="K579" s="11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9"/>
      <c r="B580" s="8"/>
      <c r="C580" s="8"/>
      <c r="D580" s="8"/>
      <c r="E580" s="8"/>
      <c r="F580" s="8"/>
      <c r="G580" s="8"/>
      <c r="H580" s="8"/>
      <c r="I580" s="10"/>
      <c r="J580" s="10"/>
      <c r="K580" s="11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9"/>
      <c r="B581" s="8"/>
      <c r="C581" s="8"/>
      <c r="D581" s="8"/>
      <c r="E581" s="8"/>
      <c r="F581" s="8"/>
      <c r="G581" s="8"/>
      <c r="H581" s="8"/>
      <c r="I581" s="10"/>
      <c r="J581" s="10"/>
      <c r="K581" s="11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9"/>
      <c r="B582" s="8"/>
      <c r="C582" s="8"/>
      <c r="D582" s="8"/>
      <c r="E582" s="8"/>
      <c r="F582" s="8"/>
      <c r="G582" s="8"/>
      <c r="H582" s="8"/>
      <c r="I582" s="10"/>
      <c r="J582" s="10"/>
      <c r="K582" s="11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9"/>
      <c r="B583" s="8"/>
      <c r="C583" s="8"/>
      <c r="D583" s="8"/>
      <c r="E583" s="8"/>
      <c r="F583" s="8"/>
      <c r="G583" s="8"/>
      <c r="H583" s="8"/>
      <c r="I583" s="10"/>
      <c r="J583" s="10"/>
      <c r="K583" s="11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9"/>
      <c r="B584" s="8"/>
      <c r="C584" s="8"/>
      <c r="D584" s="8"/>
      <c r="E584" s="8"/>
      <c r="F584" s="8"/>
      <c r="G584" s="8"/>
      <c r="H584" s="8"/>
      <c r="I584" s="10"/>
      <c r="J584" s="10"/>
      <c r="K584" s="11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9"/>
      <c r="B585" s="8"/>
      <c r="C585" s="8"/>
      <c r="D585" s="8"/>
      <c r="E585" s="8"/>
      <c r="F585" s="8"/>
      <c r="G585" s="8"/>
      <c r="H585" s="8"/>
      <c r="I585" s="10"/>
      <c r="J585" s="10"/>
      <c r="K585" s="11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12"/>
      <c r="B586" s="13"/>
      <c r="C586" s="13"/>
      <c r="D586" s="13"/>
      <c r="E586" s="13"/>
      <c r="F586" s="13"/>
      <c r="G586" s="13"/>
      <c r="H586" s="13"/>
      <c r="I586" s="14"/>
      <c r="J586" s="14"/>
      <c r="K586" s="11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9"/>
      <c r="B587" s="8"/>
      <c r="C587" s="8"/>
      <c r="D587" s="8"/>
      <c r="E587" s="8"/>
      <c r="F587" s="8"/>
      <c r="G587" s="8"/>
      <c r="H587" s="8"/>
      <c r="I587" s="10"/>
      <c r="J587" s="10"/>
      <c r="K587" s="11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9"/>
      <c r="B588" s="8"/>
      <c r="C588" s="8"/>
      <c r="D588" s="8"/>
      <c r="E588" s="8"/>
      <c r="F588" s="8"/>
      <c r="G588" s="8"/>
      <c r="H588" s="8"/>
      <c r="I588" s="10"/>
      <c r="J588" s="10"/>
      <c r="K588" s="11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9"/>
      <c r="B589" s="8"/>
      <c r="C589" s="8"/>
      <c r="D589" s="8"/>
      <c r="E589" s="8"/>
      <c r="F589" s="8"/>
      <c r="G589" s="8"/>
      <c r="H589" s="8"/>
      <c r="I589" s="10"/>
      <c r="J589" s="10"/>
      <c r="K589" s="11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9"/>
      <c r="B590" s="8"/>
      <c r="C590" s="8"/>
      <c r="D590" s="8"/>
      <c r="E590" s="8"/>
      <c r="F590" s="8"/>
      <c r="G590" s="8"/>
      <c r="H590" s="8"/>
      <c r="I590" s="10"/>
      <c r="J590" s="10"/>
      <c r="K590" s="11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9"/>
      <c r="B591" s="8"/>
      <c r="C591" s="8"/>
      <c r="D591" s="8"/>
      <c r="E591" s="8"/>
      <c r="F591" s="8"/>
      <c r="G591" s="8"/>
      <c r="H591" s="8"/>
      <c r="I591" s="10"/>
      <c r="J591" s="10"/>
      <c r="K591" s="11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9"/>
      <c r="B592" s="8"/>
      <c r="C592" s="8"/>
      <c r="D592" s="8"/>
      <c r="E592" s="8"/>
      <c r="F592" s="8"/>
      <c r="G592" s="8"/>
      <c r="H592" s="8"/>
      <c r="I592" s="10"/>
      <c r="J592" s="10"/>
      <c r="K592" s="11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9"/>
      <c r="B593" s="8"/>
      <c r="C593" s="8"/>
      <c r="D593" s="8"/>
      <c r="E593" s="8"/>
      <c r="F593" s="8"/>
      <c r="G593" s="8"/>
      <c r="H593" s="8"/>
      <c r="I593" s="10"/>
      <c r="J593" s="10"/>
      <c r="K593" s="11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9"/>
      <c r="B594" s="8"/>
      <c r="C594" s="8"/>
      <c r="D594" s="8"/>
      <c r="E594" s="8"/>
      <c r="F594" s="8"/>
      <c r="G594" s="8"/>
      <c r="H594" s="8"/>
      <c r="I594" s="10"/>
      <c r="J594" s="10"/>
      <c r="K594" s="11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9"/>
      <c r="B595" s="8"/>
      <c r="C595" s="8"/>
      <c r="D595" s="8"/>
      <c r="E595" s="8"/>
      <c r="F595" s="8"/>
      <c r="G595" s="8"/>
      <c r="H595" s="8"/>
      <c r="I595" s="10"/>
      <c r="J595" s="10"/>
      <c r="K595" s="11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9"/>
      <c r="B596" s="8"/>
      <c r="C596" s="8"/>
      <c r="D596" s="8"/>
      <c r="E596" s="8"/>
      <c r="F596" s="8"/>
      <c r="G596" s="8"/>
      <c r="H596" s="8"/>
      <c r="I596" s="10"/>
      <c r="J596" s="10"/>
      <c r="K596" s="11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12"/>
      <c r="B597" s="13"/>
      <c r="C597" s="13"/>
      <c r="D597" s="13"/>
      <c r="E597" s="13"/>
      <c r="F597" s="13"/>
      <c r="G597" s="13"/>
      <c r="H597" s="13"/>
      <c r="I597" s="14"/>
      <c r="J597" s="14"/>
      <c r="K597" s="11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9"/>
      <c r="B598" s="8"/>
      <c r="C598" s="8"/>
      <c r="D598" s="8"/>
      <c r="E598" s="8"/>
      <c r="F598" s="8"/>
      <c r="G598" s="8"/>
      <c r="H598" s="8"/>
      <c r="I598" s="10"/>
      <c r="J598" s="10"/>
      <c r="K598" s="11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9"/>
      <c r="B599" s="8"/>
      <c r="C599" s="8"/>
      <c r="D599" s="8"/>
      <c r="E599" s="8"/>
      <c r="F599" s="8"/>
      <c r="G599" s="8"/>
      <c r="H599" s="8"/>
      <c r="I599" s="10"/>
      <c r="J599" s="10"/>
      <c r="K599" s="11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9"/>
      <c r="B600" s="8"/>
      <c r="C600" s="8"/>
      <c r="D600" s="8"/>
      <c r="E600" s="8"/>
      <c r="F600" s="8"/>
      <c r="G600" s="8"/>
      <c r="H600" s="8"/>
      <c r="I600" s="10"/>
      <c r="J600" s="10"/>
      <c r="K600" s="11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9"/>
      <c r="B601" s="8"/>
      <c r="C601" s="8"/>
      <c r="D601" s="8"/>
      <c r="E601" s="8"/>
      <c r="F601" s="8"/>
      <c r="G601" s="8"/>
      <c r="H601" s="8"/>
      <c r="I601" s="10"/>
      <c r="J601" s="10"/>
      <c r="K601" s="11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9"/>
      <c r="B602" s="8"/>
      <c r="C602" s="8"/>
      <c r="D602" s="8"/>
      <c r="E602" s="8"/>
      <c r="F602" s="8"/>
      <c r="G602" s="8"/>
      <c r="H602" s="8"/>
      <c r="I602" s="10"/>
      <c r="J602" s="10"/>
      <c r="K602" s="11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9"/>
      <c r="B603" s="8"/>
      <c r="C603" s="8"/>
      <c r="D603" s="8"/>
      <c r="E603" s="8"/>
      <c r="F603" s="8"/>
      <c r="G603" s="8"/>
      <c r="H603" s="8"/>
      <c r="I603" s="10"/>
      <c r="J603" s="10"/>
      <c r="K603" s="11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9"/>
      <c r="B604" s="8"/>
      <c r="C604" s="8"/>
      <c r="D604" s="8"/>
      <c r="E604" s="8"/>
      <c r="F604" s="8"/>
      <c r="G604" s="8"/>
      <c r="H604" s="8"/>
      <c r="I604" s="10"/>
      <c r="J604" s="10"/>
      <c r="K604" s="11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9"/>
      <c r="B605" s="8"/>
      <c r="C605" s="8"/>
      <c r="D605" s="8"/>
      <c r="E605" s="8"/>
      <c r="F605" s="8"/>
      <c r="G605" s="8"/>
      <c r="H605" s="8"/>
      <c r="I605" s="10"/>
      <c r="J605" s="10"/>
      <c r="K605" s="11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9"/>
      <c r="B606" s="8"/>
      <c r="C606" s="8"/>
      <c r="D606" s="8"/>
      <c r="E606" s="8"/>
      <c r="F606" s="8"/>
      <c r="G606" s="8"/>
      <c r="H606" s="8"/>
      <c r="I606" s="10"/>
      <c r="J606" s="10"/>
      <c r="K606" s="11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9"/>
      <c r="B607" s="8"/>
      <c r="C607" s="8"/>
      <c r="D607" s="8"/>
      <c r="E607" s="8"/>
      <c r="F607" s="8"/>
      <c r="G607" s="8"/>
      <c r="H607" s="8"/>
      <c r="I607" s="10"/>
      <c r="J607" s="10"/>
      <c r="K607" s="11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9"/>
      <c r="B608" s="8"/>
      <c r="C608" s="8"/>
      <c r="D608" s="8"/>
      <c r="E608" s="8"/>
      <c r="F608" s="8"/>
      <c r="G608" s="8"/>
      <c r="H608" s="8"/>
      <c r="I608" s="10"/>
      <c r="J608" s="10"/>
      <c r="K608" s="11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9"/>
      <c r="B609" s="8"/>
      <c r="C609" s="8"/>
      <c r="D609" s="8"/>
      <c r="E609" s="8"/>
      <c r="F609" s="8"/>
      <c r="G609" s="8"/>
      <c r="H609" s="8"/>
      <c r="I609" s="10"/>
      <c r="J609" s="10"/>
      <c r="K609" s="11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9"/>
      <c r="B610" s="8"/>
      <c r="C610" s="8"/>
      <c r="D610" s="8"/>
      <c r="E610" s="8"/>
      <c r="F610" s="8"/>
      <c r="G610" s="8"/>
      <c r="H610" s="8"/>
      <c r="I610" s="10"/>
      <c r="J610" s="10"/>
      <c r="K610" s="11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9"/>
      <c r="B611" s="8"/>
      <c r="C611" s="8"/>
      <c r="D611" s="8"/>
      <c r="E611" s="8"/>
      <c r="F611" s="8"/>
      <c r="G611" s="8"/>
      <c r="H611" s="8"/>
      <c r="I611" s="10"/>
      <c r="J611" s="10"/>
      <c r="K611" s="11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9"/>
      <c r="B612" s="8"/>
      <c r="C612" s="8"/>
      <c r="D612" s="8"/>
      <c r="E612" s="8"/>
      <c r="F612" s="8"/>
      <c r="G612" s="8"/>
      <c r="H612" s="8"/>
      <c r="I612" s="10"/>
      <c r="J612" s="10"/>
      <c r="K612" s="11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9"/>
      <c r="B613" s="8"/>
      <c r="C613" s="8"/>
      <c r="D613" s="8"/>
      <c r="E613" s="8"/>
      <c r="F613" s="8"/>
      <c r="G613" s="8"/>
      <c r="H613" s="8"/>
      <c r="I613" s="10"/>
      <c r="J613" s="10"/>
      <c r="K613" s="11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9"/>
      <c r="B614" s="8"/>
      <c r="C614" s="8"/>
      <c r="D614" s="8"/>
      <c r="E614" s="8"/>
      <c r="F614" s="8"/>
      <c r="G614" s="8"/>
      <c r="H614" s="8"/>
      <c r="I614" s="10"/>
      <c r="J614" s="10"/>
      <c r="K614" s="11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9"/>
      <c r="B615" s="8"/>
      <c r="C615" s="8"/>
      <c r="D615" s="8"/>
      <c r="E615" s="8"/>
      <c r="F615" s="8"/>
      <c r="G615" s="8"/>
      <c r="H615" s="8"/>
      <c r="I615" s="10"/>
      <c r="J615" s="10"/>
      <c r="K615" s="11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9"/>
      <c r="B616" s="8"/>
      <c r="C616" s="8"/>
      <c r="D616" s="8"/>
      <c r="E616" s="8"/>
      <c r="F616" s="8"/>
      <c r="G616" s="8"/>
      <c r="H616" s="8"/>
      <c r="I616" s="10"/>
      <c r="J616" s="10"/>
      <c r="K616" s="11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9"/>
      <c r="B617" s="8"/>
      <c r="C617" s="8"/>
      <c r="D617" s="8"/>
      <c r="E617" s="8"/>
      <c r="F617" s="8"/>
      <c r="G617" s="8"/>
      <c r="H617" s="8"/>
      <c r="I617" s="10"/>
      <c r="J617" s="10"/>
      <c r="K617" s="11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9"/>
      <c r="B618" s="8"/>
      <c r="C618" s="8"/>
      <c r="D618" s="8"/>
      <c r="E618" s="8"/>
      <c r="F618" s="8"/>
      <c r="G618" s="8"/>
      <c r="H618" s="8"/>
      <c r="I618" s="10"/>
      <c r="J618" s="10"/>
      <c r="K618" s="11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9"/>
      <c r="B619" s="8"/>
      <c r="C619" s="8"/>
      <c r="D619" s="8"/>
      <c r="E619" s="8"/>
      <c r="F619" s="8"/>
      <c r="G619" s="8"/>
      <c r="H619" s="8"/>
      <c r="I619" s="10"/>
      <c r="J619" s="10"/>
      <c r="K619" s="11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9"/>
      <c r="B620" s="8"/>
      <c r="C620" s="8"/>
      <c r="D620" s="8"/>
      <c r="E620" s="8"/>
      <c r="F620" s="8"/>
      <c r="G620" s="8"/>
      <c r="H620" s="8"/>
      <c r="I620" s="10"/>
      <c r="J620" s="10"/>
      <c r="K620" s="11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9"/>
      <c r="B621" s="8"/>
      <c r="C621" s="8"/>
      <c r="D621" s="8"/>
      <c r="E621" s="8"/>
      <c r="F621" s="8"/>
      <c r="G621" s="8"/>
      <c r="H621" s="8"/>
      <c r="I621" s="10"/>
      <c r="J621" s="10"/>
      <c r="K621" s="11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9"/>
      <c r="B622" s="8"/>
      <c r="C622" s="8"/>
      <c r="D622" s="8"/>
      <c r="E622" s="8"/>
      <c r="F622" s="8"/>
      <c r="G622" s="8"/>
      <c r="H622" s="8"/>
      <c r="I622" s="10"/>
      <c r="J622" s="10"/>
      <c r="K622" s="11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9"/>
      <c r="B623" s="8"/>
      <c r="C623" s="8"/>
      <c r="D623" s="8"/>
      <c r="E623" s="8"/>
      <c r="F623" s="8"/>
      <c r="G623" s="8"/>
      <c r="H623" s="8"/>
      <c r="I623" s="10"/>
      <c r="J623" s="10"/>
      <c r="K623" s="11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9"/>
      <c r="B624" s="8"/>
      <c r="C624" s="8"/>
      <c r="D624" s="8"/>
      <c r="E624" s="8"/>
      <c r="F624" s="8"/>
      <c r="G624" s="8"/>
      <c r="H624" s="8"/>
      <c r="I624" s="10"/>
      <c r="J624" s="10"/>
      <c r="K624" s="11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9"/>
      <c r="B625" s="8"/>
      <c r="C625" s="8"/>
      <c r="D625" s="8"/>
      <c r="E625" s="8"/>
      <c r="F625" s="8"/>
      <c r="G625" s="8"/>
      <c r="H625" s="8"/>
      <c r="I625" s="10"/>
      <c r="J625" s="10"/>
      <c r="K625" s="11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9"/>
      <c r="B626" s="8"/>
      <c r="C626" s="8"/>
      <c r="D626" s="8"/>
      <c r="E626" s="8"/>
      <c r="F626" s="8"/>
      <c r="G626" s="8"/>
      <c r="H626" s="8"/>
      <c r="I626" s="10"/>
      <c r="J626" s="10"/>
      <c r="K626" s="11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9"/>
      <c r="B627" s="8"/>
      <c r="C627" s="8"/>
      <c r="D627" s="8"/>
      <c r="E627" s="8"/>
      <c r="F627" s="8"/>
      <c r="G627" s="8"/>
      <c r="H627" s="8"/>
      <c r="I627" s="10"/>
      <c r="J627" s="10"/>
      <c r="K627" s="11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9"/>
      <c r="B628" s="8"/>
      <c r="C628" s="8"/>
      <c r="D628" s="8"/>
      <c r="E628" s="8"/>
      <c r="F628" s="8"/>
      <c r="G628" s="8"/>
      <c r="H628" s="8"/>
      <c r="I628" s="10"/>
      <c r="J628" s="10"/>
      <c r="K628" s="11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9"/>
      <c r="B629" s="8"/>
      <c r="C629" s="8"/>
      <c r="D629" s="8"/>
      <c r="E629" s="8"/>
      <c r="F629" s="8"/>
      <c r="G629" s="8"/>
      <c r="H629" s="8"/>
      <c r="I629" s="10"/>
      <c r="J629" s="10"/>
      <c r="K629" s="11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9"/>
      <c r="B630" s="8"/>
      <c r="C630" s="8"/>
      <c r="D630" s="8"/>
      <c r="E630" s="8"/>
      <c r="F630" s="8"/>
      <c r="G630" s="8"/>
      <c r="H630" s="8"/>
      <c r="I630" s="10"/>
      <c r="J630" s="10"/>
      <c r="K630" s="11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9"/>
      <c r="B631" s="8"/>
      <c r="C631" s="8"/>
      <c r="D631" s="8"/>
      <c r="E631" s="8"/>
      <c r="F631" s="8"/>
      <c r="G631" s="8"/>
      <c r="H631" s="8"/>
      <c r="I631" s="10"/>
      <c r="J631" s="10"/>
      <c r="K631" s="11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9"/>
      <c r="B632" s="8"/>
      <c r="C632" s="8"/>
      <c r="D632" s="8"/>
      <c r="E632" s="8"/>
      <c r="F632" s="8"/>
      <c r="G632" s="8"/>
      <c r="H632" s="8"/>
      <c r="I632" s="10"/>
      <c r="J632" s="10"/>
      <c r="K632" s="11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9"/>
      <c r="B633" s="8"/>
      <c r="C633" s="8"/>
      <c r="D633" s="8"/>
      <c r="E633" s="8"/>
      <c r="F633" s="8"/>
      <c r="G633" s="8"/>
      <c r="H633" s="8"/>
      <c r="I633" s="10"/>
      <c r="J633" s="10"/>
      <c r="K633" s="11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9"/>
      <c r="B634" s="8"/>
      <c r="C634" s="8"/>
      <c r="D634" s="8"/>
      <c r="E634" s="8"/>
      <c r="F634" s="8"/>
      <c r="G634" s="8"/>
      <c r="H634" s="8"/>
      <c r="I634" s="10"/>
      <c r="J634" s="10"/>
      <c r="K634" s="11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9"/>
      <c r="B635" s="8"/>
      <c r="C635" s="8"/>
      <c r="D635" s="8"/>
      <c r="E635" s="8"/>
      <c r="F635" s="8"/>
      <c r="G635" s="8"/>
      <c r="H635" s="8"/>
      <c r="I635" s="10"/>
      <c r="J635" s="10"/>
      <c r="K635" s="11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9"/>
      <c r="B636" s="8"/>
      <c r="C636" s="8"/>
      <c r="D636" s="8"/>
      <c r="E636" s="8"/>
      <c r="F636" s="8"/>
      <c r="G636" s="8"/>
      <c r="H636" s="8"/>
      <c r="I636" s="10"/>
      <c r="J636" s="10"/>
      <c r="K636" s="11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9"/>
      <c r="B637" s="8"/>
      <c r="C637" s="8"/>
      <c r="D637" s="8"/>
      <c r="E637" s="8"/>
      <c r="F637" s="8"/>
      <c r="G637" s="8"/>
      <c r="H637" s="8"/>
      <c r="I637" s="10"/>
      <c r="J637" s="10"/>
      <c r="K637" s="11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9"/>
      <c r="B638" s="8"/>
      <c r="C638" s="8"/>
      <c r="D638" s="8"/>
      <c r="E638" s="8"/>
      <c r="F638" s="8"/>
      <c r="G638" s="8"/>
      <c r="H638" s="8"/>
      <c r="I638" s="10"/>
      <c r="J638" s="10"/>
      <c r="K638" s="11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9"/>
      <c r="B639" s="8"/>
      <c r="C639" s="8"/>
      <c r="D639" s="8"/>
      <c r="E639" s="8"/>
      <c r="F639" s="8"/>
      <c r="G639" s="8"/>
      <c r="H639" s="8"/>
      <c r="I639" s="10"/>
      <c r="J639" s="10"/>
      <c r="K639" s="11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9"/>
      <c r="B640" s="8"/>
      <c r="C640" s="8"/>
      <c r="D640" s="8"/>
      <c r="E640" s="8"/>
      <c r="F640" s="8"/>
      <c r="G640" s="8"/>
      <c r="H640" s="8"/>
      <c r="I640" s="10"/>
      <c r="J640" s="10"/>
      <c r="K640" s="11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9"/>
      <c r="B641" s="8"/>
      <c r="C641" s="8"/>
      <c r="D641" s="8"/>
      <c r="E641" s="8"/>
      <c r="F641" s="8"/>
      <c r="G641" s="8"/>
      <c r="H641" s="8"/>
      <c r="I641" s="10"/>
      <c r="J641" s="10"/>
      <c r="K641" s="11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12"/>
      <c r="B642" s="13"/>
      <c r="C642" s="13"/>
      <c r="D642" s="13"/>
      <c r="E642" s="13"/>
      <c r="F642" s="13"/>
      <c r="G642" s="13"/>
      <c r="H642" s="13"/>
      <c r="I642" s="14"/>
      <c r="J642" s="14"/>
      <c r="K642" s="11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9"/>
      <c r="B643" s="8"/>
      <c r="C643" s="8"/>
      <c r="D643" s="8"/>
      <c r="E643" s="8"/>
      <c r="F643" s="8"/>
      <c r="G643" s="8"/>
      <c r="H643" s="8"/>
      <c r="I643" s="10"/>
      <c r="J643" s="10"/>
      <c r="K643" s="11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9"/>
      <c r="B644" s="8"/>
      <c r="C644" s="8"/>
      <c r="D644" s="8"/>
      <c r="E644" s="8"/>
      <c r="F644" s="8"/>
      <c r="G644" s="8"/>
      <c r="H644" s="8"/>
      <c r="I644" s="10"/>
      <c r="J644" s="10"/>
      <c r="K644" s="11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9"/>
      <c r="B645" s="8"/>
      <c r="C645" s="8"/>
      <c r="D645" s="8"/>
      <c r="E645" s="8"/>
      <c r="F645" s="8"/>
      <c r="G645" s="8"/>
      <c r="H645" s="8"/>
      <c r="I645" s="10"/>
      <c r="J645" s="10"/>
      <c r="K645" s="11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9"/>
      <c r="B646" s="8"/>
      <c r="C646" s="8"/>
      <c r="D646" s="8"/>
      <c r="E646" s="8"/>
      <c r="F646" s="8"/>
      <c r="G646" s="8"/>
      <c r="H646" s="8"/>
      <c r="I646" s="10"/>
      <c r="J646" s="10"/>
      <c r="K646" s="11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9"/>
      <c r="B647" s="8"/>
      <c r="C647" s="8"/>
      <c r="D647" s="8"/>
      <c r="E647" s="8"/>
      <c r="F647" s="8"/>
      <c r="G647" s="8"/>
      <c r="H647" s="8"/>
      <c r="I647" s="10"/>
      <c r="J647" s="10"/>
      <c r="K647" s="11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9"/>
      <c r="B648" s="8"/>
      <c r="C648" s="8"/>
      <c r="D648" s="8"/>
      <c r="E648" s="8"/>
      <c r="F648" s="8"/>
      <c r="G648" s="8"/>
      <c r="H648" s="8"/>
      <c r="I648" s="10"/>
      <c r="J648" s="10"/>
      <c r="K648" s="11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9"/>
      <c r="B649" s="8"/>
      <c r="C649" s="8"/>
      <c r="D649" s="8"/>
      <c r="E649" s="8"/>
      <c r="F649" s="8"/>
      <c r="G649" s="8"/>
      <c r="H649" s="8"/>
      <c r="I649" s="10"/>
      <c r="J649" s="10"/>
      <c r="K649" s="11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9"/>
      <c r="B650" s="8"/>
      <c r="C650" s="8"/>
      <c r="D650" s="8"/>
      <c r="E650" s="8"/>
      <c r="F650" s="8"/>
      <c r="G650" s="8"/>
      <c r="H650" s="8"/>
      <c r="I650" s="10"/>
      <c r="J650" s="10"/>
      <c r="K650" s="11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9"/>
      <c r="B651" s="8"/>
      <c r="C651" s="8"/>
      <c r="D651" s="8"/>
      <c r="E651" s="8"/>
      <c r="F651" s="8"/>
      <c r="G651" s="8"/>
      <c r="H651" s="8"/>
      <c r="I651" s="10"/>
      <c r="J651" s="10"/>
      <c r="K651" s="11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9"/>
      <c r="B652" s="8"/>
      <c r="C652" s="8"/>
      <c r="D652" s="8"/>
      <c r="E652" s="8"/>
      <c r="F652" s="8"/>
      <c r="G652" s="8"/>
      <c r="H652" s="8"/>
      <c r="I652" s="10"/>
      <c r="J652" s="10"/>
      <c r="K652" s="11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9"/>
      <c r="B653" s="8"/>
      <c r="C653" s="8"/>
      <c r="D653" s="8"/>
      <c r="E653" s="8"/>
      <c r="F653" s="8"/>
      <c r="G653" s="8"/>
      <c r="H653" s="8"/>
      <c r="I653" s="10"/>
      <c r="J653" s="10"/>
      <c r="K653" s="11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9"/>
      <c r="B654" s="8"/>
      <c r="C654" s="8"/>
      <c r="D654" s="8"/>
      <c r="E654" s="8"/>
      <c r="F654" s="8"/>
      <c r="G654" s="8"/>
      <c r="H654" s="8"/>
      <c r="I654" s="10"/>
      <c r="J654" s="10"/>
      <c r="K654" s="11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9"/>
      <c r="B655" s="8"/>
      <c r="C655" s="8"/>
      <c r="D655" s="8"/>
      <c r="E655" s="8"/>
      <c r="F655" s="8"/>
      <c r="G655" s="8"/>
      <c r="H655" s="8"/>
      <c r="I655" s="10"/>
      <c r="J655" s="10"/>
      <c r="K655" s="11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9"/>
      <c r="B656" s="8"/>
      <c r="C656" s="8"/>
      <c r="D656" s="8"/>
      <c r="E656" s="8"/>
      <c r="F656" s="8"/>
      <c r="G656" s="8"/>
      <c r="H656" s="8"/>
      <c r="I656" s="10"/>
      <c r="J656" s="10"/>
      <c r="K656" s="11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9"/>
      <c r="B657" s="8"/>
      <c r="C657" s="8"/>
      <c r="D657" s="8"/>
      <c r="E657" s="8"/>
      <c r="F657" s="8"/>
      <c r="G657" s="8"/>
      <c r="H657" s="8"/>
      <c r="I657" s="10"/>
      <c r="J657" s="10"/>
      <c r="K657" s="11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9"/>
      <c r="B658" s="8"/>
      <c r="C658" s="8"/>
      <c r="D658" s="8"/>
      <c r="E658" s="8"/>
      <c r="F658" s="8"/>
      <c r="G658" s="8"/>
      <c r="H658" s="8"/>
      <c r="I658" s="10"/>
      <c r="J658" s="10"/>
      <c r="K658" s="11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9"/>
      <c r="B659" s="8"/>
      <c r="C659" s="8"/>
      <c r="D659" s="8"/>
      <c r="E659" s="8"/>
      <c r="F659" s="8"/>
      <c r="G659" s="8"/>
      <c r="H659" s="8"/>
      <c r="I659" s="10"/>
      <c r="J659" s="10"/>
      <c r="K659" s="11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9"/>
      <c r="B660" s="8"/>
      <c r="C660" s="8"/>
      <c r="D660" s="8"/>
      <c r="E660" s="8"/>
      <c r="F660" s="8"/>
      <c r="G660" s="8"/>
      <c r="H660" s="8"/>
      <c r="I660" s="10"/>
      <c r="J660" s="10"/>
      <c r="K660" s="11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9"/>
      <c r="B661" s="8"/>
      <c r="C661" s="8"/>
      <c r="D661" s="8"/>
      <c r="E661" s="8"/>
      <c r="F661" s="8"/>
      <c r="G661" s="8"/>
      <c r="H661" s="8"/>
      <c r="I661" s="10"/>
      <c r="J661" s="10"/>
      <c r="K661" s="11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9"/>
      <c r="B662" s="8"/>
      <c r="C662" s="8"/>
      <c r="D662" s="8"/>
      <c r="E662" s="8"/>
      <c r="F662" s="8"/>
      <c r="G662" s="8"/>
      <c r="H662" s="8"/>
      <c r="I662" s="10"/>
      <c r="J662" s="10"/>
      <c r="K662" s="11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9"/>
      <c r="B663" s="8"/>
      <c r="C663" s="8"/>
      <c r="D663" s="8"/>
      <c r="E663" s="8"/>
      <c r="F663" s="8"/>
      <c r="G663" s="8"/>
      <c r="H663" s="8"/>
      <c r="I663" s="10"/>
      <c r="J663" s="10"/>
      <c r="K663" s="11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9"/>
      <c r="B664" s="8"/>
      <c r="C664" s="8"/>
      <c r="D664" s="8"/>
      <c r="E664" s="8"/>
      <c r="F664" s="8"/>
      <c r="G664" s="8"/>
      <c r="H664" s="8"/>
      <c r="I664" s="10"/>
      <c r="J664" s="10"/>
      <c r="K664" s="11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9"/>
      <c r="B665" s="8"/>
      <c r="C665" s="8"/>
      <c r="D665" s="8"/>
      <c r="E665" s="8"/>
      <c r="F665" s="8"/>
      <c r="G665" s="8"/>
      <c r="H665" s="8"/>
      <c r="I665" s="10"/>
      <c r="J665" s="10"/>
      <c r="K665" s="11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12"/>
      <c r="B666" s="13"/>
      <c r="C666" s="13"/>
      <c r="D666" s="13"/>
      <c r="E666" s="13"/>
      <c r="F666" s="13"/>
      <c r="G666" s="13"/>
      <c r="H666" s="13"/>
      <c r="I666" s="14"/>
      <c r="J666" s="14"/>
      <c r="K666" s="11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9"/>
      <c r="B667" s="8"/>
      <c r="C667" s="8"/>
      <c r="D667" s="8"/>
      <c r="E667" s="8"/>
      <c r="F667" s="8"/>
      <c r="G667" s="8"/>
      <c r="H667" s="8"/>
      <c r="I667" s="10"/>
      <c r="J667" s="10"/>
      <c r="K667" s="11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9"/>
      <c r="B668" s="8"/>
      <c r="C668" s="8"/>
      <c r="D668" s="8"/>
      <c r="E668" s="8"/>
      <c r="F668" s="8"/>
      <c r="G668" s="8"/>
      <c r="H668" s="8"/>
      <c r="I668" s="10"/>
      <c r="J668" s="10"/>
      <c r="K668" s="11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9"/>
      <c r="B669" s="8"/>
      <c r="C669" s="8"/>
      <c r="D669" s="8"/>
      <c r="E669" s="8"/>
      <c r="F669" s="8"/>
      <c r="G669" s="8"/>
      <c r="H669" s="8"/>
      <c r="I669" s="10"/>
      <c r="J669" s="10"/>
      <c r="K669" s="11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9"/>
      <c r="B670" s="8"/>
      <c r="C670" s="8"/>
      <c r="D670" s="8"/>
      <c r="E670" s="8"/>
      <c r="F670" s="8"/>
      <c r="G670" s="8"/>
      <c r="H670" s="8"/>
      <c r="I670" s="10"/>
      <c r="J670" s="10"/>
      <c r="K670" s="11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9"/>
      <c r="B671" s="8"/>
      <c r="C671" s="8"/>
      <c r="D671" s="8"/>
      <c r="E671" s="8"/>
      <c r="F671" s="8"/>
      <c r="G671" s="8"/>
      <c r="H671" s="8"/>
      <c r="I671" s="10"/>
      <c r="J671" s="10"/>
      <c r="K671" s="11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9"/>
      <c r="B672" s="8"/>
      <c r="C672" s="8"/>
      <c r="D672" s="8"/>
      <c r="E672" s="8"/>
      <c r="F672" s="8"/>
      <c r="G672" s="8"/>
      <c r="H672" s="8"/>
      <c r="I672" s="10"/>
      <c r="J672" s="10"/>
      <c r="K672" s="11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9"/>
      <c r="B673" s="8"/>
      <c r="C673" s="8"/>
      <c r="D673" s="8"/>
      <c r="E673" s="8"/>
      <c r="F673" s="8"/>
      <c r="G673" s="8"/>
      <c r="H673" s="8"/>
      <c r="I673" s="10"/>
      <c r="J673" s="10"/>
      <c r="K673" s="11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9"/>
      <c r="B674" s="8"/>
      <c r="C674" s="8"/>
      <c r="D674" s="8"/>
      <c r="E674" s="8"/>
      <c r="F674" s="8"/>
      <c r="G674" s="8"/>
      <c r="H674" s="8"/>
      <c r="I674" s="10"/>
      <c r="J674" s="10"/>
      <c r="K674" s="11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9"/>
      <c r="B675" s="8"/>
      <c r="C675" s="8"/>
      <c r="D675" s="8"/>
      <c r="E675" s="8"/>
      <c r="F675" s="8"/>
      <c r="G675" s="8"/>
      <c r="H675" s="8"/>
      <c r="I675" s="10"/>
      <c r="J675" s="10"/>
      <c r="K675" s="11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9"/>
      <c r="B676" s="8"/>
      <c r="C676" s="8"/>
      <c r="D676" s="8"/>
      <c r="E676" s="8"/>
      <c r="F676" s="8"/>
      <c r="G676" s="8"/>
      <c r="H676" s="8"/>
      <c r="I676" s="10"/>
      <c r="J676" s="10"/>
      <c r="K676" s="11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9"/>
      <c r="B677" s="8"/>
      <c r="C677" s="8"/>
      <c r="D677" s="8"/>
      <c r="E677" s="8"/>
      <c r="F677" s="8"/>
      <c r="G677" s="8"/>
      <c r="H677" s="8"/>
      <c r="I677" s="10"/>
      <c r="J677" s="10"/>
      <c r="K677" s="11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9"/>
      <c r="B678" s="8"/>
      <c r="C678" s="8"/>
      <c r="D678" s="8"/>
      <c r="E678" s="8"/>
      <c r="F678" s="8"/>
      <c r="G678" s="8"/>
      <c r="H678" s="8"/>
      <c r="I678" s="10"/>
      <c r="J678" s="10"/>
      <c r="K678" s="11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9"/>
      <c r="B679" s="8"/>
      <c r="C679" s="8"/>
      <c r="D679" s="8"/>
      <c r="E679" s="8"/>
      <c r="F679" s="8"/>
      <c r="G679" s="8"/>
      <c r="H679" s="8"/>
      <c r="I679" s="10"/>
      <c r="J679" s="10"/>
      <c r="K679" s="11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9"/>
      <c r="B680" s="8"/>
      <c r="C680" s="8"/>
      <c r="D680" s="8"/>
      <c r="E680" s="8"/>
      <c r="F680" s="8"/>
      <c r="G680" s="8"/>
      <c r="H680" s="8"/>
      <c r="I680" s="10"/>
      <c r="J680" s="10"/>
      <c r="K680" s="11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9"/>
      <c r="B681" s="8"/>
      <c r="C681" s="8"/>
      <c r="D681" s="8"/>
      <c r="E681" s="8"/>
      <c r="F681" s="8"/>
      <c r="G681" s="8"/>
      <c r="H681" s="8"/>
      <c r="I681" s="10"/>
      <c r="J681" s="10"/>
      <c r="K681" s="11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9"/>
      <c r="B682" s="8"/>
      <c r="C682" s="8"/>
      <c r="D682" s="8"/>
      <c r="E682" s="8"/>
      <c r="F682" s="8"/>
      <c r="G682" s="8"/>
      <c r="H682" s="8"/>
      <c r="I682" s="10"/>
      <c r="J682" s="10"/>
      <c r="K682" s="11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9"/>
      <c r="B683" s="8"/>
      <c r="C683" s="8"/>
      <c r="D683" s="8"/>
      <c r="E683" s="8"/>
      <c r="F683" s="8"/>
      <c r="G683" s="8"/>
      <c r="H683" s="8"/>
      <c r="I683" s="10"/>
      <c r="J683" s="10"/>
      <c r="K683" s="11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9"/>
      <c r="B684" s="8"/>
      <c r="C684" s="8"/>
      <c r="D684" s="8"/>
      <c r="E684" s="8"/>
      <c r="F684" s="8"/>
      <c r="G684" s="8"/>
      <c r="H684" s="8"/>
      <c r="I684" s="10"/>
      <c r="J684" s="10"/>
      <c r="K684" s="11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9"/>
      <c r="B685" s="8"/>
      <c r="C685" s="8"/>
      <c r="D685" s="8"/>
      <c r="E685" s="8"/>
      <c r="F685" s="8"/>
      <c r="G685" s="8"/>
      <c r="H685" s="8"/>
      <c r="I685" s="10"/>
      <c r="J685" s="10"/>
      <c r="K685" s="11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9"/>
      <c r="B686" s="8"/>
      <c r="C686" s="8"/>
      <c r="D686" s="8"/>
      <c r="E686" s="8"/>
      <c r="F686" s="8"/>
      <c r="G686" s="8"/>
      <c r="H686" s="8"/>
      <c r="I686" s="10"/>
      <c r="J686" s="10"/>
      <c r="K686" s="11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9"/>
      <c r="B687" s="8"/>
      <c r="C687" s="8"/>
      <c r="D687" s="8"/>
      <c r="E687" s="8"/>
      <c r="F687" s="8"/>
      <c r="G687" s="8"/>
      <c r="H687" s="8"/>
      <c r="I687" s="10"/>
      <c r="J687" s="10"/>
      <c r="K687" s="11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9"/>
      <c r="B688" s="8"/>
      <c r="C688" s="8"/>
      <c r="D688" s="8"/>
      <c r="E688" s="8"/>
      <c r="F688" s="8"/>
      <c r="G688" s="8"/>
      <c r="H688" s="8"/>
      <c r="I688" s="10"/>
      <c r="J688" s="10"/>
      <c r="K688" s="11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9"/>
      <c r="B689" s="8"/>
      <c r="C689" s="8"/>
      <c r="D689" s="8"/>
      <c r="E689" s="8"/>
      <c r="F689" s="8"/>
      <c r="G689" s="8"/>
      <c r="H689" s="8"/>
      <c r="I689" s="10"/>
      <c r="J689" s="10"/>
      <c r="K689" s="11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9"/>
      <c r="B690" s="8"/>
      <c r="C690" s="8"/>
      <c r="D690" s="8"/>
      <c r="E690" s="8"/>
      <c r="F690" s="8"/>
      <c r="G690" s="8"/>
      <c r="H690" s="8"/>
      <c r="I690" s="10"/>
      <c r="J690" s="10"/>
      <c r="K690" s="11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9"/>
      <c r="B691" s="8"/>
      <c r="C691" s="8"/>
      <c r="D691" s="8"/>
      <c r="E691" s="8"/>
      <c r="F691" s="8"/>
      <c r="G691" s="8"/>
      <c r="H691" s="8"/>
      <c r="I691" s="10"/>
      <c r="J691" s="10"/>
      <c r="K691" s="11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9"/>
      <c r="B692" s="8"/>
      <c r="C692" s="8"/>
      <c r="D692" s="8"/>
      <c r="E692" s="8"/>
      <c r="F692" s="8"/>
      <c r="G692" s="8"/>
      <c r="H692" s="8"/>
      <c r="I692" s="10"/>
      <c r="J692" s="10"/>
      <c r="K692" s="11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9"/>
      <c r="B693" s="8"/>
      <c r="C693" s="8"/>
      <c r="D693" s="8"/>
      <c r="E693" s="8"/>
      <c r="F693" s="8"/>
      <c r="G693" s="8"/>
      <c r="H693" s="8"/>
      <c r="I693" s="10"/>
      <c r="J693" s="10"/>
      <c r="K693" s="11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9"/>
      <c r="B694" s="8"/>
      <c r="C694" s="8"/>
      <c r="D694" s="8"/>
      <c r="E694" s="8"/>
      <c r="F694" s="8"/>
      <c r="G694" s="8"/>
      <c r="H694" s="8"/>
      <c r="I694" s="10"/>
      <c r="J694" s="10"/>
      <c r="K694" s="11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9"/>
      <c r="B695" s="8"/>
      <c r="C695" s="8"/>
      <c r="D695" s="8"/>
      <c r="E695" s="8"/>
      <c r="F695" s="8"/>
      <c r="G695" s="8"/>
      <c r="H695" s="8"/>
      <c r="I695" s="10"/>
      <c r="J695" s="10"/>
      <c r="K695" s="11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9"/>
      <c r="B696" s="8"/>
      <c r="C696" s="8"/>
      <c r="D696" s="8"/>
      <c r="E696" s="8"/>
      <c r="F696" s="8"/>
      <c r="G696" s="8"/>
      <c r="H696" s="8"/>
      <c r="I696" s="10"/>
      <c r="J696" s="10"/>
      <c r="K696" s="11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9"/>
      <c r="B697" s="8"/>
      <c r="C697" s="8"/>
      <c r="D697" s="8"/>
      <c r="E697" s="8"/>
      <c r="F697" s="8"/>
      <c r="G697" s="8"/>
      <c r="H697" s="8"/>
      <c r="I697" s="10"/>
      <c r="J697" s="10"/>
      <c r="K697" s="11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9"/>
      <c r="B698" s="8"/>
      <c r="C698" s="8"/>
      <c r="D698" s="8"/>
      <c r="E698" s="8"/>
      <c r="F698" s="8"/>
      <c r="G698" s="8"/>
      <c r="H698" s="8"/>
      <c r="I698" s="10"/>
      <c r="J698" s="10"/>
      <c r="K698" s="11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9"/>
      <c r="B699" s="8"/>
      <c r="C699" s="8"/>
      <c r="D699" s="8"/>
      <c r="E699" s="8"/>
      <c r="F699" s="8"/>
      <c r="G699" s="8"/>
      <c r="H699" s="8"/>
      <c r="I699" s="10"/>
      <c r="J699" s="10"/>
      <c r="K699" s="11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9"/>
      <c r="B700" s="8"/>
      <c r="C700" s="8"/>
      <c r="D700" s="8"/>
      <c r="E700" s="8"/>
      <c r="F700" s="8"/>
      <c r="G700" s="8"/>
      <c r="H700" s="8"/>
      <c r="I700" s="10"/>
      <c r="J700" s="10"/>
      <c r="K700" s="11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9"/>
      <c r="B701" s="8"/>
      <c r="C701" s="8"/>
      <c r="D701" s="8"/>
      <c r="E701" s="8"/>
      <c r="F701" s="8"/>
      <c r="G701" s="8"/>
      <c r="H701" s="8"/>
      <c r="I701" s="10"/>
      <c r="J701" s="10"/>
      <c r="K701" s="11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9"/>
      <c r="B702" s="8"/>
      <c r="C702" s="8"/>
      <c r="D702" s="8"/>
      <c r="E702" s="8"/>
      <c r="F702" s="8"/>
      <c r="G702" s="8"/>
      <c r="H702" s="8"/>
      <c r="I702" s="10"/>
      <c r="J702" s="10"/>
      <c r="K702" s="11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9"/>
      <c r="B703" s="8"/>
      <c r="C703" s="8"/>
      <c r="D703" s="8"/>
      <c r="E703" s="8"/>
      <c r="F703" s="8"/>
      <c r="G703" s="8"/>
      <c r="H703" s="8"/>
      <c r="I703" s="10"/>
      <c r="J703" s="10"/>
      <c r="K703" s="11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9"/>
      <c r="B704" s="8"/>
      <c r="C704" s="8"/>
      <c r="D704" s="8"/>
      <c r="E704" s="8"/>
      <c r="F704" s="8"/>
      <c r="G704" s="8"/>
      <c r="H704" s="8"/>
      <c r="I704" s="10"/>
      <c r="J704" s="10"/>
      <c r="K704" s="11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12"/>
      <c r="B705" s="13"/>
      <c r="C705" s="13"/>
      <c r="D705" s="13"/>
      <c r="E705" s="13"/>
      <c r="F705" s="13"/>
      <c r="G705" s="13"/>
      <c r="H705" s="13"/>
      <c r="I705" s="15"/>
      <c r="J705" s="15"/>
      <c r="K705" s="11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9"/>
      <c r="B706" s="8"/>
      <c r="C706" s="8"/>
      <c r="D706" s="8"/>
      <c r="E706" s="8"/>
      <c r="F706" s="8"/>
      <c r="G706" s="8"/>
      <c r="H706" s="8"/>
      <c r="I706" s="10"/>
      <c r="J706" s="10"/>
      <c r="K706" s="11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9"/>
      <c r="B707" s="8"/>
      <c r="C707" s="8"/>
      <c r="D707" s="8"/>
      <c r="E707" s="8"/>
      <c r="F707" s="8"/>
      <c r="G707" s="8"/>
      <c r="H707" s="8"/>
      <c r="I707" s="10"/>
      <c r="J707" s="10"/>
      <c r="K707" s="11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9"/>
      <c r="B708" s="8"/>
      <c r="C708" s="8"/>
      <c r="D708" s="8"/>
      <c r="E708" s="8"/>
      <c r="F708" s="8"/>
      <c r="G708" s="8"/>
      <c r="H708" s="8"/>
      <c r="I708" s="10"/>
      <c r="J708" s="10"/>
      <c r="K708" s="11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9"/>
      <c r="B709" s="8"/>
      <c r="C709" s="8"/>
      <c r="D709" s="8"/>
      <c r="E709" s="8"/>
      <c r="F709" s="8"/>
      <c r="G709" s="8"/>
      <c r="H709" s="8"/>
      <c r="I709" s="10"/>
      <c r="J709" s="10"/>
      <c r="K709" s="11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9"/>
      <c r="B710" s="8"/>
      <c r="C710" s="8"/>
      <c r="D710" s="8"/>
      <c r="E710" s="8"/>
      <c r="F710" s="8"/>
      <c r="G710" s="8"/>
      <c r="H710" s="8"/>
      <c r="I710" s="10"/>
      <c r="J710" s="10"/>
      <c r="K710" s="11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12"/>
      <c r="B711" s="13"/>
      <c r="C711" s="13"/>
      <c r="D711" s="13"/>
      <c r="E711" s="13"/>
      <c r="F711" s="13"/>
      <c r="G711" s="13"/>
      <c r="H711" s="13"/>
      <c r="I711" s="14"/>
      <c r="J711" s="14"/>
      <c r="K711" s="11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9"/>
      <c r="B712" s="8"/>
      <c r="C712" s="8"/>
      <c r="D712" s="8"/>
      <c r="E712" s="8"/>
      <c r="F712" s="8"/>
      <c r="G712" s="8"/>
      <c r="H712" s="8"/>
      <c r="I712" s="10"/>
      <c r="J712" s="10"/>
      <c r="K712" s="11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9"/>
      <c r="B713" s="8"/>
      <c r="C713" s="8"/>
      <c r="D713" s="8"/>
      <c r="E713" s="8"/>
      <c r="F713" s="8"/>
      <c r="G713" s="8"/>
      <c r="H713" s="8"/>
      <c r="I713" s="10"/>
      <c r="J713" s="10"/>
      <c r="K713" s="11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9"/>
      <c r="B714" s="8"/>
      <c r="C714" s="8"/>
      <c r="D714" s="8"/>
      <c r="E714" s="8"/>
      <c r="F714" s="8"/>
      <c r="G714" s="8"/>
      <c r="H714" s="8"/>
      <c r="I714" s="10"/>
      <c r="J714" s="10"/>
      <c r="K714" s="11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9"/>
      <c r="B715" s="8"/>
      <c r="C715" s="8"/>
      <c r="D715" s="8"/>
      <c r="E715" s="8"/>
      <c r="F715" s="8"/>
      <c r="G715" s="8"/>
      <c r="H715" s="8"/>
      <c r="I715" s="10"/>
      <c r="J715" s="10"/>
      <c r="K715" s="11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9"/>
      <c r="B716" s="8"/>
      <c r="C716" s="8"/>
      <c r="D716" s="8"/>
      <c r="E716" s="8"/>
      <c r="F716" s="8"/>
      <c r="G716" s="8"/>
      <c r="H716" s="8"/>
      <c r="I716" s="10"/>
      <c r="J716" s="10"/>
      <c r="K716" s="11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9"/>
      <c r="B717" s="8"/>
      <c r="C717" s="8"/>
      <c r="D717" s="8"/>
      <c r="E717" s="8"/>
      <c r="F717" s="8"/>
      <c r="G717" s="8"/>
      <c r="H717" s="8"/>
      <c r="I717" s="10"/>
      <c r="J717" s="10"/>
      <c r="K717" s="11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9"/>
      <c r="B718" s="8"/>
      <c r="C718" s="8"/>
      <c r="D718" s="8"/>
      <c r="E718" s="8"/>
      <c r="F718" s="8"/>
      <c r="G718" s="8"/>
      <c r="H718" s="8"/>
      <c r="I718" s="10"/>
      <c r="J718" s="10"/>
      <c r="K718" s="11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9"/>
      <c r="B719" s="8"/>
      <c r="C719" s="8"/>
      <c r="D719" s="8"/>
      <c r="E719" s="8"/>
      <c r="F719" s="8"/>
      <c r="G719" s="8"/>
      <c r="H719" s="8"/>
      <c r="I719" s="10"/>
      <c r="J719" s="10"/>
      <c r="K719" s="11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9"/>
      <c r="B720" s="8"/>
      <c r="C720" s="8"/>
      <c r="D720" s="8"/>
      <c r="E720" s="8"/>
      <c r="F720" s="8"/>
      <c r="G720" s="8"/>
      <c r="H720" s="8"/>
      <c r="I720" s="10"/>
      <c r="J720" s="10"/>
      <c r="K720" s="11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9"/>
      <c r="B721" s="8"/>
      <c r="C721" s="8"/>
      <c r="D721" s="8"/>
      <c r="E721" s="8"/>
      <c r="F721" s="8"/>
      <c r="G721" s="8"/>
      <c r="H721" s="8"/>
      <c r="I721" s="10"/>
      <c r="J721" s="10"/>
      <c r="K721" s="11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9"/>
      <c r="B722" s="8"/>
      <c r="C722" s="8"/>
      <c r="D722" s="8"/>
      <c r="E722" s="8"/>
      <c r="F722" s="8"/>
      <c r="G722" s="8"/>
      <c r="H722" s="8"/>
      <c r="I722" s="10"/>
      <c r="J722" s="10"/>
      <c r="K722" s="11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9"/>
      <c r="B723" s="8"/>
      <c r="C723" s="8"/>
      <c r="D723" s="8"/>
      <c r="E723" s="8"/>
      <c r="F723" s="8"/>
      <c r="G723" s="8"/>
      <c r="H723" s="8"/>
      <c r="I723" s="10"/>
      <c r="J723" s="10"/>
      <c r="K723" s="11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9"/>
      <c r="B724" s="8"/>
      <c r="C724" s="8"/>
      <c r="D724" s="8"/>
      <c r="E724" s="8"/>
      <c r="F724" s="8"/>
      <c r="G724" s="8"/>
      <c r="H724" s="8"/>
      <c r="I724" s="10"/>
      <c r="J724" s="10"/>
      <c r="K724" s="11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9"/>
      <c r="B725" s="8"/>
      <c r="C725" s="8"/>
      <c r="D725" s="8"/>
      <c r="E725" s="8"/>
      <c r="F725" s="8"/>
      <c r="G725" s="8"/>
      <c r="H725" s="8"/>
      <c r="I725" s="10"/>
      <c r="J725" s="10"/>
      <c r="K725" s="11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9"/>
      <c r="B726" s="8"/>
      <c r="C726" s="8"/>
      <c r="D726" s="8"/>
      <c r="E726" s="8"/>
      <c r="F726" s="8"/>
      <c r="G726" s="8"/>
      <c r="H726" s="8"/>
      <c r="I726" s="10"/>
      <c r="J726" s="10"/>
      <c r="K726" s="11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9"/>
      <c r="B727" s="8"/>
      <c r="C727" s="8"/>
      <c r="D727" s="8"/>
      <c r="E727" s="8"/>
      <c r="F727" s="8"/>
      <c r="G727" s="8"/>
      <c r="H727" s="8"/>
      <c r="I727" s="10"/>
      <c r="J727" s="10"/>
      <c r="K727" s="11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9"/>
      <c r="B728" s="8"/>
      <c r="C728" s="8"/>
      <c r="D728" s="8"/>
      <c r="E728" s="8"/>
      <c r="F728" s="8"/>
      <c r="G728" s="8"/>
      <c r="H728" s="8"/>
      <c r="I728" s="10"/>
      <c r="J728" s="10"/>
      <c r="K728" s="11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9"/>
      <c r="B729" s="8"/>
      <c r="C729" s="8"/>
      <c r="D729" s="8"/>
      <c r="E729" s="8"/>
      <c r="F729" s="8"/>
      <c r="G729" s="8"/>
      <c r="H729" s="8"/>
      <c r="I729" s="10"/>
      <c r="J729" s="10"/>
      <c r="K729" s="11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9"/>
      <c r="B730" s="8"/>
      <c r="C730" s="8"/>
      <c r="D730" s="8"/>
      <c r="E730" s="8"/>
      <c r="F730" s="8"/>
      <c r="G730" s="8"/>
      <c r="H730" s="8"/>
      <c r="I730" s="10"/>
      <c r="J730" s="10"/>
      <c r="K730" s="11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9"/>
      <c r="B731" s="8"/>
      <c r="C731" s="8"/>
      <c r="D731" s="8"/>
      <c r="E731" s="8"/>
      <c r="F731" s="8"/>
      <c r="G731" s="8"/>
      <c r="H731" s="8"/>
      <c r="I731" s="10"/>
      <c r="J731" s="10"/>
      <c r="K731" s="11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9"/>
      <c r="B732" s="8"/>
      <c r="C732" s="8"/>
      <c r="D732" s="8"/>
      <c r="E732" s="8"/>
      <c r="F732" s="8"/>
      <c r="G732" s="8"/>
      <c r="H732" s="8"/>
      <c r="I732" s="10"/>
      <c r="J732" s="10"/>
      <c r="K732" s="11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9"/>
      <c r="B733" s="8"/>
      <c r="C733" s="8"/>
      <c r="D733" s="8"/>
      <c r="E733" s="8"/>
      <c r="F733" s="8"/>
      <c r="G733" s="8"/>
      <c r="H733" s="8"/>
      <c r="I733" s="10"/>
      <c r="J733" s="10"/>
      <c r="K733" s="11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9"/>
      <c r="B734" s="8"/>
      <c r="C734" s="8"/>
      <c r="D734" s="8"/>
      <c r="E734" s="8"/>
      <c r="F734" s="8"/>
      <c r="G734" s="8"/>
      <c r="H734" s="8"/>
      <c r="I734" s="10"/>
      <c r="J734" s="10"/>
      <c r="K734" s="11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12"/>
      <c r="B735" s="13"/>
      <c r="C735" s="13"/>
      <c r="D735" s="13"/>
      <c r="E735" s="13"/>
      <c r="F735" s="13"/>
      <c r="G735" s="13"/>
      <c r="H735" s="13"/>
      <c r="I735" s="15"/>
      <c r="J735" s="15"/>
      <c r="K735" s="11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9"/>
      <c r="B736" s="8"/>
      <c r="C736" s="8"/>
      <c r="D736" s="8"/>
      <c r="E736" s="8"/>
      <c r="F736" s="8"/>
      <c r="G736" s="8"/>
      <c r="H736" s="8"/>
      <c r="I736" s="10"/>
      <c r="J736" s="10"/>
      <c r="K736" s="11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9"/>
      <c r="B737" s="8"/>
      <c r="C737" s="8"/>
      <c r="D737" s="8"/>
      <c r="E737" s="8"/>
      <c r="F737" s="8"/>
      <c r="G737" s="8"/>
      <c r="H737" s="8"/>
      <c r="I737" s="10"/>
      <c r="J737" s="10"/>
      <c r="K737" s="11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9"/>
      <c r="B738" s="8"/>
      <c r="C738" s="8"/>
      <c r="D738" s="8"/>
      <c r="E738" s="8"/>
      <c r="F738" s="8"/>
      <c r="G738" s="8"/>
      <c r="H738" s="8"/>
      <c r="I738" s="10"/>
      <c r="J738" s="10"/>
      <c r="K738" s="11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9"/>
      <c r="B739" s="8"/>
      <c r="C739" s="8"/>
      <c r="D739" s="8"/>
      <c r="E739" s="8"/>
      <c r="F739" s="8"/>
      <c r="G739" s="8"/>
      <c r="H739" s="8"/>
      <c r="I739" s="10"/>
      <c r="J739" s="10"/>
      <c r="K739" s="11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9"/>
      <c r="B740" s="8"/>
      <c r="C740" s="8"/>
      <c r="D740" s="8"/>
      <c r="E740" s="8"/>
      <c r="F740" s="8"/>
      <c r="G740" s="8"/>
      <c r="H740" s="8"/>
      <c r="I740" s="10"/>
      <c r="J740" s="10"/>
      <c r="K740" s="11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9"/>
      <c r="B741" s="8"/>
      <c r="C741" s="8"/>
      <c r="D741" s="8"/>
      <c r="E741" s="8"/>
      <c r="F741" s="8"/>
      <c r="G741" s="8"/>
      <c r="H741" s="8"/>
      <c r="I741" s="10"/>
      <c r="J741" s="10"/>
      <c r="K741" s="11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9"/>
      <c r="B742" s="8"/>
      <c r="C742" s="8"/>
      <c r="D742" s="8"/>
      <c r="E742" s="8"/>
      <c r="F742" s="8"/>
      <c r="G742" s="8"/>
      <c r="H742" s="8"/>
      <c r="I742" s="10"/>
      <c r="J742" s="10"/>
      <c r="K742" s="11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9"/>
      <c r="B743" s="8"/>
      <c r="C743" s="8"/>
      <c r="D743" s="8"/>
      <c r="E743" s="8"/>
      <c r="F743" s="8"/>
      <c r="G743" s="8"/>
      <c r="H743" s="8"/>
      <c r="I743" s="10"/>
      <c r="J743" s="10"/>
      <c r="K743" s="11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9"/>
      <c r="B744" s="8"/>
      <c r="C744" s="8"/>
      <c r="D744" s="8"/>
      <c r="E744" s="8"/>
      <c r="F744" s="8"/>
      <c r="G744" s="8"/>
      <c r="H744" s="8"/>
      <c r="I744" s="10"/>
      <c r="J744" s="10"/>
      <c r="K744" s="11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9"/>
      <c r="B745" s="8"/>
      <c r="C745" s="8"/>
      <c r="D745" s="8"/>
      <c r="E745" s="8"/>
      <c r="F745" s="8"/>
      <c r="G745" s="8"/>
      <c r="H745" s="8"/>
      <c r="I745" s="10"/>
      <c r="J745" s="10"/>
      <c r="K745" s="11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9"/>
      <c r="B746" s="8"/>
      <c r="C746" s="8"/>
      <c r="D746" s="8"/>
      <c r="E746" s="8"/>
      <c r="F746" s="8"/>
      <c r="G746" s="8"/>
      <c r="H746" s="8"/>
      <c r="I746" s="10"/>
      <c r="J746" s="10"/>
      <c r="K746" s="11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9"/>
      <c r="B747" s="8"/>
      <c r="C747" s="8"/>
      <c r="D747" s="8"/>
      <c r="E747" s="8"/>
      <c r="F747" s="8"/>
      <c r="G747" s="8"/>
      <c r="H747" s="8"/>
      <c r="I747" s="10"/>
      <c r="J747" s="10"/>
      <c r="K747" s="11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9"/>
      <c r="B748" s="8"/>
      <c r="C748" s="8"/>
      <c r="D748" s="8"/>
      <c r="E748" s="8"/>
      <c r="F748" s="8"/>
      <c r="G748" s="8"/>
      <c r="H748" s="8"/>
      <c r="I748" s="10"/>
      <c r="J748" s="10"/>
      <c r="K748" s="11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9"/>
      <c r="B749" s="8"/>
      <c r="C749" s="8"/>
      <c r="D749" s="8"/>
      <c r="E749" s="8"/>
      <c r="F749" s="8"/>
      <c r="G749" s="8"/>
      <c r="H749" s="8"/>
      <c r="I749" s="10"/>
      <c r="J749" s="10"/>
      <c r="K749" s="11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9"/>
      <c r="B750" s="8"/>
      <c r="C750" s="8"/>
      <c r="D750" s="8"/>
      <c r="E750" s="8"/>
      <c r="F750" s="8"/>
      <c r="G750" s="8"/>
      <c r="H750" s="8"/>
      <c r="I750" s="10"/>
      <c r="J750" s="10"/>
      <c r="K750" s="11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9"/>
      <c r="B751" s="8"/>
      <c r="C751" s="8"/>
      <c r="D751" s="8"/>
      <c r="E751" s="8"/>
      <c r="F751" s="8"/>
      <c r="G751" s="8"/>
      <c r="H751" s="8"/>
      <c r="I751" s="10"/>
      <c r="J751" s="10"/>
      <c r="K751" s="11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9"/>
      <c r="B752" s="8"/>
      <c r="C752" s="8"/>
      <c r="D752" s="8"/>
      <c r="E752" s="8"/>
      <c r="F752" s="8"/>
      <c r="G752" s="8"/>
      <c r="H752" s="8"/>
      <c r="I752" s="10"/>
      <c r="J752" s="10"/>
      <c r="K752" s="11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9"/>
      <c r="B753" s="8"/>
      <c r="C753" s="8"/>
      <c r="D753" s="8"/>
      <c r="E753" s="8"/>
      <c r="F753" s="8"/>
      <c r="G753" s="8"/>
      <c r="H753" s="8"/>
      <c r="I753" s="10"/>
      <c r="J753" s="10"/>
      <c r="K753" s="11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9"/>
      <c r="B754" s="8"/>
      <c r="C754" s="8"/>
      <c r="D754" s="8"/>
      <c r="E754" s="8"/>
      <c r="F754" s="8"/>
      <c r="G754" s="8"/>
      <c r="H754" s="8"/>
      <c r="I754" s="10"/>
      <c r="J754" s="10"/>
      <c r="K754" s="11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9"/>
      <c r="B755" s="8"/>
      <c r="C755" s="8"/>
      <c r="D755" s="8"/>
      <c r="E755" s="8"/>
      <c r="F755" s="8"/>
      <c r="G755" s="8"/>
      <c r="H755" s="8"/>
      <c r="I755" s="10"/>
      <c r="J755" s="10"/>
      <c r="K755" s="11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9"/>
      <c r="B756" s="8"/>
      <c r="C756" s="8"/>
      <c r="D756" s="8"/>
      <c r="E756" s="8"/>
      <c r="F756" s="8"/>
      <c r="G756" s="8"/>
      <c r="H756" s="8"/>
      <c r="I756" s="10"/>
      <c r="J756" s="10"/>
      <c r="K756" s="11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9"/>
      <c r="B757" s="8"/>
      <c r="C757" s="8"/>
      <c r="D757" s="8"/>
      <c r="E757" s="8"/>
      <c r="F757" s="8"/>
      <c r="G757" s="8"/>
      <c r="H757" s="8"/>
      <c r="I757" s="10"/>
      <c r="J757" s="10"/>
      <c r="K757" s="11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9"/>
      <c r="B758" s="8"/>
      <c r="C758" s="8"/>
      <c r="D758" s="8"/>
      <c r="E758" s="8"/>
      <c r="F758" s="8"/>
      <c r="G758" s="8"/>
      <c r="H758" s="8"/>
      <c r="I758" s="10"/>
      <c r="J758" s="10"/>
      <c r="K758" s="11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9"/>
      <c r="B759" s="8"/>
      <c r="C759" s="8"/>
      <c r="D759" s="8"/>
      <c r="E759" s="8"/>
      <c r="F759" s="8"/>
      <c r="G759" s="8"/>
      <c r="H759" s="8"/>
      <c r="I759" s="10"/>
      <c r="J759" s="10"/>
      <c r="K759" s="11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9"/>
      <c r="B760" s="8"/>
      <c r="C760" s="8"/>
      <c r="D760" s="8"/>
      <c r="E760" s="8"/>
      <c r="F760" s="8"/>
      <c r="G760" s="8"/>
      <c r="H760" s="8"/>
      <c r="I760" s="10"/>
      <c r="J760" s="10"/>
      <c r="K760" s="11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9"/>
      <c r="B761" s="8"/>
      <c r="C761" s="8"/>
      <c r="D761" s="8"/>
      <c r="E761" s="8"/>
      <c r="F761" s="8"/>
      <c r="G761" s="8"/>
      <c r="H761" s="8"/>
      <c r="I761" s="10"/>
      <c r="J761" s="10"/>
      <c r="K761" s="11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9"/>
      <c r="B762" s="8"/>
      <c r="C762" s="8"/>
      <c r="D762" s="8"/>
      <c r="E762" s="8"/>
      <c r="F762" s="8"/>
      <c r="G762" s="8"/>
      <c r="H762" s="8"/>
      <c r="I762" s="10"/>
      <c r="J762" s="10"/>
      <c r="K762" s="11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9"/>
      <c r="B763" s="8"/>
      <c r="C763" s="8"/>
      <c r="D763" s="8"/>
      <c r="E763" s="8"/>
      <c r="F763" s="8"/>
      <c r="G763" s="8"/>
      <c r="H763" s="8"/>
      <c r="I763" s="10"/>
      <c r="J763" s="10"/>
      <c r="K763" s="11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9"/>
      <c r="B764" s="8"/>
      <c r="C764" s="8"/>
      <c r="D764" s="8"/>
      <c r="E764" s="8"/>
      <c r="F764" s="8"/>
      <c r="G764" s="8"/>
      <c r="H764" s="8"/>
      <c r="I764" s="10"/>
      <c r="J764" s="10"/>
      <c r="K764" s="11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9"/>
      <c r="B765" s="8"/>
      <c r="C765" s="8"/>
      <c r="D765" s="8"/>
      <c r="E765" s="8"/>
      <c r="F765" s="8"/>
      <c r="G765" s="8"/>
      <c r="H765" s="8"/>
      <c r="I765" s="10"/>
      <c r="J765" s="10"/>
      <c r="K765" s="11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9"/>
      <c r="B766" s="8"/>
      <c r="C766" s="8"/>
      <c r="D766" s="8"/>
      <c r="E766" s="8"/>
      <c r="F766" s="8"/>
      <c r="G766" s="8"/>
      <c r="H766" s="8"/>
      <c r="I766" s="10"/>
      <c r="J766" s="10"/>
      <c r="K766" s="11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9"/>
      <c r="B767" s="8"/>
      <c r="C767" s="8"/>
      <c r="D767" s="8"/>
      <c r="E767" s="8"/>
      <c r="F767" s="8"/>
      <c r="G767" s="8"/>
      <c r="H767" s="8"/>
      <c r="I767" s="10"/>
      <c r="J767" s="10"/>
      <c r="K767" s="11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9"/>
      <c r="B768" s="8"/>
      <c r="C768" s="8"/>
      <c r="D768" s="8"/>
      <c r="E768" s="8"/>
      <c r="F768" s="8"/>
      <c r="G768" s="8"/>
      <c r="H768" s="8"/>
      <c r="I768" s="10"/>
      <c r="J768" s="10"/>
      <c r="K768" s="11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9"/>
      <c r="B769" s="8"/>
      <c r="C769" s="8"/>
      <c r="D769" s="8"/>
      <c r="E769" s="8"/>
      <c r="F769" s="8"/>
      <c r="G769" s="8"/>
      <c r="H769" s="8"/>
      <c r="I769" s="10"/>
      <c r="J769" s="10"/>
      <c r="K769" s="11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9"/>
      <c r="B770" s="8"/>
      <c r="C770" s="8"/>
      <c r="D770" s="8"/>
      <c r="E770" s="8"/>
      <c r="F770" s="8"/>
      <c r="G770" s="8"/>
      <c r="H770" s="8"/>
      <c r="I770" s="10"/>
      <c r="J770" s="10"/>
      <c r="K770" s="11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9"/>
      <c r="B771" s="8"/>
      <c r="C771" s="8"/>
      <c r="D771" s="8"/>
      <c r="E771" s="8"/>
      <c r="F771" s="8"/>
      <c r="G771" s="8"/>
      <c r="H771" s="8"/>
      <c r="I771" s="10"/>
      <c r="J771" s="10"/>
      <c r="K771" s="11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9"/>
      <c r="B772" s="8"/>
      <c r="C772" s="8"/>
      <c r="D772" s="8"/>
      <c r="E772" s="8"/>
      <c r="F772" s="8"/>
      <c r="G772" s="8"/>
      <c r="H772" s="8"/>
      <c r="I772" s="10"/>
      <c r="J772" s="10"/>
      <c r="K772" s="11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9"/>
      <c r="B773" s="8"/>
      <c r="C773" s="8"/>
      <c r="D773" s="8"/>
      <c r="E773" s="8"/>
      <c r="F773" s="8"/>
      <c r="G773" s="8"/>
      <c r="H773" s="8"/>
      <c r="I773" s="10"/>
      <c r="J773" s="10"/>
      <c r="K773" s="11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9"/>
      <c r="B774" s="8"/>
      <c r="C774" s="8"/>
      <c r="D774" s="8"/>
      <c r="E774" s="8"/>
      <c r="F774" s="8"/>
      <c r="G774" s="8"/>
      <c r="H774" s="8"/>
      <c r="I774" s="10"/>
      <c r="J774" s="10"/>
      <c r="K774" s="11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9"/>
      <c r="B775" s="8"/>
      <c r="C775" s="8"/>
      <c r="D775" s="8"/>
      <c r="E775" s="8"/>
      <c r="F775" s="8"/>
      <c r="G775" s="8"/>
      <c r="H775" s="8"/>
      <c r="I775" s="10"/>
      <c r="J775" s="10"/>
      <c r="K775" s="11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9"/>
      <c r="B776" s="8"/>
      <c r="C776" s="8"/>
      <c r="D776" s="8"/>
      <c r="E776" s="8"/>
      <c r="F776" s="8"/>
      <c r="G776" s="8"/>
      <c r="H776" s="8"/>
      <c r="I776" s="10"/>
      <c r="J776" s="10"/>
      <c r="K776" s="11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9"/>
      <c r="B777" s="8"/>
      <c r="C777" s="8"/>
      <c r="D777" s="8"/>
      <c r="E777" s="8"/>
      <c r="F777" s="8"/>
      <c r="G777" s="8"/>
      <c r="H777" s="8"/>
      <c r="I777" s="10"/>
      <c r="J777" s="10"/>
      <c r="K777" s="11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9"/>
      <c r="B778" s="8"/>
      <c r="C778" s="8"/>
      <c r="D778" s="8"/>
      <c r="E778" s="8"/>
      <c r="F778" s="8"/>
      <c r="G778" s="8"/>
      <c r="H778" s="8"/>
      <c r="I778" s="10"/>
      <c r="J778" s="10"/>
      <c r="K778" s="11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9"/>
      <c r="B779" s="8"/>
      <c r="C779" s="8"/>
      <c r="D779" s="8"/>
      <c r="E779" s="8"/>
      <c r="F779" s="8"/>
      <c r="G779" s="8"/>
      <c r="H779" s="8"/>
      <c r="I779" s="10"/>
      <c r="J779" s="10"/>
      <c r="K779" s="11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9"/>
      <c r="B780" s="8"/>
      <c r="C780" s="8"/>
      <c r="D780" s="8"/>
      <c r="E780" s="8"/>
      <c r="F780" s="8"/>
      <c r="G780" s="8"/>
      <c r="H780" s="8"/>
      <c r="I780" s="10"/>
      <c r="J780" s="10"/>
      <c r="K780" s="11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9"/>
      <c r="B781" s="8"/>
      <c r="C781" s="8"/>
      <c r="D781" s="8"/>
      <c r="E781" s="8"/>
      <c r="F781" s="8"/>
      <c r="G781" s="8"/>
      <c r="H781" s="8"/>
      <c r="I781" s="10"/>
      <c r="J781" s="10"/>
      <c r="K781" s="11"/>
      <c r="L781" s="16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9"/>
      <c r="B782" s="8"/>
      <c r="C782" s="8"/>
      <c r="D782" s="8"/>
      <c r="E782" s="8"/>
      <c r="F782" s="8"/>
      <c r="G782" s="8"/>
      <c r="H782" s="8"/>
      <c r="I782" s="10"/>
      <c r="J782" s="10"/>
      <c r="K782" s="11"/>
      <c r="L782" s="16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9"/>
      <c r="B783" s="8"/>
      <c r="C783" s="8"/>
      <c r="D783" s="8"/>
      <c r="E783" s="8"/>
      <c r="F783" s="8"/>
      <c r="G783" s="8"/>
      <c r="H783" s="8"/>
      <c r="I783" s="10"/>
      <c r="J783" s="10"/>
      <c r="K783" s="11"/>
      <c r="L783" s="16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9"/>
      <c r="B784" s="8"/>
      <c r="C784" s="8"/>
      <c r="D784" s="8"/>
      <c r="E784" s="8"/>
      <c r="F784" s="8"/>
      <c r="G784" s="8"/>
      <c r="H784" s="8"/>
      <c r="I784" s="10"/>
      <c r="J784" s="10"/>
      <c r="K784" s="11"/>
      <c r="L784" s="16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9"/>
      <c r="B785" s="8"/>
      <c r="C785" s="8"/>
      <c r="D785" s="8"/>
      <c r="E785" s="8"/>
      <c r="F785" s="8"/>
      <c r="G785" s="8"/>
      <c r="H785" s="8"/>
      <c r="I785" s="10"/>
      <c r="J785" s="10"/>
      <c r="K785" s="11"/>
      <c r="L785" s="16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9"/>
      <c r="B786" s="8"/>
      <c r="C786" s="8"/>
      <c r="D786" s="8"/>
      <c r="E786" s="8"/>
      <c r="F786" s="8"/>
      <c r="G786" s="8"/>
      <c r="H786" s="8"/>
      <c r="I786" s="10"/>
      <c r="J786" s="10"/>
      <c r="K786" s="11"/>
      <c r="L786" s="16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9"/>
      <c r="B787" s="8"/>
      <c r="C787" s="8"/>
      <c r="D787" s="8"/>
      <c r="E787" s="8"/>
      <c r="F787" s="8"/>
      <c r="G787" s="8"/>
      <c r="H787" s="8"/>
      <c r="I787" s="10"/>
      <c r="J787" s="10"/>
      <c r="K787" s="11"/>
      <c r="L787" s="16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9"/>
      <c r="B788" s="8"/>
      <c r="C788" s="8"/>
      <c r="D788" s="8"/>
      <c r="E788" s="8"/>
      <c r="F788" s="8"/>
      <c r="G788" s="8"/>
      <c r="H788" s="8"/>
      <c r="I788" s="10"/>
      <c r="J788" s="10"/>
      <c r="K788" s="11"/>
      <c r="L788" s="16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9"/>
      <c r="B789" s="8"/>
      <c r="C789" s="8"/>
      <c r="D789" s="8"/>
      <c r="E789" s="8"/>
      <c r="F789" s="8"/>
      <c r="G789" s="8"/>
      <c r="H789" s="8"/>
      <c r="I789" s="10"/>
      <c r="J789" s="10"/>
      <c r="K789" s="11"/>
      <c r="L789" s="16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9"/>
      <c r="B790" s="8"/>
      <c r="C790" s="8"/>
      <c r="D790" s="8"/>
      <c r="E790" s="8"/>
      <c r="F790" s="8"/>
      <c r="G790" s="8"/>
      <c r="H790" s="8"/>
      <c r="I790" s="10"/>
      <c r="J790" s="10"/>
      <c r="K790" s="11"/>
      <c r="L790" s="16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9"/>
      <c r="B791" s="8"/>
      <c r="C791" s="8"/>
      <c r="D791" s="8"/>
      <c r="E791" s="8"/>
      <c r="F791" s="8"/>
      <c r="G791" s="8"/>
      <c r="H791" s="8"/>
      <c r="I791" s="10"/>
      <c r="J791" s="10"/>
      <c r="K791" s="11"/>
      <c r="L791" s="16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9"/>
      <c r="B792" s="8"/>
      <c r="C792" s="8"/>
      <c r="D792" s="8"/>
      <c r="E792" s="8"/>
      <c r="F792" s="8"/>
      <c r="G792" s="8"/>
      <c r="H792" s="8"/>
      <c r="I792" s="10"/>
      <c r="J792" s="10"/>
      <c r="K792" s="11"/>
      <c r="L792" s="16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9"/>
      <c r="B793" s="8"/>
      <c r="C793" s="8"/>
      <c r="D793" s="8"/>
      <c r="E793" s="8"/>
      <c r="F793" s="8"/>
      <c r="G793" s="8"/>
      <c r="H793" s="8"/>
      <c r="I793" s="10"/>
      <c r="J793" s="10"/>
      <c r="K793" s="11"/>
      <c r="L793" s="16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9"/>
      <c r="B794" s="8"/>
      <c r="C794" s="8"/>
      <c r="D794" s="8"/>
      <c r="E794" s="8"/>
      <c r="F794" s="8"/>
      <c r="G794" s="8"/>
      <c r="H794" s="8"/>
      <c r="I794" s="10"/>
      <c r="J794" s="10"/>
      <c r="K794" s="11"/>
      <c r="L794" s="16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9"/>
      <c r="B795" s="8"/>
      <c r="C795" s="8"/>
      <c r="D795" s="8"/>
      <c r="E795" s="8"/>
      <c r="F795" s="8"/>
      <c r="G795" s="8"/>
      <c r="H795" s="8"/>
      <c r="I795" s="10"/>
      <c r="J795" s="10"/>
      <c r="K795" s="11"/>
      <c r="L795" s="16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9"/>
      <c r="B796" s="8"/>
      <c r="C796" s="8"/>
      <c r="D796" s="8"/>
      <c r="E796" s="8"/>
      <c r="F796" s="8"/>
      <c r="G796" s="8"/>
      <c r="H796" s="8"/>
      <c r="I796" s="10"/>
      <c r="J796" s="10"/>
      <c r="K796" s="11"/>
      <c r="L796" s="16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9"/>
      <c r="B797" s="8"/>
      <c r="C797" s="8"/>
      <c r="D797" s="8"/>
      <c r="E797" s="8"/>
      <c r="F797" s="8"/>
      <c r="G797" s="8"/>
      <c r="H797" s="8"/>
      <c r="I797" s="10"/>
      <c r="J797" s="10"/>
      <c r="K797" s="11"/>
      <c r="L797" s="16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9"/>
      <c r="B798" s="8"/>
      <c r="C798" s="8"/>
      <c r="D798" s="8"/>
      <c r="E798" s="8"/>
      <c r="F798" s="8"/>
      <c r="G798" s="8"/>
      <c r="H798" s="8"/>
      <c r="I798" s="10"/>
      <c r="J798" s="10"/>
      <c r="K798" s="11"/>
      <c r="L798" s="16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9"/>
      <c r="B799" s="8"/>
      <c r="C799" s="8"/>
      <c r="D799" s="8"/>
      <c r="E799" s="8"/>
      <c r="F799" s="8"/>
      <c r="G799" s="8"/>
      <c r="H799" s="8"/>
      <c r="I799" s="10"/>
      <c r="J799" s="10"/>
      <c r="K799" s="11"/>
      <c r="L799" s="16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9"/>
      <c r="B800" s="8"/>
      <c r="C800" s="8"/>
      <c r="D800" s="8"/>
      <c r="E800" s="8"/>
      <c r="F800" s="8"/>
      <c r="G800" s="8"/>
      <c r="H800" s="8"/>
      <c r="I800" s="10"/>
      <c r="J800" s="10"/>
      <c r="K800" s="11"/>
      <c r="L800" s="16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9"/>
      <c r="B801" s="8"/>
      <c r="C801" s="8"/>
      <c r="D801" s="8"/>
      <c r="E801" s="8"/>
      <c r="F801" s="8"/>
      <c r="G801" s="8"/>
      <c r="H801" s="8"/>
      <c r="I801" s="10"/>
      <c r="J801" s="10"/>
      <c r="K801" s="11"/>
      <c r="L801" s="16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9"/>
      <c r="B802" s="8"/>
      <c r="C802" s="8"/>
      <c r="D802" s="8"/>
      <c r="E802" s="8"/>
      <c r="F802" s="8"/>
      <c r="G802" s="8"/>
      <c r="H802" s="8"/>
      <c r="I802" s="10"/>
      <c r="J802" s="10"/>
      <c r="K802" s="11"/>
      <c r="L802" s="17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9"/>
      <c r="B803" s="8"/>
      <c r="C803" s="8"/>
      <c r="D803" s="8"/>
      <c r="E803" s="8"/>
      <c r="F803" s="8"/>
      <c r="G803" s="8"/>
      <c r="H803" s="8"/>
      <c r="I803" s="10"/>
      <c r="J803" s="10"/>
      <c r="K803" s="11"/>
      <c r="L803" s="17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9"/>
      <c r="B804" s="8"/>
      <c r="C804" s="8"/>
      <c r="D804" s="8"/>
      <c r="E804" s="8"/>
      <c r="F804" s="8"/>
      <c r="G804" s="8"/>
      <c r="H804" s="8"/>
      <c r="I804" s="10"/>
      <c r="J804" s="10"/>
      <c r="K804" s="11"/>
      <c r="L804" s="17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9"/>
      <c r="B805" s="8"/>
      <c r="C805" s="8"/>
      <c r="D805" s="8"/>
      <c r="E805" s="8"/>
      <c r="F805" s="8"/>
      <c r="G805" s="8"/>
      <c r="H805" s="8"/>
      <c r="I805" s="10"/>
      <c r="J805" s="10"/>
      <c r="K805" s="11"/>
      <c r="L805" s="17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9"/>
      <c r="B806" s="8"/>
      <c r="C806" s="8"/>
      <c r="D806" s="8"/>
      <c r="E806" s="8"/>
      <c r="F806" s="8"/>
      <c r="G806" s="8"/>
      <c r="H806" s="8"/>
      <c r="I806" s="10"/>
      <c r="J806" s="10"/>
      <c r="K806" s="11"/>
      <c r="L806" s="17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9"/>
      <c r="B807" s="8"/>
      <c r="C807" s="8"/>
      <c r="D807" s="8"/>
      <c r="E807" s="8"/>
      <c r="F807" s="8"/>
      <c r="G807" s="8"/>
      <c r="H807" s="8"/>
      <c r="I807" s="10"/>
      <c r="J807" s="10"/>
      <c r="K807" s="11"/>
      <c r="L807" s="17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9"/>
      <c r="B808" s="8"/>
      <c r="C808" s="8"/>
      <c r="D808" s="8"/>
      <c r="E808" s="8"/>
      <c r="F808" s="8"/>
      <c r="G808" s="8"/>
      <c r="H808" s="8"/>
      <c r="I808" s="10"/>
      <c r="J808" s="10"/>
      <c r="K808" s="11"/>
      <c r="L808" s="17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9"/>
      <c r="B809" s="8"/>
      <c r="C809" s="8"/>
      <c r="D809" s="8"/>
      <c r="E809" s="8"/>
      <c r="F809" s="8"/>
      <c r="G809" s="8"/>
      <c r="H809" s="8"/>
      <c r="I809" s="10"/>
      <c r="J809" s="10"/>
      <c r="K809" s="11"/>
      <c r="L809" s="17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9"/>
      <c r="B810" s="8"/>
      <c r="C810" s="8"/>
      <c r="D810" s="8"/>
      <c r="E810" s="8"/>
      <c r="F810" s="8"/>
      <c r="G810" s="8"/>
      <c r="H810" s="8"/>
      <c r="I810" s="10"/>
      <c r="J810" s="10"/>
      <c r="K810" s="11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9"/>
      <c r="B811" s="8"/>
      <c r="C811" s="8"/>
      <c r="D811" s="8"/>
      <c r="E811" s="8"/>
      <c r="F811" s="8"/>
      <c r="G811" s="8"/>
      <c r="H811" s="8"/>
      <c r="I811" s="10"/>
      <c r="J811" s="10"/>
      <c r="K811" s="11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9"/>
      <c r="B812" s="8"/>
      <c r="C812" s="8"/>
      <c r="D812" s="8"/>
      <c r="E812" s="8"/>
      <c r="F812" s="8"/>
      <c r="G812" s="8"/>
      <c r="H812" s="8"/>
      <c r="I812" s="10"/>
      <c r="J812" s="10"/>
      <c r="K812" s="11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9"/>
      <c r="B813" s="8"/>
      <c r="C813" s="8"/>
      <c r="D813" s="8"/>
      <c r="E813" s="8"/>
      <c r="F813" s="8"/>
      <c r="G813" s="8"/>
      <c r="H813" s="8"/>
      <c r="I813" s="10"/>
      <c r="J813" s="10"/>
      <c r="K813" s="11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9"/>
      <c r="B814" s="8"/>
      <c r="C814" s="8"/>
      <c r="D814" s="8"/>
      <c r="E814" s="8"/>
      <c r="F814" s="8"/>
      <c r="G814" s="8"/>
      <c r="H814" s="8"/>
      <c r="I814" s="10"/>
      <c r="J814" s="10"/>
      <c r="K814" s="11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9"/>
      <c r="B815" s="8"/>
      <c r="C815" s="8"/>
      <c r="D815" s="8"/>
      <c r="E815" s="8"/>
      <c r="F815" s="8"/>
      <c r="G815" s="8"/>
      <c r="H815" s="8"/>
      <c r="I815" s="10"/>
      <c r="J815" s="10"/>
      <c r="K815" s="11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9"/>
      <c r="B816" s="8"/>
      <c r="C816" s="8"/>
      <c r="D816" s="8"/>
      <c r="E816" s="8"/>
      <c r="F816" s="8"/>
      <c r="G816" s="8"/>
      <c r="H816" s="8"/>
      <c r="I816" s="10"/>
      <c r="J816" s="10"/>
      <c r="K816" s="11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9"/>
      <c r="B817" s="8"/>
      <c r="C817" s="8"/>
      <c r="D817" s="8"/>
      <c r="E817" s="8"/>
      <c r="F817" s="8"/>
      <c r="G817" s="8"/>
      <c r="H817" s="8"/>
      <c r="I817" s="10"/>
      <c r="J817" s="10"/>
      <c r="K817" s="11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9"/>
      <c r="B818" s="8"/>
      <c r="C818" s="8"/>
      <c r="D818" s="8"/>
      <c r="E818" s="8"/>
      <c r="F818" s="8"/>
      <c r="G818" s="8"/>
      <c r="H818" s="8"/>
      <c r="I818" s="10"/>
      <c r="J818" s="10"/>
      <c r="K818" s="11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9"/>
      <c r="B819" s="8"/>
      <c r="C819" s="8"/>
      <c r="D819" s="8"/>
      <c r="E819" s="8"/>
      <c r="F819" s="8"/>
      <c r="G819" s="8"/>
      <c r="H819" s="8"/>
      <c r="I819" s="10"/>
      <c r="J819" s="10"/>
      <c r="K819" s="18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9"/>
      <c r="B820" s="8"/>
      <c r="C820" s="8"/>
      <c r="D820" s="8"/>
      <c r="E820" s="8"/>
      <c r="F820" s="8"/>
      <c r="G820" s="8"/>
      <c r="H820" s="8"/>
      <c r="I820" s="10"/>
      <c r="J820" s="10"/>
      <c r="K820" s="18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9"/>
      <c r="B821" s="8"/>
      <c r="C821" s="8"/>
      <c r="D821" s="8"/>
      <c r="E821" s="8"/>
      <c r="F821" s="8"/>
      <c r="G821" s="8"/>
      <c r="H821" s="8"/>
      <c r="I821" s="10"/>
      <c r="J821" s="10"/>
      <c r="K821" s="18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9"/>
      <c r="B822" s="8"/>
      <c r="C822" s="8"/>
      <c r="D822" s="8"/>
      <c r="E822" s="8"/>
      <c r="F822" s="8"/>
      <c r="G822" s="8"/>
      <c r="H822" s="8"/>
      <c r="I822" s="10"/>
      <c r="J822" s="10"/>
      <c r="K822" s="18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9"/>
      <c r="B823" s="8"/>
      <c r="C823" s="8"/>
      <c r="D823" s="8"/>
      <c r="E823" s="8"/>
      <c r="F823" s="8"/>
      <c r="G823" s="8"/>
      <c r="H823" s="8"/>
      <c r="I823" s="10"/>
      <c r="J823" s="10"/>
      <c r="K823" s="18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9"/>
      <c r="B824" s="8"/>
      <c r="C824" s="8"/>
      <c r="D824" s="8"/>
      <c r="E824" s="8"/>
      <c r="F824" s="8"/>
      <c r="G824" s="8"/>
      <c r="H824" s="8"/>
      <c r="I824" s="10"/>
      <c r="J824" s="10"/>
      <c r="K824" s="18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9"/>
      <c r="B825" s="8"/>
      <c r="C825" s="8"/>
      <c r="D825" s="8"/>
      <c r="E825" s="8"/>
      <c r="F825" s="8"/>
      <c r="G825" s="8"/>
      <c r="H825" s="8"/>
      <c r="I825" s="10"/>
      <c r="J825" s="10"/>
      <c r="K825" s="18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9"/>
      <c r="B826" s="8"/>
      <c r="C826" s="8"/>
      <c r="D826" s="8"/>
      <c r="E826" s="8"/>
      <c r="F826" s="8"/>
      <c r="G826" s="8"/>
      <c r="H826" s="8"/>
      <c r="I826" s="10"/>
      <c r="J826" s="10"/>
      <c r="K826" s="18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9"/>
      <c r="B827" s="8"/>
      <c r="C827" s="8"/>
      <c r="D827" s="8"/>
      <c r="E827" s="8"/>
      <c r="F827" s="8"/>
      <c r="G827" s="8"/>
      <c r="H827" s="8"/>
      <c r="I827" s="10"/>
      <c r="J827" s="10"/>
      <c r="K827" s="18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9"/>
      <c r="B828" s="8"/>
      <c r="C828" s="8"/>
      <c r="D828" s="8"/>
      <c r="E828" s="8"/>
      <c r="F828" s="8"/>
      <c r="G828" s="8"/>
      <c r="H828" s="8"/>
      <c r="I828" s="10"/>
      <c r="J828" s="10"/>
      <c r="K828" s="18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9"/>
      <c r="B829" s="8"/>
      <c r="C829" s="8"/>
      <c r="D829" s="8"/>
      <c r="E829" s="8"/>
      <c r="F829" s="8"/>
      <c r="G829" s="8"/>
      <c r="H829" s="8"/>
      <c r="I829" s="10"/>
      <c r="J829" s="10"/>
      <c r="K829" s="18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9"/>
      <c r="B830" s="8"/>
      <c r="C830" s="8"/>
      <c r="D830" s="8"/>
      <c r="E830" s="8"/>
      <c r="F830" s="8"/>
      <c r="G830" s="8"/>
      <c r="H830" s="8"/>
      <c r="I830" s="10"/>
      <c r="J830" s="10"/>
      <c r="K830" s="18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9"/>
      <c r="B831" s="8"/>
      <c r="C831" s="8"/>
      <c r="D831" s="8"/>
      <c r="E831" s="8"/>
      <c r="F831" s="8"/>
      <c r="G831" s="8"/>
      <c r="H831" s="8"/>
      <c r="I831" s="10"/>
      <c r="J831" s="10"/>
      <c r="K831" s="18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9"/>
      <c r="B832" s="8"/>
      <c r="C832" s="8"/>
      <c r="D832" s="8"/>
      <c r="E832" s="8"/>
      <c r="F832" s="8"/>
      <c r="G832" s="8"/>
      <c r="H832" s="8"/>
      <c r="I832" s="10"/>
      <c r="J832" s="10"/>
      <c r="K832" s="18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9"/>
      <c r="B833" s="8"/>
      <c r="C833" s="8"/>
      <c r="D833" s="8"/>
      <c r="E833" s="8"/>
      <c r="F833" s="8"/>
      <c r="G833" s="8"/>
      <c r="H833" s="8"/>
      <c r="I833" s="10"/>
      <c r="J833" s="10"/>
      <c r="K833" s="18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9"/>
      <c r="B834" s="8"/>
      <c r="C834" s="8"/>
      <c r="D834" s="8"/>
      <c r="E834" s="8"/>
      <c r="F834" s="8"/>
      <c r="G834" s="8"/>
      <c r="H834" s="8"/>
      <c r="I834" s="10"/>
      <c r="J834" s="10"/>
      <c r="K834" s="18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9"/>
      <c r="B835" s="8"/>
      <c r="C835" s="8"/>
      <c r="D835" s="8"/>
      <c r="E835" s="8"/>
      <c r="F835" s="8"/>
      <c r="G835" s="8"/>
      <c r="H835" s="8"/>
      <c r="I835" s="10"/>
      <c r="J835" s="10"/>
      <c r="K835" s="18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9"/>
      <c r="B836" s="8"/>
      <c r="C836" s="8"/>
      <c r="D836" s="8"/>
      <c r="E836" s="8"/>
      <c r="F836" s="8"/>
      <c r="G836" s="8"/>
      <c r="H836" s="8"/>
      <c r="I836" s="10"/>
      <c r="J836" s="10"/>
      <c r="K836" s="18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9"/>
      <c r="B837" s="8"/>
      <c r="C837" s="8"/>
      <c r="D837" s="8"/>
      <c r="E837" s="8"/>
      <c r="F837" s="8"/>
      <c r="G837" s="8"/>
      <c r="H837" s="8"/>
      <c r="I837" s="10"/>
      <c r="J837" s="10"/>
      <c r="K837" s="18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9"/>
      <c r="B838" s="8"/>
      <c r="C838" s="8"/>
      <c r="D838" s="8"/>
      <c r="E838" s="8"/>
      <c r="F838" s="8"/>
      <c r="G838" s="8"/>
      <c r="H838" s="8"/>
      <c r="I838" s="10"/>
      <c r="J838" s="10"/>
      <c r="K838" s="18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9"/>
      <c r="B839" s="8"/>
      <c r="C839" s="8"/>
      <c r="D839" s="8"/>
      <c r="E839" s="8"/>
      <c r="F839" s="8"/>
      <c r="G839" s="8"/>
      <c r="H839" s="8"/>
      <c r="I839" s="10"/>
      <c r="J839" s="10"/>
      <c r="K839" s="18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9"/>
      <c r="B840" s="8"/>
      <c r="C840" s="8"/>
      <c r="D840" s="8"/>
      <c r="E840" s="8"/>
      <c r="F840" s="8"/>
      <c r="G840" s="8"/>
      <c r="H840" s="8"/>
      <c r="I840" s="10"/>
      <c r="J840" s="10"/>
      <c r="K840" s="18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9"/>
      <c r="B841" s="8"/>
      <c r="C841" s="8"/>
      <c r="D841" s="8"/>
      <c r="E841" s="8"/>
      <c r="F841" s="8"/>
      <c r="G841" s="8"/>
      <c r="H841" s="8"/>
      <c r="I841" s="10"/>
      <c r="J841" s="10"/>
      <c r="K841" s="18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9"/>
      <c r="B842" s="8"/>
      <c r="C842" s="8"/>
      <c r="D842" s="8"/>
      <c r="E842" s="8"/>
      <c r="F842" s="8"/>
      <c r="G842" s="8"/>
      <c r="H842" s="8"/>
      <c r="I842" s="10"/>
      <c r="J842" s="10"/>
      <c r="K842" s="18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9"/>
      <c r="B843" s="8"/>
      <c r="C843" s="8"/>
      <c r="D843" s="8"/>
      <c r="E843" s="8"/>
      <c r="F843" s="8"/>
      <c r="G843" s="8"/>
      <c r="H843" s="8"/>
      <c r="I843" s="10"/>
      <c r="J843" s="10"/>
      <c r="K843" s="18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9"/>
      <c r="B844" s="8"/>
      <c r="C844" s="8"/>
      <c r="D844" s="8"/>
      <c r="E844" s="8"/>
      <c r="F844" s="8"/>
      <c r="G844" s="8"/>
      <c r="H844" s="8"/>
      <c r="I844" s="10"/>
      <c r="J844" s="10"/>
      <c r="K844" s="18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9"/>
      <c r="B845" s="8"/>
      <c r="C845" s="8"/>
      <c r="D845" s="8"/>
      <c r="E845" s="8"/>
      <c r="F845" s="8"/>
      <c r="G845" s="8"/>
      <c r="H845" s="8"/>
      <c r="I845" s="10"/>
      <c r="J845" s="10"/>
      <c r="K845" s="18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9"/>
      <c r="B846" s="8"/>
      <c r="C846" s="8"/>
      <c r="D846" s="8"/>
      <c r="E846" s="8"/>
      <c r="F846" s="8"/>
      <c r="G846" s="8"/>
      <c r="H846" s="8"/>
      <c r="I846" s="10"/>
      <c r="J846" s="10"/>
      <c r="K846" s="18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9"/>
      <c r="B847" s="8"/>
      <c r="C847" s="8"/>
      <c r="D847" s="8"/>
      <c r="E847" s="8"/>
      <c r="F847" s="8"/>
      <c r="G847" s="8"/>
      <c r="H847" s="8"/>
      <c r="I847" s="10"/>
      <c r="J847" s="10"/>
      <c r="K847" s="18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9"/>
      <c r="B848" s="8"/>
      <c r="C848" s="8"/>
      <c r="D848" s="8"/>
      <c r="E848" s="8"/>
      <c r="F848" s="8"/>
      <c r="G848" s="8"/>
      <c r="H848" s="8"/>
      <c r="I848" s="10"/>
      <c r="J848" s="10"/>
      <c r="K848" s="18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9"/>
      <c r="B849" s="8"/>
      <c r="C849" s="8"/>
      <c r="D849" s="8"/>
      <c r="E849" s="8"/>
      <c r="F849" s="8"/>
      <c r="G849" s="8"/>
      <c r="H849" s="8"/>
      <c r="I849" s="10"/>
      <c r="J849" s="10"/>
      <c r="K849" s="18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9"/>
      <c r="B850" s="8"/>
      <c r="C850" s="8"/>
      <c r="D850" s="8"/>
      <c r="E850" s="8"/>
      <c r="F850" s="8"/>
      <c r="G850" s="8"/>
      <c r="H850" s="8"/>
      <c r="I850" s="10"/>
      <c r="J850" s="10"/>
      <c r="K850" s="18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9"/>
      <c r="B851" s="8"/>
      <c r="C851" s="8"/>
      <c r="D851" s="8"/>
      <c r="E851" s="8"/>
      <c r="F851" s="8"/>
      <c r="G851" s="8"/>
      <c r="H851" s="8"/>
      <c r="I851" s="10"/>
      <c r="J851" s="10"/>
      <c r="K851" s="18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9"/>
      <c r="B852" s="8"/>
      <c r="C852" s="8"/>
      <c r="D852" s="8"/>
      <c r="E852" s="8"/>
      <c r="F852" s="8"/>
      <c r="G852" s="8"/>
      <c r="H852" s="8"/>
      <c r="I852" s="10"/>
      <c r="J852" s="10"/>
      <c r="K852" s="18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9"/>
      <c r="B853" s="8"/>
      <c r="C853" s="8"/>
      <c r="D853" s="8"/>
      <c r="E853" s="8"/>
      <c r="F853" s="8"/>
      <c r="G853" s="8"/>
      <c r="H853" s="8"/>
      <c r="I853" s="10"/>
      <c r="J853" s="10"/>
      <c r="K853" s="18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9"/>
      <c r="B854" s="8"/>
      <c r="C854" s="8"/>
      <c r="D854" s="8"/>
      <c r="E854" s="8"/>
      <c r="F854" s="8"/>
      <c r="G854" s="8"/>
      <c r="H854" s="8"/>
      <c r="I854" s="10"/>
      <c r="J854" s="10"/>
      <c r="K854" s="18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9"/>
      <c r="B855" s="8"/>
      <c r="C855" s="8"/>
      <c r="D855" s="8"/>
      <c r="E855" s="8"/>
      <c r="F855" s="8"/>
      <c r="G855" s="8"/>
      <c r="H855" s="8"/>
      <c r="I855" s="10"/>
      <c r="J855" s="10"/>
      <c r="K855" s="18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9"/>
      <c r="B856" s="8"/>
      <c r="C856" s="8"/>
      <c r="D856" s="8"/>
      <c r="E856" s="8"/>
      <c r="F856" s="8"/>
      <c r="G856" s="8"/>
      <c r="H856" s="8"/>
      <c r="I856" s="10"/>
      <c r="J856" s="10"/>
      <c r="K856" s="18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9"/>
      <c r="B857" s="8"/>
      <c r="C857" s="8"/>
      <c r="D857" s="8"/>
      <c r="E857" s="8"/>
      <c r="F857" s="8"/>
      <c r="G857" s="8"/>
      <c r="H857" s="8"/>
      <c r="I857" s="10"/>
      <c r="J857" s="10"/>
      <c r="K857" s="18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9"/>
      <c r="B858" s="8"/>
      <c r="C858" s="8"/>
      <c r="D858" s="8"/>
      <c r="E858" s="8"/>
      <c r="F858" s="8"/>
      <c r="G858" s="8"/>
      <c r="H858" s="8"/>
      <c r="I858" s="10"/>
      <c r="J858" s="10"/>
      <c r="K858" s="18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9"/>
      <c r="B859" s="8"/>
      <c r="C859" s="8"/>
      <c r="D859" s="8"/>
      <c r="E859" s="8"/>
      <c r="F859" s="8"/>
      <c r="G859" s="8"/>
      <c r="H859" s="8"/>
      <c r="I859" s="10"/>
      <c r="J859" s="10"/>
      <c r="K859" s="18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9"/>
      <c r="B860" s="8"/>
      <c r="C860" s="8"/>
      <c r="D860" s="8"/>
      <c r="E860" s="8"/>
      <c r="F860" s="8"/>
      <c r="G860" s="8"/>
      <c r="H860" s="8"/>
      <c r="I860" s="10"/>
      <c r="J860" s="10"/>
      <c r="K860" s="18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9"/>
      <c r="B861" s="8"/>
      <c r="C861" s="8"/>
      <c r="D861" s="8"/>
      <c r="E861" s="8"/>
      <c r="F861" s="8"/>
      <c r="G861" s="8"/>
      <c r="H861" s="8"/>
      <c r="I861" s="10"/>
      <c r="J861" s="10"/>
      <c r="K861" s="18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9"/>
      <c r="B862" s="8"/>
      <c r="C862" s="8"/>
      <c r="D862" s="8"/>
      <c r="E862" s="8"/>
      <c r="F862" s="8"/>
      <c r="G862" s="8"/>
      <c r="H862" s="8"/>
      <c r="I862" s="10"/>
      <c r="J862" s="10"/>
      <c r="K862" s="18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9"/>
      <c r="B863" s="8"/>
      <c r="C863" s="8"/>
      <c r="D863" s="8"/>
      <c r="E863" s="8"/>
      <c r="F863" s="8"/>
      <c r="G863" s="8"/>
      <c r="H863" s="8"/>
      <c r="I863" s="10"/>
      <c r="J863" s="10"/>
      <c r="K863" s="18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9"/>
      <c r="B864" s="8"/>
      <c r="C864" s="8"/>
      <c r="D864" s="8"/>
      <c r="E864" s="8"/>
      <c r="F864" s="8"/>
      <c r="G864" s="8"/>
      <c r="H864" s="8"/>
      <c r="I864" s="10"/>
      <c r="J864" s="10"/>
      <c r="K864" s="18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9"/>
      <c r="B865" s="8"/>
      <c r="C865" s="8"/>
      <c r="D865" s="8"/>
      <c r="E865" s="8"/>
      <c r="F865" s="8"/>
      <c r="G865" s="8"/>
      <c r="H865" s="8"/>
      <c r="I865" s="10"/>
      <c r="J865" s="10"/>
      <c r="K865" s="18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9"/>
      <c r="B866" s="8"/>
      <c r="C866" s="8"/>
      <c r="D866" s="8"/>
      <c r="E866" s="8"/>
      <c r="F866" s="8"/>
      <c r="G866" s="8"/>
      <c r="H866" s="8"/>
      <c r="I866" s="10"/>
      <c r="J866" s="10"/>
      <c r="K866" s="18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9"/>
      <c r="B867" s="8"/>
      <c r="C867" s="8"/>
      <c r="D867" s="8"/>
      <c r="E867" s="8"/>
      <c r="F867" s="8"/>
      <c r="G867" s="8"/>
      <c r="H867" s="8"/>
      <c r="I867" s="10"/>
      <c r="J867" s="10"/>
      <c r="K867" s="18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9"/>
      <c r="B868" s="8"/>
      <c r="C868" s="8"/>
      <c r="D868" s="8"/>
      <c r="E868" s="8"/>
      <c r="F868" s="8"/>
      <c r="G868" s="8"/>
      <c r="H868" s="8"/>
      <c r="I868" s="10"/>
      <c r="J868" s="10"/>
      <c r="K868" s="18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9"/>
      <c r="B869" s="8"/>
      <c r="C869" s="8"/>
      <c r="D869" s="8"/>
      <c r="E869" s="8"/>
      <c r="F869" s="8"/>
      <c r="G869" s="8"/>
      <c r="H869" s="8"/>
      <c r="I869" s="10"/>
      <c r="J869" s="10"/>
      <c r="K869" s="18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9"/>
      <c r="B870" s="8"/>
      <c r="C870" s="8"/>
      <c r="D870" s="8"/>
      <c r="E870" s="8"/>
      <c r="F870" s="8"/>
      <c r="G870" s="8"/>
      <c r="H870" s="8"/>
      <c r="I870" s="10"/>
      <c r="J870" s="10"/>
      <c r="K870" s="18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9"/>
      <c r="B871" s="8"/>
      <c r="C871" s="8"/>
      <c r="D871" s="8"/>
      <c r="E871" s="8"/>
      <c r="F871" s="8"/>
      <c r="G871" s="8"/>
      <c r="H871" s="8"/>
      <c r="I871" s="10"/>
      <c r="J871" s="10"/>
      <c r="K871" s="18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9"/>
      <c r="B872" s="8"/>
      <c r="C872" s="8"/>
      <c r="D872" s="8"/>
      <c r="E872" s="8"/>
      <c r="F872" s="8"/>
      <c r="G872" s="8"/>
      <c r="H872" s="8"/>
      <c r="I872" s="10"/>
      <c r="J872" s="10"/>
      <c r="K872" s="18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9"/>
      <c r="B873" s="8"/>
      <c r="C873" s="8"/>
      <c r="D873" s="8"/>
      <c r="E873" s="8"/>
      <c r="F873" s="8"/>
      <c r="G873" s="8"/>
      <c r="H873" s="8"/>
      <c r="I873" s="10"/>
      <c r="J873" s="10"/>
      <c r="K873" s="18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9"/>
      <c r="B874" s="8"/>
      <c r="C874" s="8"/>
      <c r="D874" s="8"/>
      <c r="E874" s="8"/>
      <c r="F874" s="8"/>
      <c r="G874" s="8"/>
      <c r="H874" s="8"/>
      <c r="I874" s="10"/>
      <c r="J874" s="10"/>
      <c r="K874" s="18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9"/>
      <c r="B875" s="8"/>
      <c r="C875" s="8"/>
      <c r="D875" s="8"/>
      <c r="E875" s="8"/>
      <c r="F875" s="8"/>
      <c r="G875" s="8"/>
      <c r="H875" s="8"/>
      <c r="I875" s="10"/>
      <c r="J875" s="10"/>
      <c r="K875" s="18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9"/>
      <c r="B876" s="8"/>
      <c r="C876" s="8"/>
      <c r="D876" s="8"/>
      <c r="E876" s="8"/>
      <c r="F876" s="8"/>
      <c r="G876" s="8"/>
      <c r="H876" s="8"/>
      <c r="I876" s="10"/>
      <c r="J876" s="10"/>
      <c r="K876" s="18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9"/>
      <c r="B877" s="8"/>
      <c r="C877" s="8"/>
      <c r="D877" s="8"/>
      <c r="E877" s="8"/>
      <c r="F877" s="8"/>
      <c r="G877" s="8"/>
      <c r="H877" s="8"/>
      <c r="I877" s="10"/>
      <c r="J877" s="10"/>
      <c r="K877" s="18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9"/>
      <c r="B878" s="8"/>
      <c r="C878" s="8"/>
      <c r="D878" s="8"/>
      <c r="E878" s="8"/>
      <c r="F878" s="8"/>
      <c r="G878" s="8"/>
      <c r="H878" s="8"/>
      <c r="I878" s="10"/>
      <c r="J878" s="10"/>
      <c r="K878" s="18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9"/>
      <c r="B879" s="8"/>
      <c r="C879" s="8"/>
      <c r="D879" s="8"/>
      <c r="E879" s="8"/>
      <c r="F879" s="8"/>
      <c r="G879" s="8"/>
      <c r="H879" s="8"/>
      <c r="I879" s="10"/>
      <c r="J879" s="10"/>
      <c r="K879" s="18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9"/>
      <c r="B880" s="8"/>
      <c r="C880" s="8"/>
      <c r="D880" s="8"/>
      <c r="E880" s="8"/>
      <c r="F880" s="8"/>
      <c r="G880" s="8"/>
      <c r="H880" s="8"/>
      <c r="I880" s="10"/>
      <c r="J880" s="10"/>
      <c r="K880" s="18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9"/>
      <c r="B881" s="8"/>
      <c r="C881" s="8"/>
      <c r="D881" s="8"/>
      <c r="E881" s="8"/>
      <c r="F881" s="8"/>
      <c r="G881" s="8"/>
      <c r="H881" s="8"/>
      <c r="I881" s="10"/>
      <c r="J881" s="10"/>
      <c r="K881" s="18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9"/>
      <c r="B882" s="8"/>
      <c r="C882" s="8"/>
      <c r="D882" s="8"/>
      <c r="E882" s="8"/>
      <c r="F882" s="8"/>
      <c r="G882" s="8"/>
      <c r="H882" s="8"/>
      <c r="I882" s="10"/>
      <c r="J882" s="10"/>
      <c r="K882" s="18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9"/>
      <c r="B883" s="8"/>
      <c r="C883" s="8"/>
      <c r="D883" s="8"/>
      <c r="E883" s="8"/>
      <c r="F883" s="8"/>
      <c r="G883" s="8"/>
      <c r="H883" s="8"/>
      <c r="I883" s="10"/>
      <c r="J883" s="10"/>
      <c r="K883" s="18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9"/>
      <c r="B884" s="8"/>
      <c r="C884" s="8"/>
      <c r="D884" s="8"/>
      <c r="E884" s="8"/>
      <c r="F884" s="8"/>
      <c r="G884" s="8"/>
      <c r="H884" s="8"/>
      <c r="I884" s="10"/>
      <c r="J884" s="10"/>
      <c r="K884" s="18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9"/>
      <c r="B885" s="8"/>
      <c r="C885" s="8"/>
      <c r="D885" s="8"/>
      <c r="E885" s="8"/>
      <c r="F885" s="8"/>
      <c r="G885" s="8"/>
      <c r="H885" s="8"/>
      <c r="I885" s="10"/>
      <c r="J885" s="10"/>
      <c r="K885" s="18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9"/>
      <c r="B886" s="8"/>
      <c r="C886" s="8"/>
      <c r="D886" s="8"/>
      <c r="E886" s="8"/>
      <c r="F886" s="8"/>
      <c r="G886" s="8"/>
      <c r="H886" s="8"/>
      <c r="I886" s="10"/>
      <c r="J886" s="10"/>
      <c r="K886" s="18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9"/>
      <c r="B887" s="8"/>
      <c r="C887" s="8"/>
      <c r="D887" s="8"/>
      <c r="E887" s="8"/>
      <c r="F887" s="8"/>
      <c r="G887" s="8"/>
      <c r="H887" s="8"/>
      <c r="I887" s="10"/>
      <c r="J887" s="10"/>
      <c r="K887" s="18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9"/>
      <c r="B888" s="8"/>
      <c r="C888" s="8"/>
      <c r="D888" s="8"/>
      <c r="E888" s="8"/>
      <c r="F888" s="8"/>
      <c r="G888" s="8"/>
      <c r="H888" s="8"/>
      <c r="I888" s="10"/>
      <c r="J888" s="10"/>
      <c r="K888" s="18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9"/>
      <c r="B889" s="8"/>
      <c r="C889" s="8"/>
      <c r="D889" s="8"/>
      <c r="E889" s="8"/>
      <c r="F889" s="8"/>
      <c r="G889" s="8"/>
      <c r="H889" s="8"/>
      <c r="I889" s="10"/>
      <c r="J889" s="10"/>
      <c r="K889" s="18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9"/>
      <c r="B890" s="8"/>
      <c r="C890" s="8"/>
      <c r="D890" s="8"/>
      <c r="E890" s="8"/>
      <c r="F890" s="8"/>
      <c r="G890" s="8"/>
      <c r="H890" s="8"/>
      <c r="I890" s="10"/>
      <c r="J890" s="10"/>
      <c r="K890" s="18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9"/>
      <c r="B891" s="8"/>
      <c r="C891" s="8"/>
      <c r="D891" s="8"/>
      <c r="E891" s="8"/>
      <c r="F891" s="8"/>
      <c r="G891" s="8"/>
      <c r="H891" s="8"/>
      <c r="I891" s="10"/>
      <c r="J891" s="10"/>
      <c r="K891" s="18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9"/>
      <c r="B892" s="8"/>
      <c r="C892" s="8"/>
      <c r="D892" s="8"/>
      <c r="E892" s="8"/>
      <c r="F892" s="8"/>
      <c r="G892" s="8"/>
      <c r="H892" s="8"/>
      <c r="I892" s="10"/>
      <c r="J892" s="10"/>
      <c r="K892" s="18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9"/>
      <c r="B893" s="8"/>
      <c r="C893" s="8"/>
      <c r="D893" s="8"/>
      <c r="E893" s="8"/>
      <c r="F893" s="8"/>
      <c r="G893" s="8"/>
      <c r="H893" s="8"/>
      <c r="I893" s="10"/>
      <c r="J893" s="10"/>
      <c r="K893" s="18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9"/>
      <c r="B894" s="8"/>
      <c r="C894" s="8"/>
      <c r="D894" s="8"/>
      <c r="E894" s="8"/>
      <c r="F894" s="8"/>
      <c r="G894" s="8"/>
      <c r="H894" s="8"/>
      <c r="I894" s="10"/>
      <c r="J894" s="10"/>
      <c r="K894" s="18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9"/>
      <c r="B895" s="8"/>
      <c r="C895" s="8"/>
      <c r="D895" s="8"/>
      <c r="E895" s="8"/>
      <c r="F895" s="8"/>
      <c r="G895" s="8"/>
      <c r="H895" s="8"/>
      <c r="I895" s="10"/>
      <c r="J895" s="10"/>
      <c r="K895" s="18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9"/>
      <c r="B896" s="8"/>
      <c r="C896" s="8"/>
      <c r="D896" s="8"/>
      <c r="E896" s="8"/>
      <c r="F896" s="8"/>
      <c r="G896" s="8"/>
      <c r="H896" s="8"/>
      <c r="I896" s="10"/>
      <c r="J896" s="10"/>
      <c r="K896" s="18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9"/>
      <c r="B897" s="8"/>
      <c r="C897" s="8"/>
      <c r="D897" s="8"/>
      <c r="E897" s="8"/>
      <c r="F897" s="8"/>
      <c r="G897" s="8"/>
      <c r="H897" s="8"/>
      <c r="I897" s="10"/>
      <c r="J897" s="10"/>
      <c r="K897" s="18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9"/>
      <c r="B898" s="8"/>
      <c r="C898" s="8"/>
      <c r="D898" s="8"/>
      <c r="E898" s="8"/>
      <c r="F898" s="8"/>
      <c r="G898" s="8"/>
      <c r="H898" s="8"/>
      <c r="I898" s="10"/>
      <c r="J898" s="10"/>
      <c r="K898" s="18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9"/>
      <c r="B899" s="8"/>
      <c r="C899" s="8"/>
      <c r="D899" s="8"/>
      <c r="E899" s="8"/>
      <c r="F899" s="8"/>
      <c r="G899" s="8"/>
      <c r="H899" s="8"/>
      <c r="I899" s="10"/>
      <c r="J899" s="10"/>
      <c r="K899" s="18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9"/>
      <c r="B900" s="8"/>
      <c r="C900" s="8"/>
      <c r="D900" s="8"/>
      <c r="E900" s="8"/>
      <c r="F900" s="8"/>
      <c r="G900" s="8"/>
      <c r="H900" s="8"/>
      <c r="I900" s="10"/>
      <c r="J900" s="10"/>
      <c r="K900" s="18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9"/>
      <c r="B901" s="8"/>
      <c r="C901" s="8"/>
      <c r="D901" s="8"/>
      <c r="E901" s="8"/>
      <c r="F901" s="8"/>
      <c r="G901" s="8"/>
      <c r="H901" s="8"/>
      <c r="I901" s="10"/>
      <c r="J901" s="10"/>
      <c r="K901" s="18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9"/>
      <c r="B902" s="8"/>
      <c r="C902" s="8"/>
      <c r="D902" s="8"/>
      <c r="E902" s="8"/>
      <c r="F902" s="8"/>
      <c r="G902" s="8"/>
      <c r="H902" s="8"/>
      <c r="I902" s="10"/>
      <c r="J902" s="10"/>
      <c r="K902" s="18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9"/>
      <c r="B903" s="8"/>
      <c r="C903" s="8"/>
      <c r="D903" s="8"/>
      <c r="E903" s="8"/>
      <c r="F903" s="8"/>
      <c r="G903" s="8"/>
      <c r="H903" s="8"/>
      <c r="I903" s="10"/>
      <c r="J903" s="10"/>
      <c r="K903" s="18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9"/>
      <c r="B904" s="8"/>
      <c r="C904" s="8"/>
      <c r="D904" s="8"/>
      <c r="E904" s="8"/>
      <c r="F904" s="8"/>
      <c r="G904" s="8"/>
      <c r="H904" s="8"/>
      <c r="I904" s="10"/>
      <c r="J904" s="10"/>
      <c r="K904" s="18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9"/>
      <c r="B905" s="8"/>
      <c r="C905" s="8"/>
      <c r="D905" s="8"/>
      <c r="E905" s="8"/>
      <c r="F905" s="8"/>
      <c r="G905" s="8"/>
      <c r="H905" s="8"/>
      <c r="I905" s="10"/>
      <c r="J905" s="10"/>
      <c r="K905" s="18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9"/>
      <c r="B906" s="8"/>
      <c r="C906" s="8"/>
      <c r="D906" s="8"/>
      <c r="E906" s="8"/>
      <c r="F906" s="8"/>
      <c r="G906" s="8"/>
      <c r="H906" s="8"/>
      <c r="I906" s="10"/>
      <c r="J906" s="10"/>
      <c r="K906" s="18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9"/>
      <c r="B907" s="8"/>
      <c r="C907" s="8"/>
      <c r="D907" s="8"/>
      <c r="E907" s="8"/>
      <c r="F907" s="8"/>
      <c r="G907" s="8"/>
      <c r="H907" s="8"/>
      <c r="I907" s="10"/>
      <c r="J907" s="10"/>
      <c r="K907" s="18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9"/>
      <c r="B908" s="8"/>
      <c r="C908" s="8"/>
      <c r="D908" s="8"/>
      <c r="E908" s="8"/>
      <c r="F908" s="8"/>
      <c r="G908" s="8"/>
      <c r="H908" s="8"/>
      <c r="I908" s="10"/>
      <c r="J908" s="10"/>
      <c r="K908" s="18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9"/>
      <c r="B909" s="8"/>
      <c r="C909" s="8"/>
      <c r="D909" s="8"/>
      <c r="E909" s="8"/>
      <c r="F909" s="8"/>
      <c r="G909" s="8"/>
      <c r="H909" s="8"/>
      <c r="I909" s="10"/>
      <c r="J909" s="10"/>
      <c r="K909" s="18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9"/>
      <c r="B910" s="8"/>
      <c r="C910" s="8"/>
      <c r="D910" s="8"/>
      <c r="E910" s="8"/>
      <c r="F910" s="8"/>
      <c r="G910" s="8"/>
      <c r="H910" s="8"/>
      <c r="I910" s="10"/>
      <c r="J910" s="10"/>
      <c r="K910" s="18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9"/>
      <c r="B911" s="8"/>
      <c r="C911" s="8"/>
      <c r="D911" s="8"/>
      <c r="E911" s="8"/>
      <c r="F911" s="8"/>
      <c r="G911" s="8"/>
      <c r="H911" s="8"/>
      <c r="I911" s="10"/>
      <c r="J911" s="10"/>
      <c r="K911" s="18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9"/>
      <c r="B912" s="8"/>
      <c r="C912" s="8"/>
      <c r="D912" s="8"/>
      <c r="E912" s="8"/>
      <c r="F912" s="8"/>
      <c r="G912" s="8"/>
      <c r="H912" s="8"/>
      <c r="I912" s="10"/>
      <c r="J912" s="10"/>
      <c r="K912" s="18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9"/>
      <c r="B913" s="8"/>
      <c r="C913" s="8"/>
      <c r="D913" s="8"/>
      <c r="E913" s="8"/>
      <c r="F913" s="8"/>
      <c r="G913" s="8"/>
      <c r="H913" s="8"/>
      <c r="I913" s="10"/>
      <c r="J913" s="10"/>
      <c r="K913" s="18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9"/>
      <c r="B914" s="8"/>
      <c r="C914" s="8"/>
      <c r="D914" s="8"/>
      <c r="E914" s="8"/>
      <c r="F914" s="8"/>
      <c r="G914" s="8"/>
      <c r="H914" s="8"/>
      <c r="I914" s="10"/>
      <c r="J914" s="10"/>
      <c r="K914" s="18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9"/>
      <c r="B915" s="8"/>
      <c r="C915" s="8"/>
      <c r="D915" s="8"/>
      <c r="E915" s="8"/>
      <c r="F915" s="8"/>
      <c r="G915" s="8"/>
      <c r="H915" s="8"/>
      <c r="I915" s="10"/>
      <c r="J915" s="10"/>
      <c r="K915" s="18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9"/>
      <c r="B916" s="8"/>
      <c r="C916" s="8"/>
      <c r="D916" s="8"/>
      <c r="E916" s="8"/>
      <c r="F916" s="8"/>
      <c r="G916" s="8"/>
      <c r="H916" s="8"/>
      <c r="I916" s="10"/>
      <c r="J916" s="10"/>
      <c r="K916" s="18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9"/>
      <c r="B917" s="8"/>
      <c r="C917" s="8"/>
      <c r="D917" s="8"/>
      <c r="E917" s="8"/>
      <c r="F917" s="8"/>
      <c r="G917" s="8"/>
      <c r="H917" s="8"/>
      <c r="I917" s="10"/>
      <c r="J917" s="10"/>
      <c r="K917" s="18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9"/>
      <c r="B918" s="8"/>
      <c r="C918" s="8"/>
      <c r="D918" s="8"/>
      <c r="E918" s="8"/>
      <c r="F918" s="8"/>
      <c r="G918" s="8"/>
      <c r="H918" s="8"/>
      <c r="I918" s="10"/>
      <c r="J918" s="10"/>
      <c r="K918" s="18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9"/>
      <c r="B919" s="8"/>
      <c r="C919" s="8"/>
      <c r="D919" s="8"/>
      <c r="E919" s="8"/>
      <c r="F919" s="8"/>
      <c r="G919" s="8"/>
      <c r="H919" s="8"/>
      <c r="I919" s="10"/>
      <c r="J919" s="10"/>
      <c r="K919" s="18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9"/>
      <c r="B920" s="8"/>
      <c r="C920" s="8"/>
      <c r="D920" s="8"/>
      <c r="E920" s="8"/>
      <c r="F920" s="8"/>
      <c r="G920" s="8"/>
      <c r="H920" s="8"/>
      <c r="I920" s="10"/>
      <c r="J920" s="10"/>
      <c r="K920" s="18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9"/>
      <c r="B921" s="8"/>
      <c r="C921" s="8"/>
      <c r="D921" s="8"/>
      <c r="E921" s="8"/>
      <c r="F921" s="8"/>
      <c r="G921" s="8"/>
      <c r="H921" s="8"/>
      <c r="I921" s="10"/>
      <c r="J921" s="10"/>
      <c r="K921" s="18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9"/>
      <c r="B922" s="8"/>
      <c r="C922" s="8"/>
      <c r="D922" s="8"/>
      <c r="E922" s="8"/>
      <c r="F922" s="8"/>
      <c r="G922" s="8"/>
      <c r="H922" s="8"/>
      <c r="I922" s="10"/>
      <c r="J922" s="10"/>
      <c r="K922" s="18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9"/>
      <c r="B923" s="8"/>
      <c r="C923" s="8"/>
      <c r="D923" s="8"/>
      <c r="E923" s="8"/>
      <c r="F923" s="8"/>
      <c r="G923" s="8"/>
      <c r="H923" s="8"/>
      <c r="I923" s="10"/>
      <c r="J923" s="10"/>
      <c r="K923" s="18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9"/>
      <c r="B924" s="8"/>
      <c r="C924" s="8"/>
      <c r="D924" s="8"/>
      <c r="E924" s="8"/>
      <c r="F924" s="8"/>
      <c r="G924" s="8"/>
      <c r="H924" s="8"/>
      <c r="I924" s="10"/>
      <c r="J924" s="10"/>
      <c r="K924" s="18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9"/>
      <c r="B925" s="8"/>
      <c r="C925" s="8"/>
      <c r="D925" s="8"/>
      <c r="E925" s="8"/>
      <c r="F925" s="8"/>
      <c r="G925" s="8"/>
      <c r="H925" s="8"/>
      <c r="I925" s="10"/>
      <c r="J925" s="10"/>
      <c r="K925" s="18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9"/>
      <c r="B926" s="8"/>
      <c r="C926" s="8"/>
      <c r="D926" s="8"/>
      <c r="E926" s="8"/>
      <c r="F926" s="8"/>
      <c r="G926" s="8"/>
      <c r="H926" s="8"/>
      <c r="I926" s="10"/>
      <c r="J926" s="10"/>
      <c r="K926" s="18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9"/>
      <c r="B927" s="8"/>
      <c r="C927" s="8"/>
      <c r="D927" s="8"/>
      <c r="E927" s="8"/>
      <c r="F927" s="8"/>
      <c r="G927" s="8"/>
      <c r="H927" s="8"/>
      <c r="I927" s="10"/>
      <c r="J927" s="10"/>
      <c r="K927" s="18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9"/>
      <c r="B928" s="8"/>
      <c r="C928" s="8"/>
      <c r="D928" s="8"/>
      <c r="E928" s="8"/>
      <c r="F928" s="8"/>
      <c r="G928" s="8"/>
      <c r="H928" s="8"/>
      <c r="I928" s="10"/>
      <c r="J928" s="10"/>
      <c r="K928" s="18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9"/>
      <c r="B929" s="8"/>
      <c r="C929" s="8"/>
      <c r="D929" s="8"/>
      <c r="E929" s="8"/>
      <c r="F929" s="8"/>
      <c r="G929" s="8"/>
      <c r="H929" s="8"/>
      <c r="I929" s="10"/>
      <c r="J929" s="10"/>
      <c r="K929" s="18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9"/>
      <c r="B930" s="8"/>
      <c r="C930" s="8"/>
      <c r="D930" s="8"/>
      <c r="E930" s="8"/>
      <c r="F930" s="8"/>
      <c r="G930" s="8"/>
      <c r="H930" s="8"/>
      <c r="I930" s="10"/>
      <c r="J930" s="10"/>
      <c r="K930" s="18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9"/>
      <c r="B931" s="8"/>
      <c r="C931" s="8"/>
      <c r="D931" s="8"/>
      <c r="E931" s="8"/>
      <c r="F931" s="8"/>
      <c r="G931" s="8"/>
      <c r="H931" s="8"/>
      <c r="I931" s="10"/>
      <c r="J931" s="10"/>
      <c r="K931" s="18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9"/>
      <c r="B932" s="8"/>
      <c r="C932" s="8"/>
      <c r="D932" s="8"/>
      <c r="E932" s="8"/>
      <c r="F932" s="8"/>
      <c r="G932" s="8"/>
      <c r="H932" s="8"/>
      <c r="I932" s="10"/>
      <c r="J932" s="10"/>
      <c r="K932" s="18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9"/>
      <c r="B933" s="8"/>
      <c r="C933" s="8"/>
      <c r="D933" s="8"/>
      <c r="E933" s="8"/>
      <c r="F933" s="8"/>
      <c r="G933" s="8"/>
      <c r="H933" s="8"/>
      <c r="I933" s="10"/>
      <c r="J933" s="10"/>
      <c r="K933" s="18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9"/>
      <c r="B934" s="8"/>
      <c r="C934" s="8"/>
      <c r="D934" s="8"/>
      <c r="E934" s="8"/>
      <c r="F934" s="8"/>
      <c r="G934" s="8"/>
      <c r="H934" s="8"/>
      <c r="I934" s="10"/>
      <c r="J934" s="10"/>
      <c r="K934" s="18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9"/>
      <c r="B935" s="8"/>
      <c r="C935" s="8"/>
      <c r="D935" s="8"/>
      <c r="E935" s="8"/>
      <c r="F935" s="8"/>
      <c r="G935" s="8"/>
      <c r="H935" s="8"/>
      <c r="I935" s="10"/>
      <c r="J935" s="10"/>
      <c r="K935" s="18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9"/>
      <c r="B936" s="8"/>
      <c r="C936" s="8"/>
      <c r="D936" s="8"/>
      <c r="E936" s="8"/>
      <c r="F936" s="8"/>
      <c r="G936" s="8"/>
      <c r="H936" s="8"/>
      <c r="I936" s="10"/>
      <c r="J936" s="10"/>
      <c r="K936" s="18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9"/>
      <c r="B937" s="8"/>
      <c r="C937" s="8"/>
      <c r="D937" s="8"/>
      <c r="E937" s="8"/>
      <c r="F937" s="8"/>
      <c r="G937" s="8"/>
      <c r="H937" s="8"/>
      <c r="I937" s="10"/>
      <c r="J937" s="10"/>
      <c r="K937" s="18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9"/>
      <c r="B938" s="8"/>
      <c r="C938" s="8"/>
      <c r="D938" s="8"/>
      <c r="E938" s="8"/>
      <c r="F938" s="8"/>
      <c r="G938" s="8"/>
      <c r="H938" s="8"/>
      <c r="I938" s="10"/>
      <c r="J938" s="10"/>
      <c r="K938" s="18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9"/>
      <c r="B939" s="8"/>
      <c r="C939" s="8"/>
      <c r="D939" s="8"/>
      <c r="E939" s="8"/>
      <c r="F939" s="8"/>
      <c r="G939" s="8"/>
      <c r="H939" s="8"/>
      <c r="I939" s="10"/>
      <c r="J939" s="10"/>
      <c r="K939" s="18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9"/>
      <c r="B940" s="8"/>
      <c r="C940" s="8"/>
      <c r="D940" s="8"/>
      <c r="E940" s="8"/>
      <c r="F940" s="8"/>
      <c r="G940" s="8"/>
      <c r="H940" s="8"/>
      <c r="I940" s="10"/>
      <c r="J940" s="10"/>
      <c r="K940" s="18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9"/>
      <c r="B941" s="8"/>
      <c r="C941" s="8"/>
      <c r="D941" s="8"/>
      <c r="E941" s="8"/>
      <c r="F941" s="8"/>
      <c r="G941" s="8"/>
      <c r="H941" s="8"/>
      <c r="I941" s="10"/>
      <c r="J941" s="10"/>
      <c r="K941" s="18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9"/>
      <c r="B942" s="8"/>
      <c r="C942" s="8"/>
      <c r="D942" s="8"/>
      <c r="E942" s="8"/>
      <c r="F942" s="8"/>
      <c r="G942" s="8"/>
      <c r="H942" s="8"/>
      <c r="I942" s="10"/>
      <c r="J942" s="10"/>
      <c r="K942" s="18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9"/>
      <c r="B943" s="8"/>
      <c r="C943" s="8"/>
      <c r="D943" s="8"/>
      <c r="E943" s="8"/>
      <c r="F943" s="8"/>
      <c r="G943" s="8"/>
      <c r="H943" s="8"/>
      <c r="I943" s="10"/>
      <c r="J943" s="10"/>
      <c r="K943" s="18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9"/>
      <c r="B944" s="8"/>
      <c r="C944" s="8"/>
      <c r="D944" s="8"/>
      <c r="E944" s="8"/>
      <c r="F944" s="8"/>
      <c r="G944" s="8"/>
      <c r="H944" s="8"/>
      <c r="I944" s="10"/>
      <c r="J944" s="10"/>
      <c r="K944" s="18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9"/>
      <c r="B945" s="8"/>
      <c r="C945" s="8"/>
      <c r="D945" s="8"/>
      <c r="E945" s="8"/>
      <c r="F945" s="8"/>
      <c r="G945" s="8"/>
      <c r="H945" s="8"/>
      <c r="I945" s="10"/>
      <c r="J945" s="10"/>
      <c r="K945" s="18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9"/>
      <c r="B946" s="8"/>
      <c r="C946" s="8"/>
      <c r="D946" s="8"/>
      <c r="E946" s="8"/>
      <c r="F946" s="8"/>
      <c r="G946" s="8"/>
      <c r="H946" s="8"/>
      <c r="I946" s="10"/>
      <c r="J946" s="10"/>
      <c r="K946" s="18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9"/>
      <c r="B947" s="8"/>
      <c r="C947" s="8"/>
      <c r="D947" s="8"/>
      <c r="E947" s="8"/>
      <c r="F947" s="8"/>
      <c r="G947" s="8"/>
      <c r="H947" s="8"/>
      <c r="I947" s="10"/>
      <c r="J947" s="10"/>
      <c r="K947" s="18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9"/>
      <c r="B948" s="8"/>
      <c r="C948" s="8"/>
      <c r="D948" s="8"/>
      <c r="E948" s="8"/>
      <c r="F948" s="8"/>
      <c r="G948" s="8"/>
      <c r="H948" s="8"/>
      <c r="I948" s="10"/>
      <c r="J948" s="10"/>
      <c r="K948" s="18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9"/>
      <c r="B949" s="8"/>
      <c r="C949" s="8"/>
      <c r="D949" s="8"/>
      <c r="E949" s="8"/>
      <c r="F949" s="8"/>
      <c r="G949" s="8"/>
      <c r="H949" s="8"/>
      <c r="I949" s="10"/>
      <c r="J949" s="10"/>
      <c r="K949" s="18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9"/>
      <c r="B950" s="8"/>
      <c r="C950" s="8"/>
      <c r="D950" s="8"/>
      <c r="E950" s="8"/>
      <c r="F950" s="8"/>
      <c r="G950" s="8"/>
      <c r="H950" s="8"/>
      <c r="I950" s="10"/>
      <c r="J950" s="10"/>
      <c r="K950" s="18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9"/>
      <c r="B951" s="8"/>
      <c r="C951" s="8"/>
      <c r="D951" s="8"/>
      <c r="E951" s="8"/>
      <c r="F951" s="8"/>
      <c r="G951" s="8"/>
      <c r="H951" s="8"/>
      <c r="I951" s="10"/>
      <c r="J951" s="10"/>
      <c r="K951" s="18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9"/>
      <c r="B952" s="8"/>
      <c r="C952" s="8"/>
      <c r="D952" s="8"/>
      <c r="E952" s="8"/>
      <c r="F952" s="8"/>
      <c r="G952" s="8"/>
      <c r="H952" s="8"/>
      <c r="I952" s="10"/>
      <c r="J952" s="10"/>
      <c r="K952" s="18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9"/>
      <c r="B953" s="8"/>
      <c r="C953" s="8"/>
      <c r="D953" s="8"/>
      <c r="E953" s="8"/>
      <c r="F953" s="8"/>
      <c r="G953" s="8"/>
      <c r="H953" s="8"/>
      <c r="I953" s="10"/>
      <c r="J953" s="10"/>
      <c r="K953" s="18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9"/>
      <c r="B954" s="8"/>
      <c r="C954" s="8"/>
      <c r="D954" s="8"/>
      <c r="E954" s="8"/>
      <c r="F954" s="8"/>
      <c r="G954" s="8"/>
      <c r="H954" s="8"/>
      <c r="I954" s="10"/>
      <c r="J954" s="10"/>
      <c r="K954" s="18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9"/>
      <c r="B955" s="8"/>
      <c r="C955" s="8"/>
      <c r="D955" s="8"/>
      <c r="E955" s="8"/>
      <c r="F955" s="8"/>
      <c r="G955" s="8"/>
      <c r="H955" s="8"/>
      <c r="I955" s="10"/>
      <c r="J955" s="10"/>
      <c r="K955" s="18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9"/>
      <c r="B956" s="8"/>
      <c r="C956" s="8"/>
      <c r="D956" s="8"/>
      <c r="E956" s="8"/>
      <c r="F956" s="8"/>
      <c r="G956" s="8"/>
      <c r="H956" s="8"/>
      <c r="I956" s="10"/>
      <c r="J956" s="10"/>
      <c r="K956" s="18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9"/>
      <c r="B957" s="8"/>
      <c r="C957" s="8"/>
      <c r="D957" s="8"/>
      <c r="E957" s="8"/>
      <c r="F957" s="8"/>
      <c r="G957" s="8"/>
      <c r="H957" s="8"/>
      <c r="I957" s="10"/>
      <c r="J957" s="10"/>
      <c r="K957" s="18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9"/>
      <c r="B958" s="8"/>
      <c r="C958" s="8"/>
      <c r="D958" s="8"/>
      <c r="E958" s="8"/>
      <c r="F958" s="8"/>
      <c r="G958" s="8"/>
      <c r="H958" s="8"/>
      <c r="I958" s="10"/>
      <c r="J958" s="10"/>
      <c r="K958" s="18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9"/>
      <c r="B959" s="8"/>
      <c r="C959" s="8"/>
      <c r="D959" s="8"/>
      <c r="E959" s="8"/>
      <c r="F959" s="8"/>
      <c r="G959" s="8"/>
      <c r="H959" s="8"/>
      <c r="I959" s="10"/>
      <c r="J959" s="10"/>
      <c r="K959" s="18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9"/>
      <c r="B960" s="8"/>
      <c r="C960" s="8"/>
      <c r="D960" s="8"/>
      <c r="E960" s="8"/>
      <c r="F960" s="8"/>
      <c r="G960" s="8"/>
      <c r="H960" s="8"/>
      <c r="I960" s="10"/>
      <c r="J960" s="10"/>
      <c r="K960" s="18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9"/>
      <c r="B961" s="8"/>
      <c r="C961" s="8"/>
      <c r="D961" s="8"/>
      <c r="E961" s="8"/>
      <c r="F961" s="8"/>
      <c r="G961" s="8"/>
      <c r="H961" s="8"/>
      <c r="I961" s="10"/>
      <c r="J961" s="10"/>
      <c r="K961" s="18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9"/>
      <c r="B962" s="8"/>
      <c r="C962" s="8"/>
      <c r="D962" s="8"/>
      <c r="E962" s="8"/>
      <c r="F962" s="8"/>
      <c r="G962" s="8"/>
      <c r="H962" s="8"/>
      <c r="I962" s="10"/>
      <c r="J962" s="10"/>
      <c r="K962" s="18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9"/>
      <c r="B963" s="8"/>
      <c r="C963" s="8"/>
      <c r="D963" s="8"/>
      <c r="E963" s="8"/>
      <c r="F963" s="8"/>
      <c r="G963" s="8"/>
      <c r="H963" s="8"/>
      <c r="I963" s="10"/>
      <c r="J963" s="10"/>
      <c r="K963" s="18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9"/>
      <c r="B964" s="8"/>
      <c r="C964" s="8"/>
      <c r="D964" s="8"/>
      <c r="E964" s="8"/>
      <c r="F964" s="8"/>
      <c r="G964" s="8"/>
      <c r="H964" s="8"/>
      <c r="I964" s="10"/>
      <c r="J964" s="10"/>
      <c r="K964" s="18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9"/>
      <c r="B965" s="8"/>
      <c r="C965" s="8"/>
      <c r="D965" s="8"/>
      <c r="E965" s="8"/>
      <c r="F965" s="8"/>
      <c r="G965" s="8"/>
      <c r="H965" s="8"/>
      <c r="I965" s="10"/>
      <c r="J965" s="10"/>
      <c r="K965" s="18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9"/>
      <c r="B966" s="8"/>
      <c r="C966" s="8"/>
      <c r="D966" s="8"/>
      <c r="E966" s="8"/>
      <c r="F966" s="8"/>
      <c r="G966" s="8"/>
      <c r="H966" s="8"/>
      <c r="I966" s="10"/>
      <c r="J966" s="10"/>
      <c r="K966" s="18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9"/>
      <c r="B967" s="8"/>
      <c r="C967" s="8"/>
      <c r="D967" s="8"/>
      <c r="E967" s="8"/>
      <c r="F967" s="8"/>
      <c r="G967" s="8"/>
      <c r="H967" s="8"/>
      <c r="I967" s="10"/>
      <c r="J967" s="10"/>
      <c r="K967" s="18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9"/>
      <c r="B968" s="8"/>
      <c r="C968" s="8"/>
      <c r="D968" s="8"/>
      <c r="E968" s="8"/>
      <c r="F968" s="8"/>
      <c r="G968" s="8"/>
      <c r="H968" s="8"/>
      <c r="I968" s="10"/>
      <c r="J968" s="10"/>
      <c r="K968" s="18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9"/>
      <c r="B969" s="8"/>
      <c r="C969" s="8"/>
      <c r="D969" s="8"/>
      <c r="E969" s="8"/>
      <c r="F969" s="8"/>
      <c r="G969" s="8"/>
      <c r="H969" s="8"/>
      <c r="I969" s="10"/>
      <c r="J969" s="10"/>
      <c r="K969" s="18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9"/>
      <c r="B970" s="8"/>
      <c r="C970" s="8"/>
      <c r="D970" s="8"/>
      <c r="E970" s="8"/>
      <c r="F970" s="8"/>
      <c r="G970" s="8"/>
      <c r="H970" s="8"/>
      <c r="I970" s="10"/>
      <c r="J970" s="10"/>
      <c r="K970" s="18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9"/>
      <c r="B971" s="8"/>
      <c r="C971" s="8"/>
      <c r="D971" s="8"/>
      <c r="E971" s="8"/>
      <c r="F971" s="8"/>
      <c r="G971" s="8"/>
      <c r="H971" s="8"/>
      <c r="I971" s="10"/>
      <c r="J971" s="10"/>
      <c r="K971" s="18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9"/>
      <c r="B972" s="8"/>
      <c r="C972" s="8"/>
      <c r="D972" s="8"/>
      <c r="E972" s="8"/>
      <c r="F972" s="8"/>
      <c r="G972" s="8"/>
      <c r="H972" s="8"/>
      <c r="I972" s="10"/>
      <c r="J972" s="10"/>
      <c r="K972" s="18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9"/>
      <c r="B973" s="8"/>
      <c r="C973" s="8"/>
      <c r="D973" s="8"/>
      <c r="E973" s="8"/>
      <c r="F973" s="8"/>
      <c r="G973" s="8"/>
      <c r="H973" s="8"/>
      <c r="I973" s="10"/>
      <c r="J973" s="10"/>
      <c r="K973" s="18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9"/>
      <c r="B974" s="8"/>
      <c r="C974" s="8"/>
      <c r="D974" s="8"/>
      <c r="E974" s="8"/>
      <c r="F974" s="8"/>
      <c r="G974" s="8"/>
      <c r="H974" s="8"/>
      <c r="I974" s="10"/>
      <c r="J974" s="10"/>
      <c r="K974" s="18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9"/>
      <c r="B975" s="8"/>
      <c r="C975" s="8"/>
      <c r="D975" s="8"/>
      <c r="E975" s="8"/>
      <c r="F975" s="8"/>
      <c r="G975" s="8"/>
      <c r="H975" s="8"/>
      <c r="I975" s="10"/>
      <c r="J975" s="10"/>
      <c r="K975" s="18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9"/>
      <c r="B976" s="8"/>
      <c r="C976" s="8"/>
      <c r="D976" s="8"/>
      <c r="E976" s="8"/>
      <c r="F976" s="8"/>
      <c r="G976" s="8"/>
      <c r="H976" s="8"/>
      <c r="I976" s="10"/>
      <c r="J976" s="10"/>
      <c r="K976" s="18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9"/>
      <c r="B977" s="8"/>
      <c r="C977" s="8"/>
      <c r="D977" s="8"/>
      <c r="E977" s="8"/>
      <c r="F977" s="8"/>
      <c r="G977" s="8"/>
      <c r="H977" s="8"/>
      <c r="I977" s="10"/>
      <c r="J977" s="10"/>
      <c r="K977" s="18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9"/>
      <c r="B978" s="8"/>
      <c r="C978" s="8"/>
      <c r="D978" s="8"/>
      <c r="E978" s="8"/>
      <c r="F978" s="8"/>
      <c r="G978" s="8"/>
      <c r="H978" s="8"/>
      <c r="I978" s="10"/>
      <c r="J978" s="10"/>
      <c r="K978" s="18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9"/>
      <c r="B979" s="8"/>
      <c r="C979" s="8"/>
      <c r="D979" s="8"/>
      <c r="E979" s="8"/>
      <c r="F979" s="8"/>
      <c r="G979" s="8"/>
      <c r="H979" s="8"/>
      <c r="I979" s="10"/>
      <c r="J979" s="10"/>
      <c r="K979" s="18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9"/>
      <c r="B980" s="8"/>
      <c r="C980" s="8"/>
      <c r="D980" s="8"/>
      <c r="E980" s="8"/>
      <c r="F980" s="8"/>
      <c r="G980" s="8"/>
      <c r="H980" s="8"/>
      <c r="I980" s="10"/>
      <c r="J980" s="10"/>
      <c r="K980" s="18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9"/>
      <c r="B981" s="8"/>
      <c r="C981" s="8"/>
      <c r="D981" s="8"/>
      <c r="E981" s="8"/>
      <c r="F981" s="8"/>
      <c r="G981" s="8"/>
      <c r="H981" s="8"/>
      <c r="I981" s="10"/>
      <c r="J981" s="10"/>
      <c r="K981" s="18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9"/>
      <c r="B982" s="8"/>
      <c r="C982" s="8"/>
      <c r="D982" s="8"/>
      <c r="E982" s="8"/>
      <c r="F982" s="8"/>
      <c r="G982" s="8"/>
      <c r="H982" s="8"/>
      <c r="I982" s="10"/>
      <c r="J982" s="10"/>
      <c r="K982" s="18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9"/>
      <c r="B983" s="8"/>
      <c r="C983" s="8"/>
      <c r="D983" s="8"/>
      <c r="E983" s="8"/>
      <c r="F983" s="8"/>
      <c r="G983" s="8"/>
      <c r="H983" s="8"/>
      <c r="I983" s="10"/>
      <c r="J983" s="10"/>
      <c r="K983" s="18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9"/>
      <c r="B984" s="8"/>
      <c r="C984" s="8"/>
      <c r="D984" s="8"/>
      <c r="E984" s="8"/>
      <c r="F984" s="8"/>
      <c r="G984" s="8"/>
      <c r="H984" s="8"/>
      <c r="I984" s="10"/>
      <c r="J984" s="10"/>
      <c r="K984" s="18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9"/>
      <c r="B985" s="8"/>
      <c r="C985" s="8"/>
      <c r="D985" s="8"/>
      <c r="E985" s="8"/>
      <c r="F985" s="8"/>
      <c r="G985" s="8"/>
      <c r="H985" s="8"/>
      <c r="I985" s="10"/>
      <c r="J985" s="10"/>
      <c r="K985" s="18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9"/>
      <c r="B986" s="8"/>
      <c r="C986" s="8"/>
      <c r="D986" s="8"/>
      <c r="E986" s="8"/>
      <c r="F986" s="8"/>
      <c r="G986" s="8"/>
      <c r="H986" s="8"/>
      <c r="I986" s="10"/>
      <c r="J986" s="10"/>
      <c r="K986" s="18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9"/>
      <c r="B987" s="8"/>
      <c r="C987" s="8"/>
      <c r="D987" s="8"/>
      <c r="E987" s="8"/>
      <c r="F987" s="8"/>
      <c r="G987" s="8"/>
      <c r="H987" s="8"/>
      <c r="I987" s="10"/>
      <c r="J987" s="10"/>
      <c r="K987" s="18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9"/>
      <c r="B988" s="8"/>
      <c r="C988" s="8"/>
      <c r="D988" s="8"/>
      <c r="E988" s="8"/>
      <c r="F988" s="8"/>
      <c r="G988" s="8"/>
      <c r="H988" s="8"/>
      <c r="I988" s="10"/>
      <c r="J988" s="10"/>
      <c r="K988" s="18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9"/>
      <c r="B989" s="8"/>
      <c r="C989" s="8"/>
      <c r="D989" s="8"/>
      <c r="E989" s="8"/>
      <c r="F989" s="8"/>
      <c r="G989" s="8"/>
      <c r="H989" s="8"/>
      <c r="I989" s="10"/>
      <c r="J989" s="10"/>
      <c r="K989" s="18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9"/>
      <c r="B990" s="8"/>
      <c r="C990" s="8"/>
      <c r="D990" s="8"/>
      <c r="E990" s="8"/>
      <c r="F990" s="8"/>
      <c r="G990" s="8"/>
      <c r="H990" s="8"/>
      <c r="I990" s="10"/>
      <c r="J990" s="10"/>
      <c r="K990" s="18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9"/>
      <c r="B991" s="8"/>
      <c r="C991" s="8"/>
      <c r="D991" s="8"/>
      <c r="E991" s="8"/>
      <c r="F991" s="8"/>
      <c r="G991" s="8"/>
      <c r="H991" s="8"/>
      <c r="I991" s="10"/>
      <c r="J991" s="10"/>
      <c r="K991" s="18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9"/>
      <c r="B992" s="8"/>
      <c r="C992" s="8"/>
      <c r="D992" s="8"/>
      <c r="E992" s="8"/>
      <c r="F992" s="8"/>
      <c r="G992" s="8"/>
      <c r="H992" s="8"/>
      <c r="I992" s="10"/>
      <c r="J992" s="10"/>
      <c r="K992" s="18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9"/>
      <c r="B993" s="8"/>
      <c r="C993" s="8"/>
      <c r="D993" s="8"/>
      <c r="E993" s="8"/>
      <c r="F993" s="8"/>
      <c r="G993" s="8"/>
      <c r="H993" s="8"/>
      <c r="I993" s="10"/>
      <c r="J993" s="10"/>
      <c r="K993" s="18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9"/>
      <c r="B994" s="8"/>
      <c r="C994" s="8"/>
      <c r="D994" s="8"/>
      <c r="E994" s="8"/>
      <c r="F994" s="8"/>
      <c r="G994" s="8"/>
      <c r="H994" s="8"/>
      <c r="I994" s="10"/>
      <c r="J994" s="10"/>
      <c r="K994" s="18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9"/>
      <c r="B995" s="8"/>
      <c r="C995" s="8"/>
      <c r="D995" s="8"/>
      <c r="E995" s="8"/>
      <c r="F995" s="8"/>
      <c r="G995" s="8"/>
      <c r="H995" s="8"/>
      <c r="I995" s="10"/>
      <c r="J995" s="10"/>
      <c r="K995" s="18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9"/>
      <c r="B996" s="8"/>
      <c r="C996" s="8"/>
      <c r="D996" s="8"/>
      <c r="E996" s="8"/>
      <c r="F996" s="8"/>
      <c r="G996" s="8"/>
      <c r="H996" s="8"/>
      <c r="I996" s="10"/>
      <c r="J996" s="10"/>
      <c r="K996" s="18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9"/>
      <c r="B997" s="8"/>
      <c r="C997" s="8"/>
      <c r="D997" s="8"/>
      <c r="E997" s="8"/>
      <c r="F997" s="8"/>
      <c r="G997" s="8"/>
      <c r="H997" s="8"/>
      <c r="I997" s="10"/>
      <c r="J997" s="10"/>
      <c r="K997" s="18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9"/>
      <c r="B998" s="8"/>
      <c r="C998" s="8"/>
      <c r="D998" s="8"/>
      <c r="E998" s="8"/>
      <c r="F998" s="8"/>
      <c r="G998" s="8"/>
      <c r="H998" s="8"/>
      <c r="I998" s="10"/>
      <c r="J998" s="10"/>
      <c r="K998" s="18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9"/>
      <c r="B999" s="8"/>
      <c r="C999" s="8"/>
      <c r="D999" s="8"/>
      <c r="E999" s="8"/>
      <c r="F999" s="8"/>
      <c r="G999" s="8"/>
      <c r="H999" s="8"/>
      <c r="I999" s="10"/>
      <c r="J999" s="10"/>
      <c r="K999" s="18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9"/>
      <c r="B1000" s="8"/>
      <c r="C1000" s="8"/>
      <c r="D1000" s="8"/>
      <c r="E1000" s="8"/>
      <c r="F1000" s="8"/>
      <c r="G1000" s="8"/>
      <c r="H1000" s="8"/>
      <c r="I1000" s="10"/>
      <c r="J1000" s="10"/>
      <c r="K1000" s="18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4.25" customHeight="1">
      <c r="A1001" s="9"/>
      <c r="B1001" s="8"/>
      <c r="C1001" s="8"/>
      <c r="D1001" s="8"/>
      <c r="E1001" s="8"/>
      <c r="F1001" s="8"/>
      <c r="G1001" s="8"/>
      <c r="H1001" s="8"/>
      <c r="I1001" s="10"/>
      <c r="J1001" s="10"/>
      <c r="K1001" s="18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4.25" customHeight="1">
      <c r="A1002" s="9"/>
      <c r="B1002" s="8"/>
      <c r="C1002" s="8"/>
      <c r="D1002" s="8"/>
      <c r="E1002" s="8"/>
      <c r="F1002" s="8"/>
      <c r="G1002" s="8"/>
      <c r="H1002" s="8"/>
      <c r="I1002" s="10"/>
      <c r="J1002" s="10"/>
      <c r="K1002" s="18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4.25" customHeight="1">
      <c r="A1003" s="9"/>
      <c r="B1003" s="8"/>
      <c r="C1003" s="8"/>
      <c r="D1003" s="8"/>
      <c r="E1003" s="8"/>
      <c r="F1003" s="8"/>
      <c r="G1003" s="8"/>
      <c r="H1003" s="8"/>
      <c r="I1003" s="10"/>
      <c r="J1003" s="10"/>
      <c r="K1003" s="18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4.25" customHeight="1">
      <c r="A1004" s="9"/>
      <c r="B1004" s="8"/>
      <c r="C1004" s="8"/>
      <c r="D1004" s="8"/>
      <c r="E1004" s="8"/>
      <c r="F1004" s="8"/>
      <c r="G1004" s="8"/>
      <c r="H1004" s="8"/>
      <c r="I1004" s="10"/>
      <c r="J1004" s="10"/>
      <c r="K1004" s="18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4.25" customHeight="1">
      <c r="A1005" s="9"/>
      <c r="B1005" s="8"/>
      <c r="C1005" s="8"/>
      <c r="D1005" s="8"/>
      <c r="E1005" s="8"/>
      <c r="F1005" s="8"/>
      <c r="G1005" s="8"/>
      <c r="H1005" s="8"/>
      <c r="I1005" s="10"/>
      <c r="J1005" s="10"/>
      <c r="K1005" s="18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4.25" customHeight="1">
      <c r="A1006" s="9"/>
      <c r="B1006" s="8"/>
      <c r="C1006" s="8"/>
      <c r="D1006" s="8"/>
      <c r="E1006" s="8"/>
      <c r="F1006" s="8"/>
      <c r="G1006" s="8"/>
      <c r="H1006" s="8"/>
      <c r="I1006" s="10"/>
      <c r="J1006" s="10"/>
      <c r="K1006" s="18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4.25" customHeight="1">
      <c r="A1007" s="9"/>
      <c r="B1007" s="8"/>
      <c r="C1007" s="8"/>
      <c r="D1007" s="8"/>
      <c r="E1007" s="8"/>
      <c r="F1007" s="8"/>
      <c r="G1007" s="8"/>
      <c r="H1007" s="8"/>
      <c r="I1007" s="10"/>
      <c r="J1007" s="10"/>
      <c r="K1007" s="18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4.25" customHeight="1">
      <c r="A1008" s="9"/>
      <c r="B1008" s="8"/>
      <c r="C1008" s="8"/>
      <c r="D1008" s="8"/>
      <c r="E1008" s="8"/>
      <c r="F1008" s="8"/>
      <c r="G1008" s="8"/>
      <c r="H1008" s="8"/>
      <c r="I1008" s="10"/>
      <c r="J1008" s="10"/>
      <c r="K1008" s="18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ht="14.25" customHeight="1">
      <c r="A1009" s="9"/>
      <c r="B1009" s="8"/>
      <c r="C1009" s="8"/>
      <c r="D1009" s="8"/>
      <c r="E1009" s="8"/>
      <c r="F1009" s="8"/>
      <c r="G1009" s="8"/>
      <c r="H1009" s="8"/>
      <c r="I1009" s="10"/>
      <c r="J1009" s="10"/>
      <c r="K1009" s="18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ht="14.25" customHeight="1">
      <c r="A1010" s="9"/>
      <c r="B1010" s="8"/>
      <c r="C1010" s="8"/>
      <c r="D1010" s="8"/>
      <c r="E1010" s="8"/>
      <c r="F1010" s="8"/>
      <c r="G1010" s="8"/>
      <c r="H1010" s="8"/>
      <c r="I1010" s="10"/>
      <c r="J1010" s="10"/>
      <c r="K1010" s="18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ht="14.25" customHeight="1">
      <c r="A1011" s="9"/>
      <c r="B1011" s="8"/>
      <c r="C1011" s="8"/>
      <c r="D1011" s="8"/>
      <c r="E1011" s="8"/>
      <c r="F1011" s="8"/>
      <c r="G1011" s="8"/>
      <c r="H1011" s="8"/>
      <c r="I1011" s="10"/>
      <c r="J1011" s="10"/>
      <c r="K1011" s="18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ht="14.25" customHeight="1">
      <c r="A1012" s="9"/>
      <c r="B1012" s="8"/>
      <c r="C1012" s="8"/>
      <c r="D1012" s="8"/>
      <c r="E1012" s="8"/>
      <c r="F1012" s="8"/>
      <c r="G1012" s="8"/>
      <c r="H1012" s="8"/>
      <c r="I1012" s="10"/>
      <c r="J1012" s="10"/>
      <c r="K1012" s="18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ht="14.25" customHeight="1">
      <c r="A1013" s="9"/>
      <c r="B1013" s="8"/>
      <c r="C1013" s="8"/>
      <c r="D1013" s="8"/>
      <c r="E1013" s="8"/>
      <c r="F1013" s="8"/>
      <c r="G1013" s="8"/>
      <c r="H1013" s="8"/>
      <c r="I1013" s="10"/>
      <c r="J1013" s="10"/>
      <c r="K1013" s="18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ht="14.25" customHeight="1">
      <c r="A1014" s="9"/>
      <c r="B1014" s="8"/>
      <c r="C1014" s="8"/>
      <c r="D1014" s="8"/>
      <c r="E1014" s="8"/>
      <c r="F1014" s="8"/>
      <c r="G1014" s="8"/>
      <c r="H1014" s="8"/>
      <c r="I1014" s="10"/>
      <c r="J1014" s="10"/>
      <c r="K1014" s="18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ht="14.25" customHeight="1">
      <c r="A1015" s="9"/>
      <c r="B1015" s="8"/>
      <c r="C1015" s="8"/>
      <c r="D1015" s="8"/>
      <c r="E1015" s="8"/>
      <c r="F1015" s="8"/>
      <c r="G1015" s="8"/>
      <c r="H1015" s="8"/>
      <c r="I1015" s="10"/>
      <c r="J1015" s="10"/>
      <c r="K1015" s="18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ht="14.25" customHeight="1">
      <c r="A1016" s="9"/>
      <c r="B1016" s="8"/>
      <c r="C1016" s="8"/>
      <c r="D1016" s="8"/>
      <c r="E1016" s="8"/>
      <c r="F1016" s="8"/>
      <c r="G1016" s="8"/>
      <c r="H1016" s="8"/>
      <c r="I1016" s="10"/>
      <c r="J1016" s="10"/>
      <c r="K1016" s="18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ht="14.25" customHeight="1">
      <c r="A1017" s="9"/>
      <c r="B1017" s="8"/>
      <c r="C1017" s="8"/>
      <c r="D1017" s="8"/>
      <c r="E1017" s="8"/>
      <c r="F1017" s="8"/>
      <c r="G1017" s="8"/>
      <c r="H1017" s="8"/>
      <c r="I1017" s="10"/>
      <c r="J1017" s="10"/>
      <c r="K1017" s="18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ht="14.25" customHeight="1">
      <c r="A1018" s="9"/>
      <c r="B1018" s="8"/>
      <c r="C1018" s="8"/>
      <c r="D1018" s="8"/>
      <c r="E1018" s="8"/>
      <c r="F1018" s="8"/>
      <c r="G1018" s="8"/>
      <c r="H1018" s="8"/>
      <c r="I1018" s="10"/>
      <c r="J1018" s="10"/>
      <c r="K1018" s="18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ht="14.25" customHeight="1">
      <c r="A1019" s="9"/>
      <c r="B1019" s="8"/>
      <c r="C1019" s="8"/>
      <c r="D1019" s="8"/>
      <c r="E1019" s="8"/>
      <c r="F1019" s="8"/>
      <c r="G1019" s="8"/>
      <c r="H1019" s="8"/>
      <c r="I1019" s="10"/>
      <c r="J1019" s="10"/>
      <c r="K1019" s="18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ht="14.25" customHeight="1">
      <c r="A1020" s="9"/>
      <c r="B1020" s="8"/>
      <c r="C1020" s="8"/>
      <c r="D1020" s="8"/>
      <c r="E1020" s="8"/>
      <c r="F1020" s="8"/>
      <c r="G1020" s="8"/>
      <c r="H1020" s="8"/>
      <c r="I1020" s="10"/>
      <c r="J1020" s="10"/>
      <c r="K1020" s="18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ht="14.25" customHeight="1">
      <c r="A1021" s="9"/>
      <c r="B1021" s="8"/>
      <c r="C1021" s="8"/>
      <c r="D1021" s="8"/>
      <c r="E1021" s="8"/>
      <c r="F1021" s="8"/>
      <c r="G1021" s="8"/>
      <c r="H1021" s="8"/>
      <c r="I1021" s="10"/>
      <c r="J1021" s="10"/>
      <c r="K1021" s="18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ht="14.25" customHeight="1">
      <c r="A1022" s="9"/>
      <c r="B1022" s="8"/>
      <c r="C1022" s="8"/>
      <c r="D1022" s="8"/>
      <c r="E1022" s="8"/>
      <c r="F1022" s="8"/>
      <c r="G1022" s="8"/>
      <c r="H1022" s="8"/>
      <c r="I1022" s="10"/>
      <c r="J1022" s="10"/>
      <c r="K1022" s="18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ht="14.25" customHeight="1">
      <c r="A1023" s="9"/>
      <c r="B1023" s="8"/>
      <c r="C1023" s="8"/>
      <c r="D1023" s="8"/>
      <c r="E1023" s="8"/>
      <c r="F1023" s="8"/>
      <c r="G1023" s="8"/>
      <c r="H1023" s="8"/>
      <c r="I1023" s="10"/>
      <c r="J1023" s="10"/>
      <c r="K1023" s="18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ht="14.25" customHeight="1">
      <c r="A1024" s="9"/>
      <c r="B1024" s="8"/>
      <c r="C1024" s="8"/>
      <c r="D1024" s="8"/>
      <c r="E1024" s="8"/>
      <c r="F1024" s="8"/>
      <c r="G1024" s="8"/>
      <c r="H1024" s="8"/>
      <c r="I1024" s="10"/>
      <c r="J1024" s="10"/>
      <c r="K1024" s="18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ht="14.25" customHeight="1">
      <c r="A1025" s="9"/>
      <c r="B1025" s="8"/>
      <c r="C1025" s="8"/>
      <c r="D1025" s="8"/>
      <c r="E1025" s="8"/>
      <c r="F1025" s="8"/>
      <c r="G1025" s="8"/>
      <c r="H1025" s="8"/>
      <c r="I1025" s="10"/>
      <c r="J1025" s="10"/>
      <c r="K1025" s="18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ht="14.25" customHeight="1">
      <c r="A1026" s="9"/>
      <c r="B1026" s="8"/>
      <c r="C1026" s="8"/>
      <c r="D1026" s="8"/>
      <c r="E1026" s="8"/>
      <c r="F1026" s="8"/>
      <c r="G1026" s="8"/>
      <c r="H1026" s="8"/>
      <c r="I1026" s="10"/>
      <c r="J1026" s="10"/>
      <c r="K1026" s="18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ht="14.25" customHeight="1">
      <c r="A1027" s="9"/>
      <c r="B1027" s="8"/>
      <c r="C1027" s="8"/>
      <c r="D1027" s="8"/>
      <c r="E1027" s="8"/>
      <c r="F1027" s="8"/>
      <c r="G1027" s="8"/>
      <c r="H1027" s="8"/>
      <c r="I1027" s="10"/>
      <c r="J1027" s="10"/>
      <c r="K1027" s="18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ht="14.25" customHeight="1">
      <c r="A1028" s="9"/>
      <c r="B1028" s="8"/>
      <c r="C1028" s="8"/>
      <c r="D1028" s="8"/>
      <c r="E1028" s="8"/>
      <c r="F1028" s="8"/>
      <c r="G1028" s="8"/>
      <c r="H1028" s="8"/>
      <c r="I1028" s="10"/>
      <c r="J1028" s="10"/>
      <c r="K1028" s="18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ht="14.25" customHeight="1">
      <c r="A1029" s="9"/>
      <c r="B1029" s="8"/>
      <c r="C1029" s="8"/>
      <c r="D1029" s="8"/>
      <c r="E1029" s="8"/>
      <c r="F1029" s="8"/>
      <c r="G1029" s="8"/>
      <c r="H1029" s="8"/>
      <c r="I1029" s="10"/>
      <c r="J1029" s="10"/>
      <c r="K1029" s="18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ht="14.25" customHeight="1">
      <c r="A1030" s="9"/>
      <c r="B1030" s="8"/>
      <c r="C1030" s="8"/>
      <c r="D1030" s="8"/>
      <c r="E1030" s="8"/>
      <c r="F1030" s="8"/>
      <c r="G1030" s="8"/>
      <c r="H1030" s="8"/>
      <c r="I1030" s="10"/>
      <c r="J1030" s="10"/>
      <c r="K1030" s="18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ht="14.25" customHeight="1">
      <c r="A1031" s="9"/>
      <c r="B1031" s="8"/>
      <c r="C1031" s="8"/>
      <c r="D1031" s="8"/>
      <c r="E1031" s="8"/>
      <c r="F1031" s="8"/>
      <c r="G1031" s="8"/>
      <c r="H1031" s="8"/>
      <c r="I1031" s="10"/>
      <c r="J1031" s="10"/>
      <c r="K1031" s="18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ht="14.25" customHeight="1">
      <c r="A1032" s="9"/>
      <c r="B1032" s="8"/>
      <c r="C1032" s="8"/>
      <c r="D1032" s="8"/>
      <c r="E1032" s="8"/>
      <c r="F1032" s="8"/>
      <c r="G1032" s="8"/>
      <c r="H1032" s="8"/>
      <c r="I1032" s="10"/>
      <c r="J1032" s="10"/>
      <c r="K1032" s="18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ht="14.25" customHeight="1">
      <c r="A1033" s="9"/>
      <c r="B1033" s="8"/>
      <c r="C1033" s="8"/>
      <c r="D1033" s="8"/>
      <c r="E1033" s="8"/>
      <c r="F1033" s="8"/>
      <c r="G1033" s="8"/>
      <c r="H1033" s="8"/>
      <c r="I1033" s="10"/>
      <c r="J1033" s="10"/>
      <c r="K1033" s="18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ht="14.25" customHeight="1">
      <c r="A1034" s="9"/>
      <c r="B1034" s="8"/>
      <c r="C1034" s="8"/>
      <c r="D1034" s="8"/>
      <c r="E1034" s="8"/>
      <c r="F1034" s="8"/>
      <c r="G1034" s="8"/>
      <c r="H1034" s="8"/>
      <c r="I1034" s="10"/>
      <c r="J1034" s="10"/>
      <c r="K1034" s="18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ht="14.25" customHeight="1">
      <c r="A1035" s="9"/>
      <c r="B1035" s="8"/>
      <c r="C1035" s="8"/>
      <c r="D1035" s="8"/>
      <c r="E1035" s="8"/>
      <c r="F1035" s="8"/>
      <c r="G1035" s="8"/>
      <c r="H1035" s="8"/>
      <c r="I1035" s="10"/>
      <c r="J1035" s="10"/>
      <c r="K1035" s="18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ht="14.25" customHeight="1">
      <c r="A1036" s="9"/>
      <c r="B1036" s="8"/>
      <c r="C1036" s="8"/>
      <c r="D1036" s="8"/>
      <c r="E1036" s="8"/>
      <c r="F1036" s="8"/>
      <c r="G1036" s="8"/>
      <c r="H1036" s="8"/>
      <c r="I1036" s="10"/>
      <c r="J1036" s="10"/>
      <c r="K1036" s="18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ht="14.25" customHeight="1">
      <c r="A1037" s="9"/>
      <c r="B1037" s="8"/>
      <c r="C1037" s="8"/>
      <c r="D1037" s="8"/>
      <c r="E1037" s="8"/>
      <c r="F1037" s="8"/>
      <c r="G1037" s="8"/>
      <c r="H1037" s="8"/>
      <c r="I1037" s="10"/>
      <c r="J1037" s="10"/>
      <c r="K1037" s="18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ht="14.25" customHeight="1">
      <c r="A1038" s="9"/>
      <c r="B1038" s="8"/>
      <c r="C1038" s="8"/>
      <c r="D1038" s="8"/>
      <c r="E1038" s="8"/>
      <c r="F1038" s="8"/>
      <c r="G1038" s="8"/>
      <c r="H1038" s="8"/>
      <c r="I1038" s="10"/>
      <c r="J1038" s="10"/>
      <c r="K1038" s="18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ht="14.25" customHeight="1">
      <c r="A1039" s="9"/>
      <c r="B1039" s="8"/>
      <c r="C1039" s="8"/>
      <c r="D1039" s="8"/>
      <c r="E1039" s="8"/>
      <c r="F1039" s="8"/>
      <c r="G1039" s="8"/>
      <c r="H1039" s="8"/>
      <c r="I1039" s="10"/>
      <c r="J1039" s="10"/>
      <c r="K1039" s="18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ht="14.25" customHeight="1">
      <c r="A1040" s="9"/>
      <c r="B1040" s="8"/>
      <c r="C1040" s="8"/>
      <c r="D1040" s="8"/>
      <c r="E1040" s="8"/>
      <c r="F1040" s="8"/>
      <c r="G1040" s="8"/>
      <c r="H1040" s="8"/>
      <c r="I1040" s="10"/>
      <c r="J1040" s="10"/>
      <c r="K1040" s="18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ht="14.25" customHeight="1">
      <c r="A1041" s="9"/>
      <c r="B1041" s="8"/>
      <c r="C1041" s="8"/>
      <c r="D1041" s="8"/>
      <c r="E1041" s="8"/>
      <c r="F1041" s="8"/>
      <c r="G1041" s="8"/>
      <c r="H1041" s="8"/>
      <c r="I1041" s="10"/>
      <c r="J1041" s="10"/>
      <c r="K1041" s="18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ht="14.25" customHeight="1">
      <c r="A1042" s="9"/>
      <c r="B1042" s="8"/>
      <c r="C1042" s="8"/>
      <c r="D1042" s="8"/>
      <c r="E1042" s="8"/>
      <c r="F1042" s="8"/>
      <c r="G1042" s="8"/>
      <c r="H1042" s="8"/>
      <c r="I1042" s="10"/>
      <c r="J1042" s="10"/>
      <c r="K1042" s="18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ht="14.25" customHeight="1">
      <c r="A1043" s="9"/>
      <c r="B1043" s="8"/>
      <c r="C1043" s="8"/>
      <c r="D1043" s="8"/>
      <c r="E1043" s="8"/>
      <c r="F1043" s="8"/>
      <c r="G1043" s="8"/>
      <c r="H1043" s="8"/>
      <c r="I1043" s="10"/>
      <c r="J1043" s="10"/>
      <c r="K1043" s="18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ht="14.25" customHeight="1">
      <c r="A1044" s="9"/>
      <c r="B1044" s="8"/>
      <c r="C1044" s="8"/>
      <c r="D1044" s="8"/>
      <c r="E1044" s="8"/>
      <c r="F1044" s="8"/>
      <c r="G1044" s="8"/>
      <c r="H1044" s="8"/>
      <c r="I1044" s="10"/>
      <c r="J1044" s="10"/>
      <c r="K1044" s="18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ht="14.25" customHeight="1">
      <c r="A1045" s="9"/>
      <c r="B1045" s="8"/>
      <c r="C1045" s="8"/>
      <c r="D1045" s="8"/>
      <c r="E1045" s="8"/>
      <c r="F1045" s="8"/>
      <c r="G1045" s="8"/>
      <c r="H1045" s="8"/>
      <c r="I1045" s="10"/>
      <c r="J1045" s="10"/>
      <c r="K1045" s="18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ht="14.25" customHeight="1">
      <c r="A1046" s="9"/>
      <c r="B1046" s="8"/>
      <c r="C1046" s="8"/>
      <c r="D1046" s="8"/>
      <c r="E1046" s="8"/>
      <c r="F1046" s="8"/>
      <c r="G1046" s="8"/>
      <c r="H1046" s="8"/>
      <c r="I1046" s="10"/>
      <c r="J1046" s="10"/>
      <c r="K1046" s="18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ht="14.25" customHeight="1">
      <c r="A1047" s="9"/>
      <c r="B1047" s="8"/>
      <c r="C1047" s="8"/>
      <c r="D1047" s="8"/>
      <c r="E1047" s="8"/>
      <c r="F1047" s="8"/>
      <c r="G1047" s="8"/>
      <c r="H1047" s="8"/>
      <c r="I1047" s="10"/>
      <c r="J1047" s="10"/>
      <c r="K1047" s="18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ht="14.25" customHeight="1">
      <c r="A1048" s="9"/>
      <c r="B1048" s="8"/>
      <c r="C1048" s="8"/>
      <c r="D1048" s="8"/>
      <c r="E1048" s="8"/>
      <c r="F1048" s="8"/>
      <c r="G1048" s="8"/>
      <c r="H1048" s="8"/>
      <c r="I1048" s="10"/>
      <c r="J1048" s="10"/>
      <c r="K1048" s="18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ht="14.25" customHeight="1">
      <c r="A1049" s="9"/>
      <c r="B1049" s="8"/>
      <c r="C1049" s="8"/>
      <c r="D1049" s="8"/>
      <c r="E1049" s="8"/>
      <c r="F1049" s="8"/>
      <c r="G1049" s="8"/>
      <c r="H1049" s="8"/>
      <c r="I1049" s="10"/>
      <c r="J1049" s="10"/>
      <c r="K1049" s="18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ht="14.25" customHeight="1">
      <c r="A1050" s="9"/>
      <c r="B1050" s="8"/>
      <c r="C1050" s="8"/>
      <c r="D1050" s="8"/>
      <c r="E1050" s="8"/>
      <c r="F1050" s="8"/>
      <c r="G1050" s="8"/>
      <c r="H1050" s="8"/>
      <c r="I1050" s="10"/>
      <c r="J1050" s="10"/>
      <c r="K1050" s="18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ht="14.25" customHeight="1">
      <c r="A1051" s="9"/>
      <c r="B1051" s="8"/>
      <c r="C1051" s="8"/>
      <c r="D1051" s="8"/>
      <c r="E1051" s="8"/>
      <c r="F1051" s="8"/>
      <c r="G1051" s="8"/>
      <c r="H1051" s="8"/>
      <c r="I1051" s="10"/>
      <c r="J1051" s="10"/>
      <c r="K1051" s="18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ht="14.25" customHeight="1">
      <c r="A1052" s="9"/>
      <c r="B1052" s="8"/>
      <c r="C1052" s="8"/>
      <c r="D1052" s="8"/>
      <c r="E1052" s="8"/>
      <c r="F1052" s="8"/>
      <c r="G1052" s="8"/>
      <c r="H1052" s="8"/>
      <c r="I1052" s="10"/>
      <c r="J1052" s="10"/>
      <c r="K1052" s="18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ht="14.25" customHeight="1">
      <c r="A1053" s="9"/>
      <c r="B1053" s="8"/>
      <c r="C1053" s="8"/>
      <c r="D1053" s="8"/>
      <c r="E1053" s="8"/>
      <c r="F1053" s="8"/>
      <c r="G1053" s="8"/>
      <c r="H1053" s="8"/>
      <c r="I1053" s="10"/>
      <c r="J1053" s="10"/>
      <c r="K1053" s="18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ht="14.25" customHeight="1">
      <c r="A1054" s="9"/>
      <c r="B1054" s="8"/>
      <c r="C1054" s="8"/>
      <c r="D1054" s="8"/>
      <c r="E1054" s="8"/>
      <c r="F1054" s="8"/>
      <c r="G1054" s="8"/>
      <c r="H1054" s="8"/>
      <c r="I1054" s="10"/>
      <c r="J1054" s="10"/>
      <c r="K1054" s="18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ht="14.25" customHeight="1">
      <c r="A1055" s="9"/>
      <c r="B1055" s="8"/>
      <c r="C1055" s="8"/>
      <c r="D1055" s="8"/>
      <c r="E1055" s="8"/>
      <c r="F1055" s="8"/>
      <c r="G1055" s="8"/>
      <c r="H1055" s="8"/>
      <c r="I1055" s="10"/>
      <c r="J1055" s="10"/>
      <c r="K1055" s="18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ht="14.25" customHeight="1">
      <c r="A1056" s="9"/>
      <c r="B1056" s="8"/>
      <c r="C1056" s="8"/>
      <c r="D1056" s="8"/>
      <c r="E1056" s="8"/>
      <c r="F1056" s="8"/>
      <c r="G1056" s="8"/>
      <c r="H1056" s="8"/>
      <c r="I1056" s="10"/>
      <c r="J1056" s="10"/>
      <c r="K1056" s="18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ht="14.25" customHeight="1">
      <c r="A1057" s="9"/>
      <c r="B1057" s="8"/>
      <c r="C1057" s="8"/>
      <c r="D1057" s="8"/>
      <c r="E1057" s="8"/>
      <c r="F1057" s="8"/>
      <c r="G1057" s="8"/>
      <c r="H1057" s="8"/>
      <c r="I1057" s="10"/>
      <c r="J1057" s="10"/>
      <c r="K1057" s="18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ht="14.25" customHeight="1">
      <c r="A1058" s="9"/>
      <c r="B1058" s="8"/>
      <c r="C1058" s="8"/>
      <c r="D1058" s="8"/>
      <c r="E1058" s="8"/>
      <c r="F1058" s="8"/>
      <c r="G1058" s="8"/>
      <c r="H1058" s="8"/>
      <c r="I1058" s="10"/>
      <c r="J1058" s="10"/>
      <c r="K1058" s="18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ht="14.25" customHeight="1">
      <c r="A1059" s="9"/>
      <c r="B1059" s="8"/>
      <c r="C1059" s="8"/>
      <c r="D1059" s="8"/>
      <c r="E1059" s="8"/>
      <c r="F1059" s="8"/>
      <c r="G1059" s="8"/>
      <c r="H1059" s="8"/>
      <c r="I1059" s="10"/>
      <c r="J1059" s="10"/>
      <c r="K1059" s="18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ht="14.25" customHeight="1">
      <c r="A1060" s="9"/>
      <c r="B1060" s="8"/>
      <c r="C1060" s="8"/>
      <c r="D1060" s="8"/>
      <c r="E1060" s="8"/>
      <c r="F1060" s="8"/>
      <c r="G1060" s="8"/>
      <c r="H1060" s="8"/>
      <c r="I1060" s="10"/>
      <c r="J1060" s="10"/>
      <c r="K1060" s="18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ht="14.25" customHeight="1">
      <c r="A1061" s="9"/>
      <c r="B1061" s="8"/>
      <c r="C1061" s="8"/>
      <c r="D1061" s="8"/>
      <c r="E1061" s="8"/>
      <c r="F1061" s="8"/>
      <c r="G1061" s="8"/>
      <c r="H1061" s="8"/>
      <c r="I1061" s="10"/>
      <c r="J1061" s="10"/>
      <c r="K1061" s="18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ht="14.25" customHeight="1">
      <c r="A1062" s="9"/>
      <c r="B1062" s="8"/>
      <c r="C1062" s="8"/>
      <c r="D1062" s="8"/>
      <c r="E1062" s="8"/>
      <c r="F1062" s="8"/>
      <c r="G1062" s="8"/>
      <c r="H1062" s="8"/>
      <c r="I1062" s="10"/>
      <c r="J1062" s="10"/>
      <c r="K1062" s="18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ht="14.25" customHeight="1">
      <c r="A1063" s="9"/>
      <c r="B1063" s="8"/>
      <c r="C1063" s="8"/>
      <c r="D1063" s="8"/>
      <c r="E1063" s="8"/>
      <c r="F1063" s="8"/>
      <c r="G1063" s="8"/>
      <c r="H1063" s="8"/>
      <c r="I1063" s="10"/>
      <c r="J1063" s="10"/>
      <c r="K1063" s="18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ht="14.25" customHeight="1">
      <c r="A1064" s="9"/>
      <c r="B1064" s="8"/>
      <c r="C1064" s="8"/>
      <c r="D1064" s="8"/>
      <c r="E1064" s="8"/>
      <c r="F1064" s="8"/>
      <c r="G1064" s="8"/>
      <c r="H1064" s="8"/>
      <c r="I1064" s="10"/>
      <c r="J1064" s="10"/>
      <c r="K1064" s="18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ht="14.25" customHeight="1">
      <c r="A1065" s="9"/>
      <c r="B1065" s="8"/>
      <c r="C1065" s="8"/>
      <c r="D1065" s="8"/>
      <c r="E1065" s="8"/>
      <c r="F1065" s="8"/>
      <c r="G1065" s="8"/>
      <c r="H1065" s="8"/>
      <c r="I1065" s="10"/>
      <c r="J1065" s="10"/>
      <c r="K1065" s="18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ht="14.25" customHeight="1">
      <c r="A1066" s="9"/>
      <c r="B1066" s="8"/>
      <c r="C1066" s="8"/>
      <c r="D1066" s="8"/>
      <c r="E1066" s="8"/>
      <c r="F1066" s="8"/>
      <c r="G1066" s="8"/>
      <c r="H1066" s="8"/>
      <c r="I1066" s="10"/>
      <c r="J1066" s="10"/>
      <c r="K1066" s="18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ht="14.25" customHeight="1">
      <c r="A1067" s="9"/>
      <c r="B1067" s="8"/>
      <c r="C1067" s="8"/>
      <c r="D1067" s="8"/>
      <c r="E1067" s="8"/>
      <c r="F1067" s="8"/>
      <c r="G1067" s="8"/>
      <c r="H1067" s="8"/>
      <c r="I1067" s="10"/>
      <c r="J1067" s="10"/>
      <c r="K1067" s="18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ht="14.25" customHeight="1">
      <c r="A1068" s="9"/>
      <c r="B1068" s="8"/>
      <c r="C1068" s="8"/>
      <c r="D1068" s="8"/>
      <c r="E1068" s="8"/>
      <c r="F1068" s="8"/>
      <c r="G1068" s="8"/>
      <c r="H1068" s="8"/>
      <c r="I1068" s="10"/>
      <c r="J1068" s="10"/>
      <c r="K1068" s="18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ht="14.25" customHeight="1">
      <c r="A1069" s="9"/>
      <c r="B1069" s="8"/>
      <c r="C1069" s="8"/>
      <c r="D1069" s="8"/>
      <c r="E1069" s="8"/>
      <c r="F1069" s="8"/>
      <c r="G1069" s="8"/>
      <c r="H1069" s="8"/>
      <c r="I1069" s="10"/>
      <c r="J1069" s="10"/>
      <c r="K1069" s="18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ht="14.25" customHeight="1">
      <c r="A1070" s="9"/>
      <c r="B1070" s="8"/>
      <c r="C1070" s="8"/>
      <c r="D1070" s="8"/>
      <c r="E1070" s="8"/>
      <c r="F1070" s="8"/>
      <c r="G1070" s="8"/>
      <c r="H1070" s="8"/>
      <c r="I1070" s="10"/>
      <c r="J1070" s="10"/>
      <c r="K1070" s="18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ht="14.25" customHeight="1">
      <c r="A1071" s="9"/>
      <c r="B1071" s="8"/>
      <c r="C1071" s="8"/>
      <c r="D1071" s="8"/>
      <c r="E1071" s="8"/>
      <c r="F1071" s="8"/>
      <c r="G1071" s="8"/>
      <c r="H1071" s="8"/>
      <c r="I1071" s="10"/>
      <c r="J1071" s="10"/>
      <c r="K1071" s="18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ht="14.25" customHeight="1">
      <c r="A1072" s="9"/>
      <c r="B1072" s="8"/>
      <c r="C1072" s="8"/>
      <c r="D1072" s="8"/>
      <c r="E1072" s="8"/>
      <c r="F1072" s="8"/>
      <c r="G1072" s="8"/>
      <c r="H1072" s="8"/>
      <c r="I1072" s="10"/>
      <c r="J1072" s="10"/>
      <c r="K1072" s="18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ht="14.25" customHeight="1">
      <c r="A1073" s="9"/>
      <c r="B1073" s="8"/>
      <c r="C1073" s="8"/>
      <c r="D1073" s="8"/>
      <c r="E1073" s="8"/>
      <c r="F1073" s="8"/>
      <c r="G1073" s="8"/>
      <c r="H1073" s="8"/>
      <c r="I1073" s="10"/>
      <c r="J1073" s="10"/>
      <c r="K1073" s="18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ht="14.25" customHeight="1">
      <c r="A1074" s="9"/>
      <c r="B1074" s="8"/>
      <c r="C1074" s="8"/>
      <c r="D1074" s="8"/>
      <c r="E1074" s="8"/>
      <c r="F1074" s="8"/>
      <c r="G1074" s="8"/>
      <c r="H1074" s="8"/>
      <c r="I1074" s="10"/>
      <c r="J1074" s="10"/>
      <c r="K1074" s="18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ht="14.25" customHeight="1">
      <c r="A1075" s="9"/>
      <c r="B1075" s="8"/>
      <c r="C1075" s="8"/>
      <c r="D1075" s="8"/>
      <c r="E1075" s="8"/>
      <c r="F1075" s="8"/>
      <c r="G1075" s="8"/>
      <c r="H1075" s="8"/>
      <c r="I1075" s="10"/>
      <c r="J1075" s="10"/>
      <c r="K1075" s="18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ht="14.25" customHeight="1">
      <c r="A1076" s="9"/>
      <c r="B1076" s="8"/>
      <c r="C1076" s="8"/>
      <c r="D1076" s="8"/>
      <c r="E1076" s="8"/>
      <c r="F1076" s="8"/>
      <c r="G1076" s="8"/>
      <c r="H1076" s="8"/>
      <c r="I1076" s="10"/>
      <c r="J1076" s="10"/>
      <c r="K1076" s="18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ht="14.25" customHeight="1">
      <c r="A1077" s="9"/>
      <c r="B1077" s="8"/>
      <c r="C1077" s="8"/>
      <c r="D1077" s="8"/>
      <c r="E1077" s="8"/>
      <c r="F1077" s="8"/>
      <c r="G1077" s="8"/>
      <c r="H1077" s="8"/>
      <c r="I1077" s="10"/>
      <c r="J1077" s="10"/>
      <c r="K1077" s="18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ht="14.25" customHeight="1">
      <c r="A1078" s="9"/>
      <c r="B1078" s="8"/>
      <c r="C1078" s="8"/>
      <c r="D1078" s="8"/>
      <c r="E1078" s="8"/>
      <c r="F1078" s="8"/>
      <c r="G1078" s="8"/>
      <c r="H1078" s="8"/>
      <c r="I1078" s="10"/>
      <c r="J1078" s="10"/>
      <c r="K1078" s="18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ht="14.25" customHeight="1">
      <c r="A1079" s="9"/>
      <c r="B1079" s="8"/>
      <c r="C1079" s="8"/>
      <c r="D1079" s="8"/>
      <c r="E1079" s="8"/>
      <c r="F1079" s="8"/>
      <c r="G1079" s="8"/>
      <c r="H1079" s="8"/>
      <c r="I1079" s="10"/>
      <c r="J1079" s="10"/>
      <c r="K1079" s="18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ht="14.25" customHeight="1">
      <c r="A1080" s="9"/>
      <c r="B1080" s="8"/>
      <c r="C1080" s="8"/>
      <c r="D1080" s="8"/>
      <c r="E1080" s="8"/>
      <c r="F1080" s="8"/>
      <c r="G1080" s="8"/>
      <c r="H1080" s="8"/>
      <c r="I1080" s="10"/>
      <c r="J1080" s="10"/>
      <c r="K1080" s="18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ht="14.25" customHeight="1">
      <c r="A1081" s="9"/>
      <c r="B1081" s="8"/>
      <c r="C1081" s="8"/>
      <c r="D1081" s="8"/>
      <c r="E1081" s="8"/>
      <c r="F1081" s="8"/>
      <c r="G1081" s="8"/>
      <c r="H1081" s="8"/>
      <c r="I1081" s="10"/>
      <c r="J1081" s="10"/>
      <c r="K1081" s="18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ht="14.25" customHeight="1">
      <c r="A1082" s="9"/>
      <c r="B1082" s="8"/>
      <c r="C1082" s="8"/>
      <c r="D1082" s="8"/>
      <c r="E1082" s="8"/>
      <c r="F1082" s="8"/>
      <c r="G1082" s="8"/>
      <c r="H1082" s="8"/>
      <c r="I1082" s="10"/>
      <c r="J1082" s="10"/>
      <c r="K1082" s="18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ht="14.25" customHeight="1">
      <c r="A1083" s="9"/>
      <c r="B1083" s="8"/>
      <c r="C1083" s="8"/>
      <c r="D1083" s="8"/>
      <c r="E1083" s="8"/>
      <c r="F1083" s="8"/>
      <c r="G1083" s="8"/>
      <c r="H1083" s="8"/>
      <c r="I1083" s="10"/>
      <c r="J1083" s="10"/>
      <c r="K1083" s="18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ht="14.25" customHeight="1">
      <c r="A1084" s="9"/>
      <c r="B1084" s="8"/>
      <c r="C1084" s="8"/>
      <c r="D1084" s="8"/>
      <c r="E1084" s="8"/>
      <c r="F1084" s="8"/>
      <c r="G1084" s="8"/>
      <c r="H1084" s="8"/>
      <c r="I1084" s="10"/>
      <c r="J1084" s="10"/>
      <c r="K1084" s="18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ht="14.25" customHeight="1">
      <c r="A1085" s="9"/>
      <c r="B1085" s="8"/>
      <c r="C1085" s="8"/>
      <c r="D1085" s="8"/>
      <c r="E1085" s="8"/>
      <c r="F1085" s="8"/>
      <c r="G1085" s="8"/>
      <c r="H1085" s="8"/>
      <c r="I1085" s="10"/>
      <c r="J1085" s="10"/>
      <c r="K1085" s="18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ht="14.25" customHeight="1">
      <c r="A1086" s="9"/>
      <c r="B1086" s="8"/>
      <c r="C1086" s="8"/>
      <c r="D1086" s="8"/>
      <c r="E1086" s="8"/>
      <c r="F1086" s="8"/>
      <c r="G1086" s="8"/>
      <c r="H1086" s="8"/>
      <c r="I1086" s="10"/>
      <c r="J1086" s="10"/>
      <c r="K1086" s="18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ht="14.25" customHeight="1">
      <c r="A1087" s="9"/>
      <c r="B1087" s="8"/>
      <c r="C1087" s="8"/>
      <c r="D1087" s="8"/>
      <c r="E1087" s="8"/>
      <c r="F1087" s="8"/>
      <c r="G1087" s="8"/>
      <c r="H1087" s="8"/>
      <c r="I1087" s="10"/>
      <c r="J1087" s="10"/>
      <c r="K1087" s="18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ht="14.25" customHeight="1">
      <c r="A1088" s="9"/>
      <c r="B1088" s="8"/>
      <c r="C1088" s="8"/>
      <c r="D1088" s="8"/>
      <c r="E1088" s="8"/>
      <c r="F1088" s="8"/>
      <c r="G1088" s="8"/>
      <c r="H1088" s="8"/>
      <c r="I1088" s="10"/>
      <c r="J1088" s="10"/>
      <c r="K1088" s="18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ht="14.25" customHeight="1">
      <c r="A1089" s="9"/>
      <c r="B1089" s="8"/>
      <c r="C1089" s="8"/>
      <c r="D1089" s="8"/>
      <c r="E1089" s="8"/>
      <c r="F1089" s="8"/>
      <c r="G1089" s="8"/>
      <c r="H1089" s="8"/>
      <c r="I1089" s="10"/>
      <c r="J1089" s="10"/>
      <c r="K1089" s="18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ht="14.25" customHeight="1">
      <c r="A1090" s="9"/>
      <c r="B1090" s="8"/>
      <c r="C1090" s="8"/>
      <c r="D1090" s="8"/>
      <c r="E1090" s="8"/>
      <c r="F1090" s="8"/>
      <c r="G1090" s="8"/>
      <c r="H1090" s="8"/>
      <c r="I1090" s="10"/>
      <c r="J1090" s="10"/>
      <c r="K1090" s="18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ht="14.25" customHeight="1">
      <c r="A1091" s="9"/>
      <c r="B1091" s="8"/>
      <c r="C1091" s="8"/>
      <c r="D1091" s="8"/>
      <c r="E1091" s="8"/>
      <c r="F1091" s="8"/>
      <c r="G1091" s="8"/>
      <c r="H1091" s="8"/>
      <c r="I1091" s="10"/>
      <c r="J1091" s="10"/>
      <c r="K1091" s="18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ht="14.25" customHeight="1">
      <c r="A1092" s="9"/>
      <c r="B1092" s="8"/>
      <c r="C1092" s="8"/>
      <c r="D1092" s="8"/>
      <c r="E1092" s="8"/>
      <c r="F1092" s="8"/>
      <c r="G1092" s="8"/>
      <c r="H1092" s="8"/>
      <c r="I1092" s="10"/>
      <c r="J1092" s="10"/>
      <c r="K1092" s="18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ht="14.25" customHeight="1">
      <c r="A1093" s="9"/>
      <c r="B1093" s="8"/>
      <c r="C1093" s="8"/>
      <c r="D1093" s="8"/>
      <c r="E1093" s="8"/>
      <c r="F1093" s="8"/>
      <c r="G1093" s="8"/>
      <c r="H1093" s="8"/>
      <c r="I1093" s="10"/>
      <c r="J1093" s="10"/>
      <c r="K1093" s="18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ht="14.25" customHeight="1">
      <c r="A1094" s="9"/>
      <c r="B1094" s="8"/>
      <c r="C1094" s="8"/>
      <c r="D1094" s="8"/>
      <c r="E1094" s="8"/>
      <c r="F1094" s="8"/>
      <c r="G1094" s="8"/>
      <c r="H1094" s="8"/>
      <c r="I1094" s="10"/>
      <c r="J1094" s="10"/>
      <c r="K1094" s="18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ht="14.25" customHeight="1">
      <c r="A1095" s="9"/>
      <c r="B1095" s="8"/>
      <c r="C1095" s="8"/>
      <c r="D1095" s="8"/>
      <c r="E1095" s="8"/>
      <c r="F1095" s="8"/>
      <c r="G1095" s="8"/>
      <c r="H1095" s="8"/>
      <c r="I1095" s="10"/>
      <c r="J1095" s="10"/>
      <c r="K1095" s="18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ht="14.25" customHeight="1">
      <c r="A1096" s="9"/>
      <c r="B1096" s="8"/>
      <c r="C1096" s="8"/>
      <c r="D1096" s="8"/>
      <c r="E1096" s="8"/>
      <c r="F1096" s="8"/>
      <c r="G1096" s="8"/>
      <c r="H1096" s="8"/>
      <c r="I1096" s="10"/>
      <c r="J1096" s="10"/>
      <c r="K1096" s="18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ht="14.25" customHeight="1">
      <c r="A1097" s="9"/>
      <c r="B1097" s="8"/>
      <c r="C1097" s="8"/>
      <c r="D1097" s="8"/>
      <c r="E1097" s="8"/>
      <c r="F1097" s="8"/>
      <c r="G1097" s="8"/>
      <c r="H1097" s="8"/>
      <c r="I1097" s="10"/>
      <c r="J1097" s="10"/>
      <c r="K1097" s="18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ht="14.25" customHeight="1">
      <c r="A1098" s="9"/>
      <c r="B1098" s="8"/>
      <c r="C1098" s="8"/>
      <c r="D1098" s="8"/>
      <c r="E1098" s="8"/>
      <c r="F1098" s="8"/>
      <c r="G1098" s="8"/>
      <c r="H1098" s="8"/>
      <c r="I1098" s="10"/>
      <c r="J1098" s="10"/>
      <c r="K1098" s="18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ht="14.25" customHeight="1">
      <c r="A1099" s="9"/>
      <c r="B1099" s="8"/>
      <c r="C1099" s="8"/>
      <c r="D1099" s="8"/>
      <c r="E1099" s="8"/>
      <c r="F1099" s="8"/>
      <c r="G1099" s="8"/>
      <c r="H1099" s="8"/>
      <c r="I1099" s="10"/>
      <c r="J1099" s="10"/>
      <c r="K1099" s="18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ht="14.25" customHeight="1">
      <c r="A1100" s="9"/>
      <c r="B1100" s="8"/>
      <c r="C1100" s="8"/>
      <c r="D1100" s="8"/>
      <c r="E1100" s="8"/>
      <c r="F1100" s="8"/>
      <c r="G1100" s="8"/>
      <c r="H1100" s="8"/>
      <c r="I1100" s="10"/>
      <c r="J1100" s="10"/>
      <c r="K1100" s="18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ht="14.25" customHeight="1">
      <c r="A1101" s="9"/>
      <c r="B1101" s="8"/>
      <c r="C1101" s="8"/>
      <c r="D1101" s="8"/>
      <c r="E1101" s="8"/>
      <c r="F1101" s="8"/>
      <c r="G1101" s="8"/>
      <c r="H1101" s="8"/>
      <c r="I1101" s="10"/>
      <c r="J1101" s="10"/>
      <c r="K1101" s="18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ht="14.25" customHeight="1">
      <c r="A1102" s="9"/>
      <c r="B1102" s="8"/>
      <c r="C1102" s="8"/>
      <c r="D1102" s="8"/>
      <c r="E1102" s="8"/>
      <c r="F1102" s="8"/>
      <c r="G1102" s="8"/>
      <c r="H1102" s="8"/>
      <c r="I1102" s="10"/>
      <c r="J1102" s="10"/>
      <c r="K1102" s="18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ht="14.25" customHeight="1">
      <c r="A1103" s="9"/>
      <c r="B1103" s="8"/>
      <c r="C1103" s="8"/>
      <c r="D1103" s="8"/>
      <c r="E1103" s="8"/>
      <c r="F1103" s="8"/>
      <c r="G1103" s="8"/>
      <c r="H1103" s="8"/>
      <c r="I1103" s="10"/>
      <c r="J1103" s="10"/>
      <c r="K1103" s="18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ht="14.25" customHeight="1">
      <c r="A1104" s="9"/>
      <c r="B1104" s="8"/>
      <c r="C1104" s="8"/>
      <c r="D1104" s="8"/>
      <c r="E1104" s="8"/>
      <c r="F1104" s="8"/>
      <c r="G1104" s="8"/>
      <c r="H1104" s="8"/>
      <c r="I1104" s="10"/>
      <c r="J1104" s="10"/>
      <c r="K1104" s="18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ht="14.25" customHeight="1">
      <c r="A1105" s="9"/>
      <c r="B1105" s="8"/>
      <c r="C1105" s="8"/>
      <c r="D1105" s="8"/>
      <c r="E1105" s="8"/>
      <c r="F1105" s="8"/>
      <c r="G1105" s="8"/>
      <c r="H1105" s="8"/>
      <c r="I1105" s="10"/>
      <c r="J1105" s="10"/>
      <c r="K1105" s="18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ht="14.25" customHeight="1">
      <c r="A1106" s="9"/>
      <c r="B1106" s="8"/>
      <c r="C1106" s="8"/>
      <c r="D1106" s="8"/>
      <c r="E1106" s="8"/>
      <c r="F1106" s="8"/>
      <c r="G1106" s="8"/>
      <c r="H1106" s="8"/>
      <c r="I1106" s="10"/>
      <c r="J1106" s="10"/>
      <c r="K1106" s="18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ht="14.25" customHeight="1">
      <c r="A1107" s="9"/>
      <c r="B1107" s="8"/>
      <c r="C1107" s="8"/>
      <c r="D1107" s="8"/>
      <c r="E1107" s="8"/>
      <c r="F1107" s="8"/>
      <c r="G1107" s="8"/>
      <c r="H1107" s="8"/>
      <c r="I1107" s="10"/>
      <c r="J1107" s="10"/>
      <c r="K1107" s="18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ht="14.25" customHeight="1">
      <c r="A1108" s="9"/>
      <c r="B1108" s="8"/>
      <c r="C1108" s="8"/>
      <c r="D1108" s="8"/>
      <c r="E1108" s="8"/>
      <c r="F1108" s="8"/>
      <c r="G1108" s="8"/>
      <c r="H1108" s="8"/>
      <c r="I1108" s="10"/>
      <c r="J1108" s="10"/>
      <c r="K1108" s="18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ht="14.25" customHeight="1">
      <c r="A1109" s="9"/>
      <c r="B1109" s="8"/>
      <c r="C1109" s="8"/>
      <c r="D1109" s="8"/>
      <c r="E1109" s="8"/>
      <c r="F1109" s="8"/>
      <c r="G1109" s="8"/>
      <c r="H1109" s="8"/>
      <c r="I1109" s="10"/>
      <c r="J1109" s="10"/>
      <c r="K1109" s="18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ht="14.25" customHeight="1">
      <c r="A1110" s="9"/>
      <c r="B1110" s="8"/>
      <c r="C1110" s="8"/>
      <c r="D1110" s="8"/>
      <c r="E1110" s="8"/>
      <c r="F1110" s="8"/>
      <c r="G1110" s="8"/>
      <c r="H1110" s="8"/>
      <c r="I1110" s="10"/>
      <c r="J1110" s="10"/>
      <c r="K1110" s="18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ht="14.25" customHeight="1">
      <c r="A1111" s="9"/>
      <c r="B1111" s="8"/>
      <c r="C1111" s="8"/>
      <c r="D1111" s="8"/>
      <c r="E1111" s="8"/>
      <c r="F1111" s="8"/>
      <c r="G1111" s="8"/>
      <c r="H1111" s="8"/>
      <c r="I1111" s="10"/>
      <c r="J1111" s="10"/>
      <c r="K1111" s="18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ht="14.25" customHeight="1">
      <c r="A1112" s="9"/>
      <c r="B1112" s="8"/>
      <c r="C1112" s="8"/>
      <c r="D1112" s="8"/>
      <c r="E1112" s="8"/>
      <c r="F1112" s="8"/>
      <c r="G1112" s="8"/>
      <c r="H1112" s="8"/>
      <c r="I1112" s="10"/>
      <c r="J1112" s="10"/>
      <c r="K1112" s="18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ht="14.25" customHeight="1">
      <c r="A1113" s="9"/>
      <c r="B1113" s="8"/>
      <c r="C1113" s="8"/>
      <c r="D1113" s="8"/>
      <c r="E1113" s="8"/>
      <c r="F1113" s="8"/>
      <c r="G1113" s="8"/>
      <c r="H1113" s="8"/>
      <c r="I1113" s="10"/>
      <c r="J1113" s="10"/>
      <c r="K1113" s="18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ht="14.25" customHeight="1">
      <c r="A1114" s="9"/>
      <c r="B1114" s="8"/>
      <c r="C1114" s="8"/>
      <c r="D1114" s="8"/>
      <c r="E1114" s="8"/>
      <c r="F1114" s="8"/>
      <c r="G1114" s="8"/>
      <c r="H1114" s="8"/>
      <c r="I1114" s="10"/>
      <c r="J1114" s="10"/>
      <c r="K1114" s="18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ht="14.25" customHeight="1">
      <c r="A1115" s="9"/>
      <c r="B1115" s="8"/>
      <c r="C1115" s="8"/>
      <c r="D1115" s="8"/>
      <c r="E1115" s="8"/>
      <c r="F1115" s="8"/>
      <c r="G1115" s="8"/>
      <c r="H1115" s="8"/>
      <c r="I1115" s="10"/>
      <c r="J1115" s="10"/>
      <c r="K1115" s="18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ht="14.25" customHeight="1">
      <c r="A1116" s="9"/>
      <c r="B1116" s="8"/>
      <c r="C1116" s="8"/>
      <c r="D1116" s="8"/>
      <c r="E1116" s="8"/>
      <c r="F1116" s="8"/>
      <c r="G1116" s="8"/>
      <c r="H1116" s="8"/>
      <c r="I1116" s="10"/>
      <c r="J1116" s="10"/>
      <c r="K1116" s="18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ht="14.25" customHeight="1">
      <c r="A1117" s="9"/>
      <c r="B1117" s="8"/>
      <c r="C1117" s="8"/>
      <c r="D1117" s="8"/>
      <c r="E1117" s="8"/>
      <c r="F1117" s="8"/>
      <c r="G1117" s="8"/>
      <c r="H1117" s="8"/>
      <c r="I1117" s="10"/>
      <c r="J1117" s="10"/>
      <c r="K1117" s="18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ht="14.25" customHeight="1">
      <c r="A1118" s="9"/>
      <c r="B1118" s="8"/>
      <c r="C1118" s="8"/>
      <c r="D1118" s="8"/>
      <c r="E1118" s="8"/>
      <c r="F1118" s="8"/>
      <c r="G1118" s="8"/>
      <c r="H1118" s="8"/>
      <c r="I1118" s="10"/>
      <c r="J1118" s="10"/>
      <c r="K1118" s="18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ht="14.25" customHeight="1">
      <c r="A1119" s="9"/>
      <c r="B1119" s="8"/>
      <c r="C1119" s="8"/>
      <c r="D1119" s="8"/>
      <c r="E1119" s="8"/>
      <c r="F1119" s="8"/>
      <c r="G1119" s="8"/>
      <c r="H1119" s="8"/>
      <c r="I1119" s="10"/>
      <c r="J1119" s="10"/>
      <c r="K1119" s="18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ht="14.25" customHeight="1">
      <c r="A1120" s="9"/>
      <c r="B1120" s="8"/>
      <c r="C1120" s="8"/>
      <c r="D1120" s="8"/>
      <c r="E1120" s="8"/>
      <c r="F1120" s="8"/>
      <c r="G1120" s="8"/>
      <c r="H1120" s="8"/>
      <c r="I1120" s="10"/>
      <c r="J1120" s="10"/>
      <c r="K1120" s="18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ht="14.25" customHeight="1">
      <c r="A1121" s="9"/>
      <c r="B1121" s="8"/>
      <c r="C1121" s="8"/>
      <c r="D1121" s="8"/>
      <c r="E1121" s="8"/>
      <c r="F1121" s="8"/>
      <c r="G1121" s="8"/>
      <c r="H1121" s="8"/>
      <c r="I1121" s="10"/>
      <c r="J1121" s="10"/>
      <c r="K1121" s="18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ht="14.25" customHeight="1">
      <c r="A1122" s="9"/>
      <c r="B1122" s="8"/>
      <c r="C1122" s="8"/>
      <c r="D1122" s="8"/>
      <c r="E1122" s="8"/>
      <c r="F1122" s="8"/>
      <c r="G1122" s="8"/>
      <c r="H1122" s="8"/>
      <c r="I1122" s="10"/>
      <c r="J1122" s="10"/>
      <c r="K1122" s="18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ht="14.25" customHeight="1">
      <c r="A1123" s="9"/>
      <c r="B1123" s="8"/>
      <c r="C1123" s="8"/>
      <c r="D1123" s="8"/>
      <c r="E1123" s="8"/>
      <c r="F1123" s="8"/>
      <c r="G1123" s="8"/>
      <c r="H1123" s="8"/>
      <c r="I1123" s="10"/>
      <c r="J1123" s="10"/>
      <c r="K1123" s="18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ht="14.25" customHeight="1">
      <c r="A1124" s="9"/>
      <c r="B1124" s="8"/>
      <c r="C1124" s="8"/>
      <c r="D1124" s="8"/>
      <c r="E1124" s="8"/>
      <c r="F1124" s="8"/>
      <c r="G1124" s="8"/>
      <c r="H1124" s="8"/>
      <c r="I1124" s="10"/>
      <c r="J1124" s="10"/>
      <c r="K1124" s="18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ht="14.25" customHeight="1">
      <c r="A1125" s="9"/>
      <c r="B1125" s="8"/>
      <c r="C1125" s="8"/>
      <c r="D1125" s="8"/>
      <c r="E1125" s="8"/>
      <c r="F1125" s="8"/>
      <c r="G1125" s="8"/>
      <c r="H1125" s="8"/>
      <c r="I1125" s="10"/>
      <c r="J1125" s="10"/>
      <c r="K1125" s="18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ht="14.25" customHeight="1">
      <c r="A1126" s="9"/>
      <c r="B1126" s="8"/>
      <c r="C1126" s="8"/>
      <c r="D1126" s="8"/>
      <c r="E1126" s="8"/>
      <c r="F1126" s="8"/>
      <c r="G1126" s="8"/>
      <c r="H1126" s="8"/>
      <c r="I1126" s="10"/>
      <c r="J1126" s="10"/>
      <c r="K1126" s="18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ht="14.25" customHeight="1">
      <c r="A1127" s="9"/>
      <c r="B1127" s="8"/>
      <c r="C1127" s="8"/>
      <c r="D1127" s="8"/>
      <c r="E1127" s="8"/>
      <c r="F1127" s="8"/>
      <c r="G1127" s="8"/>
      <c r="H1127" s="8"/>
      <c r="I1127" s="10"/>
      <c r="J1127" s="10"/>
      <c r="K1127" s="18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ht="14.25" customHeight="1">
      <c r="A1128" s="9"/>
      <c r="B1128" s="8"/>
      <c r="C1128" s="8"/>
      <c r="D1128" s="8"/>
      <c r="E1128" s="8"/>
      <c r="F1128" s="8"/>
      <c r="G1128" s="8"/>
      <c r="H1128" s="8"/>
      <c r="I1128" s="10"/>
      <c r="J1128" s="10"/>
      <c r="K1128" s="18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ht="14.25" customHeight="1">
      <c r="A1129" s="9"/>
      <c r="B1129" s="8"/>
      <c r="C1129" s="8"/>
      <c r="D1129" s="8"/>
      <c r="E1129" s="8"/>
      <c r="F1129" s="8"/>
      <c r="G1129" s="8"/>
      <c r="H1129" s="8"/>
      <c r="I1129" s="10"/>
      <c r="J1129" s="10"/>
      <c r="K1129" s="18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ht="14.25" customHeight="1">
      <c r="A1130" s="9"/>
      <c r="B1130" s="8"/>
      <c r="C1130" s="8"/>
      <c r="D1130" s="8"/>
      <c r="E1130" s="8"/>
      <c r="F1130" s="8"/>
      <c r="G1130" s="8"/>
      <c r="H1130" s="8"/>
      <c r="I1130" s="10"/>
      <c r="J1130" s="10"/>
      <c r="K1130" s="18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ht="14.25" customHeight="1">
      <c r="A1131" s="9"/>
      <c r="B1131" s="8"/>
      <c r="C1131" s="8"/>
      <c r="D1131" s="8"/>
      <c r="E1131" s="8"/>
      <c r="F1131" s="8"/>
      <c r="G1131" s="8"/>
      <c r="H1131" s="8"/>
      <c r="I1131" s="10"/>
      <c r="J1131" s="10"/>
      <c r="K1131" s="18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ht="14.25" customHeight="1">
      <c r="A1132" s="9"/>
      <c r="B1132" s="8"/>
      <c r="C1132" s="8"/>
      <c r="D1132" s="8"/>
      <c r="E1132" s="8"/>
      <c r="F1132" s="8"/>
      <c r="G1132" s="8"/>
      <c r="H1132" s="8"/>
      <c r="I1132" s="10"/>
      <c r="J1132" s="10"/>
      <c r="K1132" s="18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ht="14.25" customHeight="1">
      <c r="A1133" s="9"/>
      <c r="B1133" s="8"/>
      <c r="C1133" s="8"/>
      <c r="D1133" s="8"/>
      <c r="E1133" s="8"/>
      <c r="F1133" s="8"/>
      <c r="G1133" s="8"/>
      <c r="H1133" s="8"/>
      <c r="I1133" s="10"/>
      <c r="J1133" s="10"/>
      <c r="K1133" s="18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ht="14.25" customHeight="1">
      <c r="A1134" s="9"/>
      <c r="B1134" s="8"/>
      <c r="C1134" s="8"/>
      <c r="D1134" s="8"/>
      <c r="E1134" s="8"/>
      <c r="F1134" s="8"/>
      <c r="G1134" s="8"/>
      <c r="H1134" s="8"/>
      <c r="I1134" s="10"/>
      <c r="J1134" s="10"/>
      <c r="K1134" s="18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ht="14.25" customHeight="1">
      <c r="A1135" s="9"/>
      <c r="B1135" s="8"/>
      <c r="C1135" s="8"/>
      <c r="D1135" s="8"/>
      <c r="E1135" s="8"/>
      <c r="F1135" s="8"/>
      <c r="G1135" s="8"/>
      <c r="H1135" s="8"/>
      <c r="I1135" s="10"/>
      <c r="J1135" s="10"/>
      <c r="K1135" s="18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ht="14.25" customHeight="1">
      <c r="A1136" s="9"/>
      <c r="B1136" s="8"/>
      <c r="C1136" s="8"/>
      <c r="D1136" s="8"/>
      <c r="E1136" s="8"/>
      <c r="F1136" s="8"/>
      <c r="G1136" s="8"/>
      <c r="H1136" s="8"/>
      <c r="I1136" s="10"/>
      <c r="J1136" s="10"/>
      <c r="K1136" s="18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ht="14.25" customHeight="1">
      <c r="A1137" s="9"/>
      <c r="B1137" s="8"/>
      <c r="C1137" s="8"/>
      <c r="D1137" s="8"/>
      <c r="E1137" s="8"/>
      <c r="F1137" s="8"/>
      <c r="G1137" s="8"/>
      <c r="H1137" s="8"/>
      <c r="I1137" s="10"/>
      <c r="J1137" s="10"/>
      <c r="K1137" s="18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ht="14.25" customHeight="1">
      <c r="A1138" s="9"/>
      <c r="B1138" s="8"/>
      <c r="C1138" s="8"/>
      <c r="D1138" s="8"/>
      <c r="E1138" s="8"/>
      <c r="F1138" s="8"/>
      <c r="G1138" s="8"/>
      <c r="H1138" s="8"/>
      <c r="I1138" s="10"/>
      <c r="J1138" s="10"/>
      <c r="K1138" s="18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ht="14.25" customHeight="1">
      <c r="A1139" s="9"/>
      <c r="B1139" s="8"/>
      <c r="C1139" s="8"/>
      <c r="D1139" s="8"/>
      <c r="E1139" s="8"/>
      <c r="F1139" s="8"/>
      <c r="G1139" s="8"/>
      <c r="H1139" s="8"/>
      <c r="I1139" s="10"/>
      <c r="J1139" s="10"/>
      <c r="K1139" s="18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ht="14.25" customHeight="1">
      <c r="A1140" s="9"/>
      <c r="B1140" s="8"/>
      <c r="C1140" s="8"/>
      <c r="D1140" s="8"/>
      <c r="E1140" s="8"/>
      <c r="F1140" s="8"/>
      <c r="G1140" s="8"/>
      <c r="H1140" s="8"/>
      <c r="I1140" s="10"/>
      <c r="J1140" s="10"/>
      <c r="K1140" s="18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ht="14.25" customHeight="1">
      <c r="A1141" s="9"/>
      <c r="B1141" s="8"/>
      <c r="C1141" s="8"/>
      <c r="D1141" s="8"/>
      <c r="E1141" s="8"/>
      <c r="F1141" s="8"/>
      <c r="G1141" s="8"/>
      <c r="H1141" s="8"/>
      <c r="I1141" s="10"/>
      <c r="J1141" s="10"/>
      <c r="K1141" s="18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ht="14.25" customHeight="1">
      <c r="A1142" s="9"/>
      <c r="B1142" s="8"/>
      <c r="C1142" s="8"/>
      <c r="D1142" s="8"/>
      <c r="E1142" s="8"/>
      <c r="F1142" s="8"/>
      <c r="G1142" s="8"/>
      <c r="H1142" s="8"/>
      <c r="I1142" s="10"/>
      <c r="J1142" s="10"/>
      <c r="K1142" s="18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ht="14.25" customHeight="1">
      <c r="A1143" s="9"/>
      <c r="B1143" s="8"/>
      <c r="C1143" s="8"/>
      <c r="D1143" s="8"/>
      <c r="E1143" s="8"/>
      <c r="F1143" s="8"/>
      <c r="G1143" s="8"/>
      <c r="H1143" s="8"/>
      <c r="I1143" s="10"/>
      <c r="J1143" s="10"/>
      <c r="K1143" s="18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ht="14.25" customHeight="1">
      <c r="A1144" s="9"/>
      <c r="B1144" s="8"/>
      <c r="C1144" s="8"/>
      <c r="D1144" s="8"/>
      <c r="E1144" s="8"/>
      <c r="F1144" s="8"/>
      <c r="G1144" s="8"/>
      <c r="H1144" s="8"/>
      <c r="I1144" s="10"/>
      <c r="J1144" s="10"/>
      <c r="K1144" s="18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ht="14.25" customHeight="1">
      <c r="A1145" s="9"/>
      <c r="B1145" s="8"/>
      <c r="C1145" s="8"/>
      <c r="D1145" s="8"/>
      <c r="E1145" s="8"/>
      <c r="F1145" s="8"/>
      <c r="G1145" s="8"/>
      <c r="H1145" s="8"/>
      <c r="I1145" s="10"/>
      <c r="J1145" s="10"/>
      <c r="K1145" s="18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ht="14.25" customHeight="1">
      <c r="A1146" s="9"/>
      <c r="B1146" s="8"/>
      <c r="C1146" s="8"/>
      <c r="D1146" s="8"/>
      <c r="E1146" s="8"/>
      <c r="F1146" s="8"/>
      <c r="G1146" s="8"/>
      <c r="H1146" s="8"/>
      <c r="I1146" s="10"/>
      <c r="J1146" s="10"/>
      <c r="K1146" s="18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ht="14.25" customHeight="1">
      <c r="A1147" s="9"/>
      <c r="B1147" s="8"/>
      <c r="C1147" s="8"/>
      <c r="D1147" s="8"/>
      <c r="E1147" s="8"/>
      <c r="F1147" s="8"/>
      <c r="G1147" s="8"/>
      <c r="H1147" s="8"/>
      <c r="I1147" s="10"/>
      <c r="J1147" s="10"/>
      <c r="K1147" s="18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ht="14.25" customHeight="1">
      <c r="A1148" s="9"/>
      <c r="B1148" s="8"/>
      <c r="C1148" s="8"/>
      <c r="D1148" s="8"/>
      <c r="E1148" s="8"/>
      <c r="F1148" s="8"/>
      <c r="G1148" s="8"/>
      <c r="H1148" s="8"/>
      <c r="I1148" s="10"/>
      <c r="J1148" s="10"/>
      <c r="K1148" s="18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ht="14.25" customHeight="1">
      <c r="A1149" s="9"/>
      <c r="B1149" s="8"/>
      <c r="C1149" s="8"/>
      <c r="D1149" s="8"/>
      <c r="E1149" s="8"/>
      <c r="F1149" s="8"/>
      <c r="G1149" s="8"/>
      <c r="H1149" s="8"/>
      <c r="I1149" s="10"/>
      <c r="J1149" s="10"/>
      <c r="K1149" s="18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ht="14.25" customHeight="1">
      <c r="A1150" s="9"/>
      <c r="B1150" s="8"/>
      <c r="C1150" s="8"/>
      <c r="D1150" s="8"/>
      <c r="E1150" s="8"/>
      <c r="F1150" s="8"/>
      <c r="G1150" s="8"/>
      <c r="H1150" s="8"/>
      <c r="I1150" s="10"/>
      <c r="J1150" s="10"/>
      <c r="K1150" s="18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ht="14.25" customHeight="1">
      <c r="A1151" s="9"/>
      <c r="B1151" s="8"/>
      <c r="C1151" s="8"/>
      <c r="D1151" s="8"/>
      <c r="E1151" s="8"/>
      <c r="F1151" s="8"/>
      <c r="G1151" s="8"/>
      <c r="H1151" s="8"/>
      <c r="I1151" s="10"/>
      <c r="J1151" s="10"/>
      <c r="K1151" s="18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ht="14.25" customHeight="1">
      <c r="A1152" s="9"/>
      <c r="B1152" s="8"/>
      <c r="C1152" s="8"/>
      <c r="D1152" s="8"/>
      <c r="E1152" s="8"/>
      <c r="F1152" s="8"/>
      <c r="G1152" s="8"/>
      <c r="H1152" s="8"/>
      <c r="I1152" s="10"/>
      <c r="J1152" s="10"/>
      <c r="K1152" s="18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ht="14.25" customHeight="1">
      <c r="A1153" s="9"/>
      <c r="B1153" s="8"/>
      <c r="C1153" s="8"/>
      <c r="D1153" s="8"/>
      <c r="E1153" s="8"/>
      <c r="F1153" s="8"/>
      <c r="G1153" s="8"/>
      <c r="H1153" s="8"/>
      <c r="I1153" s="10"/>
      <c r="J1153" s="10"/>
      <c r="K1153" s="18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ht="14.25" customHeight="1">
      <c r="A1154" s="9"/>
      <c r="B1154" s="8"/>
      <c r="C1154" s="8"/>
      <c r="D1154" s="8"/>
      <c r="E1154" s="8"/>
      <c r="F1154" s="8"/>
      <c r="G1154" s="8"/>
      <c r="H1154" s="8"/>
      <c r="I1154" s="10"/>
      <c r="J1154" s="10"/>
      <c r="K1154" s="18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ht="14.25" customHeight="1">
      <c r="A1155" s="9"/>
      <c r="B1155" s="8"/>
      <c r="C1155" s="8"/>
      <c r="D1155" s="8"/>
      <c r="E1155" s="8"/>
      <c r="F1155" s="8"/>
      <c r="G1155" s="8"/>
      <c r="H1155" s="8"/>
      <c r="I1155" s="10"/>
      <c r="J1155" s="10"/>
      <c r="K1155" s="18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ht="14.25" customHeight="1">
      <c r="A1156" s="9"/>
      <c r="B1156" s="8"/>
      <c r="C1156" s="8"/>
      <c r="D1156" s="8"/>
      <c r="E1156" s="8"/>
      <c r="F1156" s="8"/>
      <c r="G1156" s="8"/>
      <c r="H1156" s="8"/>
      <c r="I1156" s="10"/>
      <c r="J1156" s="10"/>
      <c r="K1156" s="18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ht="14.25" customHeight="1">
      <c r="A1157" s="9"/>
      <c r="B1157" s="8"/>
      <c r="C1157" s="8"/>
      <c r="D1157" s="8"/>
      <c r="E1157" s="8"/>
      <c r="F1157" s="8"/>
      <c r="G1157" s="8"/>
      <c r="H1157" s="8"/>
      <c r="I1157" s="10"/>
      <c r="J1157" s="10"/>
      <c r="K1157" s="18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ht="14.25" customHeight="1">
      <c r="A1158" s="9"/>
      <c r="B1158" s="8"/>
      <c r="C1158" s="8"/>
      <c r="D1158" s="8"/>
      <c r="E1158" s="8"/>
      <c r="F1158" s="8"/>
      <c r="G1158" s="8"/>
      <c r="H1158" s="8"/>
      <c r="I1158" s="10"/>
      <c r="J1158" s="10"/>
      <c r="K1158" s="18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ht="14.25" customHeight="1">
      <c r="A1159" s="9"/>
      <c r="B1159" s="8"/>
      <c r="C1159" s="8"/>
      <c r="D1159" s="8"/>
      <c r="E1159" s="8"/>
      <c r="F1159" s="8"/>
      <c r="G1159" s="8"/>
      <c r="H1159" s="8"/>
      <c r="I1159" s="10"/>
      <c r="J1159" s="10"/>
      <c r="K1159" s="18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ht="14.25" customHeight="1">
      <c r="A1160" s="9"/>
      <c r="B1160" s="8"/>
      <c r="C1160" s="8"/>
      <c r="D1160" s="8"/>
      <c r="E1160" s="8"/>
      <c r="F1160" s="8"/>
      <c r="G1160" s="8"/>
      <c r="H1160" s="8"/>
      <c r="I1160" s="10"/>
      <c r="J1160" s="10"/>
      <c r="K1160" s="18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ht="14.25" customHeight="1">
      <c r="A1161" s="9"/>
      <c r="B1161" s="8"/>
      <c r="C1161" s="8"/>
      <c r="D1161" s="8"/>
      <c r="E1161" s="8"/>
      <c r="F1161" s="8"/>
      <c r="G1161" s="8"/>
      <c r="H1161" s="8"/>
      <c r="I1161" s="10"/>
      <c r="J1161" s="10"/>
      <c r="K1161" s="18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ht="14.25" customHeight="1">
      <c r="A1162" s="9"/>
      <c r="B1162" s="8"/>
      <c r="C1162" s="8"/>
      <c r="D1162" s="8"/>
      <c r="E1162" s="8"/>
      <c r="F1162" s="8"/>
      <c r="G1162" s="8"/>
      <c r="H1162" s="8"/>
      <c r="I1162" s="10"/>
      <c r="J1162" s="10"/>
      <c r="K1162" s="18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ht="14.25" customHeight="1">
      <c r="A1163" s="9"/>
      <c r="B1163" s="8"/>
      <c r="C1163" s="8"/>
      <c r="D1163" s="8"/>
      <c r="E1163" s="8"/>
      <c r="F1163" s="8"/>
      <c r="G1163" s="8"/>
      <c r="H1163" s="8"/>
      <c r="I1163" s="10"/>
      <c r="J1163" s="10"/>
      <c r="K1163" s="18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ht="14.25" customHeight="1">
      <c r="A1164" s="9"/>
      <c r="B1164" s="8"/>
      <c r="C1164" s="8"/>
      <c r="D1164" s="8"/>
      <c r="E1164" s="8"/>
      <c r="F1164" s="8"/>
      <c r="G1164" s="8"/>
      <c r="H1164" s="8"/>
      <c r="I1164" s="10"/>
      <c r="J1164" s="10"/>
      <c r="K1164" s="18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ht="14.25" customHeight="1">
      <c r="A1165" s="9"/>
      <c r="B1165" s="8"/>
      <c r="C1165" s="8"/>
      <c r="D1165" s="8"/>
      <c r="E1165" s="8"/>
      <c r="F1165" s="8"/>
      <c r="G1165" s="8"/>
      <c r="H1165" s="8"/>
      <c r="I1165" s="10"/>
      <c r="J1165" s="10"/>
      <c r="K1165" s="18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ht="14.25" customHeight="1">
      <c r="A1166" s="9"/>
      <c r="B1166" s="8"/>
      <c r="C1166" s="8"/>
      <c r="D1166" s="8"/>
      <c r="E1166" s="8"/>
      <c r="F1166" s="8"/>
      <c r="G1166" s="8"/>
      <c r="H1166" s="8"/>
      <c r="I1166" s="10"/>
      <c r="J1166" s="10"/>
      <c r="K1166" s="18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ht="14.25" customHeight="1">
      <c r="A1167" s="9"/>
      <c r="B1167" s="8"/>
      <c r="C1167" s="8"/>
      <c r="D1167" s="8"/>
      <c r="E1167" s="8"/>
      <c r="F1167" s="8"/>
      <c r="G1167" s="8"/>
      <c r="H1167" s="8"/>
      <c r="I1167" s="10"/>
      <c r="J1167" s="10"/>
      <c r="K1167" s="18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ht="14.25" customHeight="1">
      <c r="A1168" s="9"/>
      <c r="B1168" s="8"/>
      <c r="C1168" s="8"/>
      <c r="D1168" s="8"/>
      <c r="E1168" s="8"/>
      <c r="F1168" s="8"/>
      <c r="G1168" s="8"/>
      <c r="H1168" s="8"/>
      <c r="I1168" s="10"/>
      <c r="J1168" s="10"/>
      <c r="K1168" s="18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ht="14.25" customHeight="1">
      <c r="A1169" s="9"/>
      <c r="B1169" s="8"/>
      <c r="C1169" s="8"/>
      <c r="D1169" s="8"/>
      <c r="E1169" s="8"/>
      <c r="F1169" s="8"/>
      <c r="G1169" s="8"/>
      <c r="H1169" s="8"/>
      <c r="I1169" s="10"/>
      <c r="J1169" s="10"/>
      <c r="K1169" s="18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ht="14.25" customHeight="1">
      <c r="A1170" s="9"/>
      <c r="B1170" s="8"/>
      <c r="C1170" s="8"/>
      <c r="D1170" s="8"/>
      <c r="E1170" s="8"/>
      <c r="F1170" s="8"/>
      <c r="G1170" s="8"/>
      <c r="H1170" s="8"/>
      <c r="I1170" s="10"/>
      <c r="J1170" s="10"/>
      <c r="K1170" s="18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ht="14.25" customHeight="1">
      <c r="A1171" s="9"/>
      <c r="B1171" s="8"/>
      <c r="C1171" s="8"/>
      <c r="D1171" s="8"/>
      <c r="E1171" s="8"/>
      <c r="F1171" s="8"/>
      <c r="G1171" s="8"/>
      <c r="H1171" s="8"/>
      <c r="I1171" s="10"/>
      <c r="J1171" s="10"/>
      <c r="K1171" s="18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ht="14.25" customHeight="1">
      <c r="A1172" s="9"/>
      <c r="B1172" s="8"/>
      <c r="C1172" s="8"/>
      <c r="D1172" s="8"/>
      <c r="E1172" s="8"/>
      <c r="F1172" s="8"/>
      <c r="G1172" s="8"/>
      <c r="H1172" s="8"/>
      <c r="I1172" s="10"/>
      <c r="J1172" s="10"/>
      <c r="K1172" s="18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ht="14.25" customHeight="1">
      <c r="A1173" s="9"/>
      <c r="B1173" s="8"/>
      <c r="C1173" s="8"/>
      <c r="D1173" s="8"/>
      <c r="E1173" s="8"/>
      <c r="F1173" s="8"/>
      <c r="G1173" s="8"/>
      <c r="H1173" s="8"/>
      <c r="I1173" s="10"/>
      <c r="J1173" s="10"/>
      <c r="K1173" s="18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ht="14.25" customHeight="1">
      <c r="A1174" s="9"/>
      <c r="B1174" s="8"/>
      <c r="C1174" s="8"/>
      <c r="D1174" s="8"/>
      <c r="E1174" s="8"/>
      <c r="F1174" s="8"/>
      <c r="G1174" s="8"/>
      <c r="H1174" s="8"/>
      <c r="I1174" s="10"/>
      <c r="J1174" s="10"/>
      <c r="K1174" s="18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ht="14.25" customHeight="1">
      <c r="A1175" s="9"/>
      <c r="B1175" s="8"/>
      <c r="C1175" s="8"/>
      <c r="D1175" s="8"/>
      <c r="E1175" s="8"/>
      <c r="F1175" s="8"/>
      <c r="G1175" s="8"/>
      <c r="H1175" s="8"/>
      <c r="I1175" s="10"/>
      <c r="J1175" s="10"/>
      <c r="K1175" s="18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ht="14.25" customHeight="1">
      <c r="A1176" s="9"/>
      <c r="B1176" s="8"/>
      <c r="C1176" s="8"/>
      <c r="D1176" s="8"/>
      <c r="E1176" s="8"/>
      <c r="F1176" s="8"/>
      <c r="G1176" s="8"/>
      <c r="H1176" s="8"/>
      <c r="I1176" s="10"/>
      <c r="J1176" s="10"/>
      <c r="K1176" s="18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ht="14.25" customHeight="1">
      <c r="A1177" s="9"/>
      <c r="B1177" s="8"/>
      <c r="C1177" s="8"/>
      <c r="D1177" s="8"/>
      <c r="E1177" s="8"/>
      <c r="F1177" s="8"/>
      <c r="G1177" s="8"/>
      <c r="H1177" s="8"/>
      <c r="I1177" s="10"/>
      <c r="J1177" s="10"/>
      <c r="K1177" s="18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ht="14.25" customHeight="1">
      <c r="A1178" s="9"/>
      <c r="B1178" s="8"/>
      <c r="C1178" s="8"/>
      <c r="D1178" s="8"/>
      <c r="E1178" s="8"/>
      <c r="F1178" s="8"/>
      <c r="G1178" s="8"/>
      <c r="H1178" s="8"/>
      <c r="I1178" s="10"/>
      <c r="J1178" s="10"/>
      <c r="K1178" s="18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ht="14.25" customHeight="1">
      <c r="A1179" s="9"/>
      <c r="B1179" s="8"/>
      <c r="C1179" s="8"/>
      <c r="D1179" s="8"/>
      <c r="E1179" s="8"/>
      <c r="F1179" s="8"/>
      <c r="G1179" s="8"/>
      <c r="H1179" s="8"/>
      <c r="I1179" s="10"/>
      <c r="J1179" s="10"/>
      <c r="K1179" s="18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ht="14.25" customHeight="1">
      <c r="A1180" s="9"/>
      <c r="B1180" s="8"/>
      <c r="C1180" s="8"/>
      <c r="D1180" s="8"/>
      <c r="E1180" s="8"/>
      <c r="F1180" s="8"/>
      <c r="G1180" s="8"/>
      <c r="H1180" s="8"/>
      <c r="I1180" s="10"/>
      <c r="J1180" s="10"/>
      <c r="K1180" s="18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ht="14.25" customHeight="1">
      <c r="A1181" s="9"/>
      <c r="B1181" s="8"/>
      <c r="C1181" s="8"/>
      <c r="D1181" s="8"/>
      <c r="E1181" s="8"/>
      <c r="F1181" s="8"/>
      <c r="G1181" s="8"/>
      <c r="H1181" s="8"/>
      <c r="I1181" s="10"/>
      <c r="J1181" s="10"/>
      <c r="K1181" s="18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ht="14.25" customHeight="1">
      <c r="A1182" s="9"/>
      <c r="B1182" s="8"/>
      <c r="C1182" s="8"/>
      <c r="D1182" s="8"/>
      <c r="E1182" s="8"/>
      <c r="F1182" s="8"/>
      <c r="G1182" s="8"/>
      <c r="H1182" s="8"/>
      <c r="I1182" s="10"/>
      <c r="J1182" s="10"/>
      <c r="K1182" s="18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ht="14.25" customHeight="1">
      <c r="A1183" s="9"/>
      <c r="B1183" s="8"/>
      <c r="C1183" s="8"/>
      <c r="D1183" s="8"/>
      <c r="E1183" s="8"/>
      <c r="F1183" s="8"/>
      <c r="G1183" s="8"/>
      <c r="H1183" s="8"/>
      <c r="I1183" s="10"/>
      <c r="J1183" s="10"/>
      <c r="K1183" s="18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ht="14.25" customHeight="1">
      <c r="A1184" s="9"/>
      <c r="B1184" s="8"/>
      <c r="C1184" s="8"/>
      <c r="D1184" s="8"/>
      <c r="E1184" s="8"/>
      <c r="F1184" s="8"/>
      <c r="G1184" s="8"/>
      <c r="H1184" s="8"/>
      <c r="I1184" s="10"/>
      <c r="J1184" s="10"/>
      <c r="K1184" s="18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ht="14.25" customHeight="1">
      <c r="A1185" s="9"/>
      <c r="B1185" s="8"/>
      <c r="C1185" s="8"/>
      <c r="D1185" s="8"/>
      <c r="E1185" s="8"/>
      <c r="F1185" s="8"/>
      <c r="G1185" s="8"/>
      <c r="H1185" s="8"/>
      <c r="I1185" s="10"/>
      <c r="J1185" s="10"/>
      <c r="K1185" s="18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ht="14.25" customHeight="1">
      <c r="A1186" s="9"/>
      <c r="B1186" s="8"/>
      <c r="C1186" s="8"/>
      <c r="D1186" s="8"/>
      <c r="E1186" s="8"/>
      <c r="F1186" s="8"/>
      <c r="G1186" s="8"/>
      <c r="H1186" s="8"/>
      <c r="I1186" s="10"/>
      <c r="J1186" s="10"/>
      <c r="K1186" s="18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ht="14.25" customHeight="1">
      <c r="A1187" s="9"/>
      <c r="B1187" s="8"/>
      <c r="C1187" s="8"/>
      <c r="D1187" s="8"/>
      <c r="E1187" s="8"/>
      <c r="F1187" s="8"/>
      <c r="G1187" s="8"/>
      <c r="H1187" s="8"/>
      <c r="I1187" s="10"/>
      <c r="J1187" s="10"/>
      <c r="K1187" s="18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ht="14.25" customHeight="1">
      <c r="A1188" s="9"/>
      <c r="B1188" s="8"/>
      <c r="C1188" s="8"/>
      <c r="D1188" s="8"/>
      <c r="E1188" s="8"/>
      <c r="F1188" s="8"/>
      <c r="G1188" s="8"/>
      <c r="H1188" s="8"/>
      <c r="I1188" s="10"/>
      <c r="J1188" s="10"/>
      <c r="K1188" s="18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ht="14.25" customHeight="1">
      <c r="A1189" s="9"/>
      <c r="B1189" s="8"/>
      <c r="C1189" s="8"/>
      <c r="D1189" s="8"/>
      <c r="E1189" s="8"/>
      <c r="F1189" s="8"/>
      <c r="G1189" s="8"/>
      <c r="H1189" s="8"/>
      <c r="I1189" s="10"/>
      <c r="J1189" s="10"/>
      <c r="K1189" s="18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ht="14.25" customHeight="1">
      <c r="A1190" s="9"/>
      <c r="B1190" s="8"/>
      <c r="C1190" s="8"/>
      <c r="D1190" s="8"/>
      <c r="E1190" s="8"/>
      <c r="F1190" s="8"/>
      <c r="G1190" s="8"/>
      <c r="H1190" s="8"/>
      <c r="I1190" s="10"/>
      <c r="J1190" s="10"/>
      <c r="K1190" s="18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ht="14.25" customHeight="1">
      <c r="A1191" s="9"/>
      <c r="B1191" s="8"/>
      <c r="C1191" s="8"/>
      <c r="D1191" s="8"/>
      <c r="E1191" s="8"/>
      <c r="F1191" s="19"/>
      <c r="G1191" s="8"/>
      <c r="H1191" s="8"/>
      <c r="I1191" s="10"/>
      <c r="J1191" s="10"/>
      <c r="K1191" s="18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ht="14.25" customHeight="1">
      <c r="A1192" s="9"/>
      <c r="B1192" s="8"/>
      <c r="C1192" s="8"/>
      <c r="D1192" s="8"/>
      <c r="E1192" s="8"/>
      <c r="F1192" s="8"/>
      <c r="G1192" s="8"/>
      <c r="H1192" s="8"/>
      <c r="I1192" s="10"/>
      <c r="J1192" s="10"/>
      <c r="K1192" s="18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ht="14.25" customHeight="1">
      <c r="A1193" s="9"/>
      <c r="B1193" s="8"/>
      <c r="C1193" s="8"/>
      <c r="D1193" s="8"/>
      <c r="E1193" s="8"/>
      <c r="F1193" s="8"/>
      <c r="G1193" s="8"/>
      <c r="H1193" s="8"/>
      <c r="I1193" s="10"/>
      <c r="J1193" s="10"/>
      <c r="K1193" s="18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ht="14.25" customHeight="1">
      <c r="A1194" s="9"/>
      <c r="B1194" s="8"/>
      <c r="C1194" s="8"/>
      <c r="D1194" s="8"/>
      <c r="E1194" s="8"/>
      <c r="F1194" s="8"/>
      <c r="G1194" s="8"/>
      <c r="H1194" s="8"/>
      <c r="I1194" s="10"/>
      <c r="J1194" s="10"/>
      <c r="K1194" s="18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ht="14.25" customHeight="1">
      <c r="A1195" s="9"/>
      <c r="B1195" s="8"/>
      <c r="C1195" s="8"/>
      <c r="D1195" s="8"/>
      <c r="E1195" s="8"/>
      <c r="F1195" s="8"/>
      <c r="G1195" s="8"/>
      <c r="H1195" s="8"/>
      <c r="I1195" s="10"/>
      <c r="J1195" s="10"/>
      <c r="K1195" s="18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ht="14.25" customHeight="1">
      <c r="A1196" s="9"/>
      <c r="B1196" s="8"/>
      <c r="C1196" s="8"/>
      <c r="D1196" s="8"/>
      <c r="E1196" s="8"/>
      <c r="F1196" s="8"/>
      <c r="G1196" s="8"/>
      <c r="H1196" s="8"/>
      <c r="I1196" s="10"/>
      <c r="J1196" s="10"/>
      <c r="K1196" s="18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ht="14.25" customHeight="1">
      <c r="A1197" s="9"/>
      <c r="B1197" s="8"/>
      <c r="C1197" s="8"/>
      <c r="D1197" s="8"/>
      <c r="E1197" s="8"/>
      <c r="F1197" s="8"/>
      <c r="G1197" s="8"/>
      <c r="H1197" s="8"/>
      <c r="I1197" s="10"/>
      <c r="J1197" s="10"/>
      <c r="K1197" s="18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ht="14.25" customHeight="1">
      <c r="A1198" s="9"/>
      <c r="B1198" s="8"/>
      <c r="C1198" s="8"/>
      <c r="D1198" s="8"/>
      <c r="E1198" s="8"/>
      <c r="F1198" s="8"/>
      <c r="G1198" s="8"/>
      <c r="H1198" s="8"/>
      <c r="I1198" s="10"/>
      <c r="J1198" s="10"/>
      <c r="K1198" s="18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ht="14.25" customHeight="1">
      <c r="A1199" s="9"/>
      <c r="B1199" s="8"/>
      <c r="C1199" s="8"/>
      <c r="D1199" s="8"/>
      <c r="E1199" s="8"/>
      <c r="F1199" s="8"/>
      <c r="G1199" s="8"/>
      <c r="H1199" s="8"/>
      <c r="I1199" s="10"/>
      <c r="J1199" s="10"/>
      <c r="K1199" s="18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ht="14.25" customHeight="1">
      <c r="A1200" s="9"/>
      <c r="B1200" s="8"/>
      <c r="C1200" s="8"/>
      <c r="D1200" s="8"/>
      <c r="E1200" s="8"/>
      <c r="F1200" s="8"/>
      <c r="G1200" s="8"/>
      <c r="H1200" s="8"/>
      <c r="I1200" s="10"/>
      <c r="J1200" s="10"/>
      <c r="K1200" s="18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ht="14.25" customHeight="1">
      <c r="A1201" s="9"/>
      <c r="B1201" s="8"/>
      <c r="C1201" s="8"/>
      <c r="D1201" s="8"/>
      <c r="E1201" s="8"/>
      <c r="F1201" s="8"/>
      <c r="G1201" s="8"/>
      <c r="H1201" s="8"/>
      <c r="I1201" s="10"/>
      <c r="J1201" s="10"/>
      <c r="K1201" s="18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ht="14.25" customHeight="1">
      <c r="A1202" s="9"/>
      <c r="B1202" s="8"/>
      <c r="C1202" s="8"/>
      <c r="D1202" s="8"/>
      <c r="E1202" s="8"/>
      <c r="F1202" s="8"/>
      <c r="G1202" s="8"/>
      <c r="H1202" s="8"/>
      <c r="I1202" s="10"/>
      <c r="J1202" s="10"/>
      <c r="K1202" s="18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ht="14.25" customHeight="1">
      <c r="A1203" s="9"/>
      <c r="B1203" s="8"/>
      <c r="C1203" s="8"/>
      <c r="D1203" s="8"/>
      <c r="E1203" s="8"/>
      <c r="F1203" s="8"/>
      <c r="G1203" s="8"/>
      <c r="H1203" s="8"/>
      <c r="I1203" s="10"/>
      <c r="J1203" s="10"/>
      <c r="K1203" s="18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ht="14.25" customHeight="1">
      <c r="A1204" s="9"/>
      <c r="B1204" s="8"/>
      <c r="C1204" s="8"/>
      <c r="D1204" s="8"/>
      <c r="E1204" s="8"/>
      <c r="F1204" s="8"/>
      <c r="G1204" s="8"/>
      <c r="H1204" s="8"/>
      <c r="I1204" s="10"/>
      <c r="J1204" s="10"/>
      <c r="K1204" s="18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ht="14.25" customHeight="1">
      <c r="A1205" s="9"/>
      <c r="B1205" s="8"/>
      <c r="C1205" s="8"/>
      <c r="D1205" s="8"/>
      <c r="E1205" s="8"/>
      <c r="F1205" s="8"/>
      <c r="G1205" s="8"/>
      <c r="H1205" s="8"/>
      <c r="I1205" s="10"/>
      <c r="J1205" s="10"/>
      <c r="K1205" s="18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ht="14.25" customHeight="1">
      <c r="A1206" s="9"/>
      <c r="B1206" s="8"/>
      <c r="C1206" s="8"/>
      <c r="D1206" s="8"/>
      <c r="E1206" s="8"/>
      <c r="F1206" s="8"/>
      <c r="G1206" s="8"/>
      <c r="H1206" s="8"/>
      <c r="I1206" s="10"/>
      <c r="J1206" s="10"/>
      <c r="K1206" s="18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ht="14.25" customHeight="1">
      <c r="A1207" s="9"/>
      <c r="B1207" s="8"/>
      <c r="C1207" s="8"/>
      <c r="D1207" s="8"/>
      <c r="E1207" s="8"/>
      <c r="F1207" s="8"/>
      <c r="G1207" s="8"/>
      <c r="H1207" s="8"/>
      <c r="I1207" s="10"/>
      <c r="J1207" s="10"/>
      <c r="K1207" s="18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ht="14.25" customHeight="1">
      <c r="A1208" s="9"/>
      <c r="B1208" s="8"/>
      <c r="C1208" s="8"/>
      <c r="D1208" s="8"/>
      <c r="E1208" s="8"/>
      <c r="F1208" s="8"/>
      <c r="G1208" s="8"/>
      <c r="H1208" s="8"/>
      <c r="I1208" s="10"/>
      <c r="J1208" s="10"/>
      <c r="K1208" s="18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ht="14.25" customHeight="1">
      <c r="A1209" s="9"/>
      <c r="B1209" s="8"/>
      <c r="C1209" s="8"/>
      <c r="D1209" s="8"/>
      <c r="E1209" s="8"/>
      <c r="F1209" s="8"/>
      <c r="G1209" s="8"/>
      <c r="H1209" s="8"/>
      <c r="I1209" s="10"/>
      <c r="J1209" s="10"/>
      <c r="K1209" s="18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ht="14.25" customHeight="1">
      <c r="A1210" s="9"/>
      <c r="B1210" s="8"/>
      <c r="C1210" s="8"/>
      <c r="D1210" s="8"/>
      <c r="E1210" s="8"/>
      <c r="F1210" s="8"/>
      <c r="G1210" s="8"/>
      <c r="H1210" s="8"/>
      <c r="I1210" s="10"/>
      <c r="J1210" s="10"/>
      <c r="K1210" s="18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ht="14.25" customHeight="1">
      <c r="A1211" s="9"/>
      <c r="B1211" s="8"/>
      <c r="C1211" s="8"/>
      <c r="D1211" s="8"/>
      <c r="E1211" s="8"/>
      <c r="F1211" s="8"/>
      <c r="G1211" s="8"/>
      <c r="H1211" s="8"/>
      <c r="I1211" s="10"/>
      <c r="J1211" s="10"/>
      <c r="K1211" s="18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ht="14.25" customHeight="1">
      <c r="A1212" s="9"/>
      <c r="B1212" s="8"/>
      <c r="C1212" s="8"/>
      <c r="D1212" s="8"/>
      <c r="E1212" s="8"/>
      <c r="F1212" s="8"/>
      <c r="G1212" s="8"/>
      <c r="H1212" s="8"/>
      <c r="I1212" s="10"/>
      <c r="J1212" s="10"/>
      <c r="K1212" s="18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ht="14.25" customHeight="1">
      <c r="A1213" s="9"/>
      <c r="B1213" s="8"/>
      <c r="C1213" s="8"/>
      <c r="D1213" s="8"/>
      <c r="E1213" s="8"/>
      <c r="F1213" s="8"/>
      <c r="G1213" s="8"/>
      <c r="H1213" s="8"/>
      <c r="I1213" s="10"/>
      <c r="J1213" s="10"/>
      <c r="K1213" s="18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ht="14.25" customHeight="1">
      <c r="A1214" s="9"/>
      <c r="B1214" s="8"/>
      <c r="C1214" s="8"/>
      <c r="D1214" s="8"/>
      <c r="E1214" s="8"/>
      <c r="F1214" s="8"/>
      <c r="G1214" s="8"/>
      <c r="H1214" s="8"/>
      <c r="I1214" s="10"/>
      <c r="J1214" s="10"/>
      <c r="K1214" s="18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ht="14.25" customHeight="1">
      <c r="A1215" s="9"/>
      <c r="B1215" s="8"/>
      <c r="C1215" s="8"/>
      <c r="D1215" s="8"/>
      <c r="E1215" s="8"/>
      <c r="F1215" s="8"/>
      <c r="G1215" s="8"/>
      <c r="H1215" s="8"/>
      <c r="I1215" s="10"/>
      <c r="J1215" s="10"/>
      <c r="K1215" s="18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ht="14.25" customHeight="1">
      <c r="A1216" s="9"/>
      <c r="B1216" s="8"/>
      <c r="C1216" s="8"/>
      <c r="D1216" s="8"/>
      <c r="E1216" s="8"/>
      <c r="F1216" s="8"/>
      <c r="G1216" s="8"/>
      <c r="H1216" s="8"/>
      <c r="I1216" s="10"/>
      <c r="J1216" s="10"/>
      <c r="K1216" s="18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ht="14.25" customHeight="1">
      <c r="A1217" s="9"/>
      <c r="B1217" s="8"/>
      <c r="C1217" s="8"/>
      <c r="D1217" s="8"/>
      <c r="E1217" s="8"/>
      <c r="F1217" s="8"/>
      <c r="G1217" s="8"/>
      <c r="H1217" s="8"/>
      <c r="I1217" s="10"/>
      <c r="J1217" s="10"/>
      <c r="K1217" s="18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ht="14.25" customHeight="1">
      <c r="A1218" s="9"/>
      <c r="B1218" s="8"/>
      <c r="C1218" s="8"/>
      <c r="D1218" s="8"/>
      <c r="E1218" s="8"/>
      <c r="F1218" s="8"/>
      <c r="G1218" s="8"/>
      <c r="H1218" s="8"/>
      <c r="I1218" s="10"/>
      <c r="J1218" s="10"/>
      <c r="K1218" s="18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ht="14.25" customHeight="1">
      <c r="A1219" s="9"/>
      <c r="B1219" s="8"/>
      <c r="C1219" s="8"/>
      <c r="D1219" s="8"/>
      <c r="E1219" s="8"/>
      <c r="F1219" s="8"/>
      <c r="G1219" s="8"/>
      <c r="H1219" s="8"/>
      <c r="I1219" s="10"/>
      <c r="J1219" s="10"/>
      <c r="K1219" s="18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ht="14.25" customHeight="1">
      <c r="A1220" s="9"/>
      <c r="B1220" s="8"/>
      <c r="C1220" s="8"/>
      <c r="D1220" s="8"/>
      <c r="E1220" s="8"/>
      <c r="F1220" s="8"/>
      <c r="G1220" s="8"/>
      <c r="H1220" s="8"/>
      <c r="I1220" s="10"/>
      <c r="J1220" s="10"/>
      <c r="K1220" s="18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ht="14.25" customHeight="1">
      <c r="A1221" s="9"/>
      <c r="B1221" s="8"/>
      <c r="C1221" s="8"/>
      <c r="D1221" s="8"/>
      <c r="E1221" s="8"/>
      <c r="F1221" s="8"/>
      <c r="G1221" s="8"/>
      <c r="H1221" s="8"/>
      <c r="I1221" s="10"/>
      <c r="J1221" s="10"/>
      <c r="K1221" s="18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ht="14.25" customHeight="1">
      <c r="A1222" s="9"/>
      <c r="B1222" s="8"/>
      <c r="C1222" s="8"/>
      <c r="D1222" s="8"/>
      <c r="E1222" s="8"/>
      <c r="F1222" s="8"/>
      <c r="G1222" s="8"/>
      <c r="H1222" s="8"/>
      <c r="I1222" s="10"/>
      <c r="J1222" s="10"/>
      <c r="K1222" s="18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ht="14.25" customHeight="1">
      <c r="A1223" s="9"/>
      <c r="B1223" s="8"/>
      <c r="C1223" s="8"/>
      <c r="D1223" s="8"/>
      <c r="E1223" s="8"/>
      <c r="F1223" s="8"/>
      <c r="G1223" s="8"/>
      <c r="H1223" s="8"/>
      <c r="I1223" s="10"/>
      <c r="J1223" s="10"/>
      <c r="K1223" s="18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ht="14.25" customHeight="1">
      <c r="A1224" s="9"/>
      <c r="B1224" s="8"/>
      <c r="C1224" s="8"/>
      <c r="D1224" s="8"/>
      <c r="E1224" s="8"/>
      <c r="F1224" s="8"/>
      <c r="G1224" s="8"/>
      <c r="H1224" s="8"/>
      <c r="I1224" s="10"/>
      <c r="J1224" s="10"/>
      <c r="K1224" s="18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ht="14.25" customHeight="1">
      <c r="A1225" s="9"/>
      <c r="B1225" s="8"/>
      <c r="C1225" s="8"/>
      <c r="D1225" s="8"/>
      <c r="E1225" s="8"/>
      <c r="F1225" s="8"/>
      <c r="G1225" s="8"/>
      <c r="H1225" s="8"/>
      <c r="I1225" s="10"/>
      <c r="J1225" s="10"/>
      <c r="K1225" s="18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ht="14.25" customHeight="1">
      <c r="A1226" s="9"/>
      <c r="B1226" s="8"/>
      <c r="C1226" s="8"/>
      <c r="D1226" s="8"/>
      <c r="E1226" s="8"/>
      <c r="F1226" s="8"/>
      <c r="G1226" s="8"/>
      <c r="H1226" s="8"/>
      <c r="I1226" s="10"/>
      <c r="J1226" s="10"/>
      <c r="K1226" s="18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ht="14.25" customHeight="1">
      <c r="A1227" s="9"/>
      <c r="B1227" s="8"/>
      <c r="C1227" s="8"/>
      <c r="D1227" s="8"/>
      <c r="E1227" s="8"/>
      <c r="F1227" s="8"/>
      <c r="G1227" s="8"/>
      <c r="H1227" s="8"/>
      <c r="I1227" s="10"/>
      <c r="J1227" s="10"/>
      <c r="K1227" s="18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ht="14.25" customHeight="1">
      <c r="A1228" s="9"/>
      <c r="B1228" s="8"/>
      <c r="C1228" s="8"/>
      <c r="D1228" s="8"/>
      <c r="E1228" s="8"/>
      <c r="F1228" s="8"/>
      <c r="G1228" s="8"/>
      <c r="H1228" s="8"/>
      <c r="I1228" s="10"/>
      <c r="J1228" s="10"/>
      <c r="K1228" s="18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ht="14.25" customHeight="1">
      <c r="A1229" s="9"/>
      <c r="B1229" s="8"/>
      <c r="C1229" s="8"/>
      <c r="D1229" s="8"/>
      <c r="E1229" s="8"/>
      <c r="F1229" s="8"/>
      <c r="G1229" s="8"/>
      <c r="H1229" s="8"/>
      <c r="I1229" s="10"/>
      <c r="J1229" s="10"/>
      <c r="K1229" s="18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ht="14.25" customHeight="1">
      <c r="A1230" s="9"/>
      <c r="B1230" s="8"/>
      <c r="C1230" s="8"/>
      <c r="D1230" s="8"/>
      <c r="E1230" s="8"/>
      <c r="F1230" s="8"/>
      <c r="G1230" s="8"/>
      <c r="H1230" s="8"/>
      <c r="I1230" s="10"/>
      <c r="J1230" s="10"/>
      <c r="K1230" s="18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ht="14.25" customHeight="1">
      <c r="A1231" s="9"/>
      <c r="B1231" s="8"/>
      <c r="C1231" s="8"/>
      <c r="D1231" s="8"/>
      <c r="E1231" s="8"/>
      <c r="F1231" s="8"/>
      <c r="G1231" s="8"/>
      <c r="H1231" s="8"/>
      <c r="I1231" s="10"/>
      <c r="J1231" s="10"/>
      <c r="K1231" s="18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ht="14.25" customHeight="1">
      <c r="A1232" s="9"/>
      <c r="B1232" s="8"/>
      <c r="C1232" s="8"/>
      <c r="D1232" s="8"/>
      <c r="E1232" s="8"/>
      <c r="F1232" s="8"/>
      <c r="G1232" s="8"/>
      <c r="H1232" s="8"/>
      <c r="I1232" s="10"/>
      <c r="J1232" s="10"/>
      <c r="K1232" s="18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ht="14.25" customHeight="1">
      <c r="A1233" s="9"/>
      <c r="B1233" s="8"/>
      <c r="C1233" s="8"/>
      <c r="D1233" s="8"/>
      <c r="E1233" s="8"/>
      <c r="F1233" s="8"/>
      <c r="G1233" s="8"/>
      <c r="H1233" s="8"/>
      <c r="I1233" s="10"/>
      <c r="J1233" s="10"/>
      <c r="K1233" s="18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ht="14.25" customHeight="1">
      <c r="A1234" s="9"/>
      <c r="B1234" s="8"/>
      <c r="C1234" s="8"/>
      <c r="D1234" s="8"/>
      <c r="E1234" s="8"/>
      <c r="F1234" s="8"/>
      <c r="G1234" s="8"/>
      <c r="H1234" s="8"/>
      <c r="I1234" s="10"/>
      <c r="J1234" s="10"/>
      <c r="K1234" s="18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ht="14.25" customHeight="1">
      <c r="A1235" s="9"/>
      <c r="B1235" s="8"/>
      <c r="C1235" s="8"/>
      <c r="D1235" s="8"/>
      <c r="E1235" s="8"/>
      <c r="F1235" s="8"/>
      <c r="G1235" s="8"/>
      <c r="H1235" s="8"/>
      <c r="I1235" s="10"/>
      <c r="J1235" s="10"/>
      <c r="K1235" s="18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ht="14.25" customHeight="1">
      <c r="A1236" s="9"/>
      <c r="B1236" s="8"/>
      <c r="C1236" s="8"/>
      <c r="D1236" s="8"/>
      <c r="E1236" s="8"/>
      <c r="F1236" s="8"/>
      <c r="G1236" s="8"/>
      <c r="H1236" s="8"/>
      <c r="I1236" s="10"/>
      <c r="J1236" s="10"/>
      <c r="K1236" s="18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ht="14.25" customHeight="1">
      <c r="A1237" s="9"/>
      <c r="B1237" s="8"/>
      <c r="C1237" s="8"/>
      <c r="D1237" s="8"/>
      <c r="E1237" s="8"/>
      <c r="F1237" s="8"/>
      <c r="G1237" s="8"/>
      <c r="H1237" s="8"/>
      <c r="I1237" s="10"/>
      <c r="J1237" s="10"/>
      <c r="K1237" s="18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ht="14.25" customHeight="1">
      <c r="A1238" s="9"/>
      <c r="B1238" s="8"/>
      <c r="C1238" s="8"/>
      <c r="D1238" s="8"/>
      <c r="E1238" s="8"/>
      <c r="F1238" s="8"/>
      <c r="G1238" s="8"/>
      <c r="H1238" s="8"/>
      <c r="I1238" s="10"/>
      <c r="J1238" s="10"/>
      <c r="K1238" s="18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ht="14.25" customHeight="1">
      <c r="A1239" s="9"/>
      <c r="B1239" s="8"/>
      <c r="C1239" s="8"/>
      <c r="D1239" s="8"/>
      <c r="E1239" s="8"/>
      <c r="F1239" s="8"/>
      <c r="G1239" s="8"/>
      <c r="H1239" s="8"/>
      <c r="I1239" s="10"/>
      <c r="J1239" s="10"/>
      <c r="K1239" s="18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ht="14.25" customHeight="1">
      <c r="A1240" s="9"/>
      <c r="B1240" s="8"/>
      <c r="C1240" s="8"/>
      <c r="D1240" s="8"/>
      <c r="E1240" s="8"/>
      <c r="F1240" s="8"/>
      <c r="G1240" s="8"/>
      <c r="H1240" s="8"/>
      <c r="I1240" s="10"/>
      <c r="J1240" s="10"/>
      <c r="K1240" s="18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ht="14.25" customHeight="1">
      <c r="A1241" s="9"/>
      <c r="B1241" s="8"/>
      <c r="C1241" s="8"/>
      <c r="D1241" s="8"/>
      <c r="E1241" s="8"/>
      <c r="F1241" s="8"/>
      <c r="G1241" s="8"/>
      <c r="H1241" s="8"/>
      <c r="I1241" s="10"/>
      <c r="J1241" s="10"/>
      <c r="K1241" s="18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ht="14.25" customHeight="1">
      <c r="A1242" s="9"/>
      <c r="B1242" s="8"/>
      <c r="C1242" s="8"/>
      <c r="D1242" s="8"/>
      <c r="E1242" s="8"/>
      <c r="F1242" s="8"/>
      <c r="G1242" s="8"/>
      <c r="H1242" s="8"/>
      <c r="I1242" s="10"/>
      <c r="J1242" s="10"/>
      <c r="K1242" s="18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ht="14.25" customHeight="1">
      <c r="A1243" s="9"/>
      <c r="B1243" s="8"/>
      <c r="C1243" s="8"/>
      <c r="D1243" s="8"/>
      <c r="E1243" s="8"/>
      <c r="F1243" s="8"/>
      <c r="G1243" s="8"/>
      <c r="H1243" s="8"/>
      <c r="I1243" s="10"/>
      <c r="J1243" s="10"/>
      <c r="K1243" s="18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ht="14.25" customHeight="1">
      <c r="A1244" s="9"/>
      <c r="B1244" s="8"/>
      <c r="C1244" s="8"/>
      <c r="D1244" s="8"/>
      <c r="E1244" s="8"/>
      <c r="F1244" s="8"/>
      <c r="G1244" s="8"/>
      <c r="H1244" s="8"/>
      <c r="I1244" s="10"/>
      <c r="J1244" s="10"/>
      <c r="K1244" s="18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ht="14.25" customHeight="1">
      <c r="A1245" s="9"/>
      <c r="B1245" s="8"/>
      <c r="C1245" s="8"/>
      <c r="D1245" s="8"/>
      <c r="E1245" s="8"/>
      <c r="F1245" s="8"/>
      <c r="G1245" s="8"/>
      <c r="H1245" s="8"/>
      <c r="I1245" s="10"/>
      <c r="J1245" s="10"/>
      <c r="K1245" s="18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ht="14.25" customHeight="1">
      <c r="A1246" s="9"/>
      <c r="B1246" s="8"/>
      <c r="C1246" s="8"/>
      <c r="D1246" s="8"/>
      <c r="E1246" s="8"/>
      <c r="F1246" s="8"/>
      <c r="G1246" s="8"/>
      <c r="H1246" s="8"/>
      <c r="I1246" s="10"/>
      <c r="J1246" s="10"/>
      <c r="K1246" s="18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ht="14.25" customHeight="1">
      <c r="A1247" s="9"/>
      <c r="B1247" s="8"/>
      <c r="C1247" s="8"/>
      <c r="D1247" s="8"/>
      <c r="E1247" s="8"/>
      <c r="F1247" s="8"/>
      <c r="G1247" s="8"/>
      <c r="H1247" s="8"/>
      <c r="I1247" s="10"/>
      <c r="J1247" s="10"/>
      <c r="K1247" s="18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ht="14.25" customHeight="1">
      <c r="A1248" s="9"/>
      <c r="B1248" s="8"/>
      <c r="C1248" s="8"/>
      <c r="D1248" s="8"/>
      <c r="E1248" s="8"/>
      <c r="F1248" s="8"/>
      <c r="G1248" s="8"/>
      <c r="H1248" s="8"/>
      <c r="I1248" s="10"/>
      <c r="J1248" s="10"/>
      <c r="K1248" s="18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ht="14.25" customHeight="1">
      <c r="A1249" s="9"/>
      <c r="B1249" s="8"/>
      <c r="C1249" s="8"/>
      <c r="D1249" s="8"/>
      <c r="E1249" s="8"/>
      <c r="F1249" s="8"/>
      <c r="G1249" s="8"/>
      <c r="H1249" s="8"/>
      <c r="I1249" s="10"/>
      <c r="J1249" s="10"/>
      <c r="K1249" s="18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ht="14.25" customHeight="1">
      <c r="A1250" s="9"/>
      <c r="B1250" s="8"/>
      <c r="C1250" s="8"/>
      <c r="D1250" s="8"/>
      <c r="E1250" s="8"/>
      <c r="F1250" s="8"/>
      <c r="G1250" s="8"/>
      <c r="H1250" s="8"/>
      <c r="I1250" s="10"/>
      <c r="J1250" s="10"/>
      <c r="K1250" s="18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ht="14.25" customHeight="1">
      <c r="A1251" s="9"/>
      <c r="B1251" s="8"/>
      <c r="C1251" s="8"/>
      <c r="D1251" s="8"/>
      <c r="E1251" s="8"/>
      <c r="F1251" s="8"/>
      <c r="G1251" s="8"/>
      <c r="H1251" s="8"/>
      <c r="I1251" s="10"/>
      <c r="J1251" s="10"/>
      <c r="K1251" s="18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ht="14.25" customHeight="1">
      <c r="A1252" s="9"/>
      <c r="B1252" s="8"/>
      <c r="C1252" s="8"/>
      <c r="D1252" s="8"/>
      <c r="E1252" s="8"/>
      <c r="F1252" s="8"/>
      <c r="G1252" s="8"/>
      <c r="H1252" s="8"/>
      <c r="I1252" s="10"/>
      <c r="J1252" s="10"/>
      <c r="K1252" s="18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ht="14.25" customHeight="1">
      <c r="A1253" s="9"/>
      <c r="B1253" s="8"/>
      <c r="C1253" s="8"/>
      <c r="D1253" s="8"/>
      <c r="E1253" s="8"/>
      <c r="F1253" s="8"/>
      <c r="G1253" s="8"/>
      <c r="H1253" s="8"/>
      <c r="I1253" s="10"/>
      <c r="J1253" s="10"/>
      <c r="K1253" s="18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ht="14.25" customHeight="1">
      <c r="A1254" s="9"/>
      <c r="B1254" s="8"/>
      <c r="C1254" s="8"/>
      <c r="D1254" s="8"/>
      <c r="E1254" s="8"/>
      <c r="F1254" s="8"/>
      <c r="G1254" s="8"/>
      <c r="H1254" s="8"/>
      <c r="I1254" s="10"/>
      <c r="J1254" s="10"/>
      <c r="K1254" s="18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ht="14.25" customHeight="1">
      <c r="A1255" s="9"/>
      <c r="B1255" s="8"/>
      <c r="C1255" s="8"/>
      <c r="D1255" s="8"/>
      <c r="E1255" s="8"/>
      <c r="F1255" s="8"/>
      <c r="G1255" s="8"/>
      <c r="H1255" s="8"/>
      <c r="I1255" s="10"/>
      <c r="J1255" s="10"/>
      <c r="K1255" s="18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ht="14.25" customHeight="1">
      <c r="A1256" s="9"/>
      <c r="B1256" s="8"/>
      <c r="C1256" s="8"/>
      <c r="D1256" s="8"/>
      <c r="E1256" s="8"/>
      <c r="F1256" s="8"/>
      <c r="G1256" s="8"/>
      <c r="H1256" s="8"/>
      <c r="I1256" s="10"/>
      <c r="J1256" s="10"/>
      <c r="K1256" s="18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ht="14.25" customHeight="1">
      <c r="A1257" s="9"/>
      <c r="B1257" s="8"/>
      <c r="C1257" s="8"/>
      <c r="D1257" s="8"/>
      <c r="E1257" s="8"/>
      <c r="F1257" s="8"/>
      <c r="G1257" s="8"/>
      <c r="H1257" s="8"/>
      <c r="I1257" s="10"/>
      <c r="J1257" s="10"/>
      <c r="K1257" s="18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ht="14.25" customHeight="1">
      <c r="A1258" s="12"/>
      <c r="B1258" s="12"/>
      <c r="C1258" s="12"/>
      <c r="D1258" s="12"/>
      <c r="E1258" s="12"/>
      <c r="F1258" s="12"/>
      <c r="G1258" s="12"/>
      <c r="H1258" s="12"/>
      <c r="I1258" s="20"/>
      <c r="J1258" s="20"/>
      <c r="K1258" s="21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ht="14.25" customHeight="1">
      <c r="A1259" s="12"/>
      <c r="B1259" s="12"/>
      <c r="C1259" s="12"/>
      <c r="D1259" s="12"/>
      <c r="E1259" s="12"/>
      <c r="F1259" s="12"/>
      <c r="G1259" s="12"/>
      <c r="H1259" s="12"/>
      <c r="I1259" s="20"/>
      <c r="J1259" s="20"/>
      <c r="K1259" s="21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ht="14.25" customHeight="1">
      <c r="A1260" s="12"/>
      <c r="B1260" s="12"/>
      <c r="C1260" s="12"/>
      <c r="D1260" s="12"/>
      <c r="E1260" s="12"/>
      <c r="F1260" s="12"/>
      <c r="G1260" s="12"/>
      <c r="H1260" s="12"/>
      <c r="I1260" s="20"/>
      <c r="J1260" s="20"/>
      <c r="K1260" s="21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ht="14.25" customHeight="1">
      <c r="A1261" s="12"/>
      <c r="B1261" s="12"/>
      <c r="C1261" s="12"/>
      <c r="D1261" s="12"/>
      <c r="E1261" s="12"/>
      <c r="F1261" s="12"/>
      <c r="G1261" s="12"/>
      <c r="H1261" s="12"/>
      <c r="I1261" s="20"/>
      <c r="J1261" s="20"/>
      <c r="K1261" s="21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ht="14.25" customHeight="1">
      <c r="A1262" s="12"/>
      <c r="B1262" s="12"/>
      <c r="C1262" s="12"/>
      <c r="D1262" s="12"/>
      <c r="E1262" s="12"/>
      <c r="F1262" s="12"/>
      <c r="G1262" s="12"/>
      <c r="H1262" s="12"/>
      <c r="I1262" s="20"/>
      <c r="J1262" s="20"/>
      <c r="K1262" s="21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ht="14.25" customHeight="1">
      <c r="A1263" s="12"/>
      <c r="B1263" s="12"/>
      <c r="C1263" s="12"/>
      <c r="D1263" s="12"/>
      <c r="E1263" s="12"/>
      <c r="F1263" s="12"/>
      <c r="G1263" s="12"/>
      <c r="H1263" s="12"/>
      <c r="I1263" s="20"/>
      <c r="J1263" s="20"/>
      <c r="K1263" s="21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ht="14.25" customHeight="1">
      <c r="A1264" s="12"/>
      <c r="B1264" s="12"/>
      <c r="C1264" s="12"/>
      <c r="D1264" s="12"/>
      <c r="E1264" s="12"/>
      <c r="F1264" s="12"/>
      <c r="G1264" s="12"/>
      <c r="H1264" s="12"/>
      <c r="I1264" s="20"/>
      <c r="J1264" s="20"/>
      <c r="K1264" s="21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ht="14.25" customHeight="1">
      <c r="A1265" s="12"/>
      <c r="B1265" s="12"/>
      <c r="C1265" s="12"/>
      <c r="D1265" s="12"/>
      <c r="E1265" s="12"/>
      <c r="F1265" s="12"/>
      <c r="G1265" s="12"/>
      <c r="H1265" s="12"/>
      <c r="I1265" s="20"/>
      <c r="J1265" s="20"/>
      <c r="K1265" s="21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ht="14.25" customHeight="1">
      <c r="A1266" s="22"/>
      <c r="B1266" s="3"/>
      <c r="C1266" s="3"/>
      <c r="D1266" s="3"/>
      <c r="E1266" s="3"/>
      <c r="F1266" s="3"/>
      <c r="G1266" s="3"/>
      <c r="H1266" s="3"/>
      <c r="I1266" s="2"/>
      <c r="J1266" s="2"/>
      <c r="K1266" s="2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ht="14.25" customHeight="1">
      <c r="A1267" s="22"/>
      <c r="B1267" s="3"/>
      <c r="C1267" s="3"/>
      <c r="D1267" s="3"/>
      <c r="E1267" s="3"/>
      <c r="F1267" s="3"/>
      <c r="G1267" s="3"/>
      <c r="H1267" s="3"/>
      <c r="I1267" s="2"/>
      <c r="J1267" s="2"/>
      <c r="K1267" s="2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ht="14.25" customHeight="1">
      <c r="A1268" s="22"/>
      <c r="B1268" s="3"/>
      <c r="C1268" s="3"/>
      <c r="D1268" s="3"/>
      <c r="E1268" s="3"/>
      <c r="F1268" s="3"/>
      <c r="G1268" s="3"/>
      <c r="H1268" s="3"/>
      <c r="I1268" s="2"/>
      <c r="J1268" s="2"/>
      <c r="K1268" s="2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ht="14.25" customHeight="1">
      <c r="A1269" s="22"/>
      <c r="B1269" s="3"/>
      <c r="C1269" s="3"/>
      <c r="D1269" s="3"/>
      <c r="E1269" s="3"/>
      <c r="F1269" s="3"/>
      <c r="G1269" s="3"/>
      <c r="H1269" s="3"/>
      <c r="I1269" s="2"/>
      <c r="J1269" s="2"/>
      <c r="K1269" s="2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ht="14.25" customHeight="1">
      <c r="A1270" s="22"/>
      <c r="B1270" s="3"/>
      <c r="C1270" s="3"/>
      <c r="D1270" s="3"/>
      <c r="E1270" s="3"/>
      <c r="F1270" s="3"/>
      <c r="G1270" s="3"/>
      <c r="H1270" s="3"/>
      <c r="I1270" s="2"/>
      <c r="J1270" s="2"/>
      <c r="K1270" s="2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ht="14.25" customHeight="1">
      <c r="A1271" s="22"/>
      <c r="B1271" s="3"/>
      <c r="C1271" s="3"/>
      <c r="D1271" s="3"/>
      <c r="E1271" s="3"/>
      <c r="F1271" s="3"/>
      <c r="G1271" s="3"/>
      <c r="H1271" s="3"/>
      <c r="I1271" s="2"/>
      <c r="J1271" s="2"/>
      <c r="K1271" s="2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ht="14.25" customHeight="1">
      <c r="A1272" s="22"/>
      <c r="B1272" s="3"/>
      <c r="C1272" s="3"/>
      <c r="D1272" s="3"/>
      <c r="E1272" s="3"/>
      <c r="F1272" s="3"/>
      <c r="G1272" s="3"/>
      <c r="H1272" s="3"/>
      <c r="I1272" s="2"/>
      <c r="J1272" s="2"/>
      <c r="K1272" s="2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ht="14.25" customHeight="1">
      <c r="A1273" s="9"/>
      <c r="B1273" s="8"/>
      <c r="C1273" s="8"/>
      <c r="D1273" s="8"/>
      <c r="E1273" s="8"/>
      <c r="F1273" s="8"/>
      <c r="G1273" s="8"/>
      <c r="H1273" s="8"/>
      <c r="I1273" s="10"/>
      <c r="J1273" s="10"/>
      <c r="K1273" s="18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ht="14.25" customHeight="1">
      <c r="A1274" s="9"/>
      <c r="B1274" s="8"/>
      <c r="C1274" s="8"/>
      <c r="D1274" s="8"/>
      <c r="E1274" s="8"/>
      <c r="F1274" s="8"/>
      <c r="G1274" s="8"/>
      <c r="H1274" s="8"/>
      <c r="I1274" s="10"/>
      <c r="J1274" s="10"/>
      <c r="K1274" s="18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ht="14.25" customHeight="1">
      <c r="A1275" s="9"/>
      <c r="B1275" s="8"/>
      <c r="C1275" s="8"/>
      <c r="D1275" s="8"/>
      <c r="E1275" s="8"/>
      <c r="F1275" s="8"/>
      <c r="G1275" s="8"/>
      <c r="H1275" s="8"/>
      <c r="I1275" s="10"/>
      <c r="J1275" s="10"/>
      <c r="K1275" s="18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ht="14.25" customHeight="1">
      <c r="A1276" s="9"/>
      <c r="B1276" s="8"/>
      <c r="C1276" s="8"/>
      <c r="D1276" s="8"/>
      <c r="E1276" s="8"/>
      <c r="F1276" s="8"/>
      <c r="G1276" s="8"/>
      <c r="H1276" s="8"/>
      <c r="I1276" s="10"/>
      <c r="J1276" s="10"/>
      <c r="K1276" s="18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ht="14.25" customHeight="1">
      <c r="A1277" s="9"/>
      <c r="B1277" s="8"/>
      <c r="C1277" s="8"/>
      <c r="D1277" s="8"/>
      <c r="E1277" s="8"/>
      <c r="F1277" s="8"/>
      <c r="G1277" s="8"/>
      <c r="H1277" s="8"/>
      <c r="I1277" s="10"/>
      <c r="J1277" s="10"/>
      <c r="K1277" s="18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ht="14.25" customHeight="1">
      <c r="A1278" s="9"/>
      <c r="B1278" s="8"/>
      <c r="C1278" s="8"/>
      <c r="D1278" s="8"/>
      <c r="E1278" s="8"/>
      <c r="F1278" s="8"/>
      <c r="G1278" s="8"/>
      <c r="H1278" s="8"/>
      <c r="I1278" s="10"/>
      <c r="J1278" s="10"/>
      <c r="K1278" s="18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ht="14.25" customHeight="1">
      <c r="A1279" s="9"/>
      <c r="B1279" s="8"/>
      <c r="C1279" s="8"/>
      <c r="D1279" s="8"/>
      <c r="E1279" s="8"/>
      <c r="F1279" s="8"/>
      <c r="G1279" s="8"/>
      <c r="H1279" s="8"/>
      <c r="I1279" s="10"/>
      <c r="J1279" s="10"/>
      <c r="K1279" s="18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ht="14.25" customHeight="1">
      <c r="A1280" s="9"/>
      <c r="B1280" s="8"/>
      <c r="C1280" s="8"/>
      <c r="D1280" s="8"/>
      <c r="E1280" s="8"/>
      <c r="F1280" s="8"/>
      <c r="G1280" s="8"/>
      <c r="H1280" s="8"/>
      <c r="I1280" s="10"/>
      <c r="J1280" s="10"/>
      <c r="K1280" s="18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ht="14.25" customHeight="1">
      <c r="A1281" s="9"/>
      <c r="B1281" s="8"/>
      <c r="C1281" s="8"/>
      <c r="D1281" s="8"/>
      <c r="E1281" s="8"/>
      <c r="F1281" s="8"/>
      <c r="G1281" s="8"/>
      <c r="H1281" s="8"/>
      <c r="I1281" s="10"/>
      <c r="J1281" s="10"/>
      <c r="K1281" s="18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ht="14.25" customHeight="1">
      <c r="A1282" s="9"/>
      <c r="B1282" s="8"/>
      <c r="C1282" s="8"/>
      <c r="D1282" s="8"/>
      <c r="E1282" s="8"/>
      <c r="F1282" s="8"/>
      <c r="G1282" s="8"/>
      <c r="H1282" s="8"/>
      <c r="I1282" s="10"/>
      <c r="J1282" s="10"/>
      <c r="K1282" s="18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ht="14.25" customHeight="1">
      <c r="A1283" s="9"/>
      <c r="B1283" s="8"/>
      <c r="C1283" s="8"/>
      <c r="D1283" s="8"/>
      <c r="E1283" s="8"/>
      <c r="F1283" s="8"/>
      <c r="G1283" s="8"/>
      <c r="H1283" s="8"/>
      <c r="I1283" s="10"/>
      <c r="J1283" s="10"/>
      <c r="K1283" s="18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ht="14.25" customHeight="1">
      <c r="A1284" s="9"/>
      <c r="B1284" s="8"/>
      <c r="C1284" s="8"/>
      <c r="D1284" s="8"/>
      <c r="E1284" s="8"/>
      <c r="F1284" s="8"/>
      <c r="G1284" s="8"/>
      <c r="H1284" s="8"/>
      <c r="I1284" s="10"/>
      <c r="J1284" s="10"/>
      <c r="K1284" s="18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ht="14.25" customHeight="1">
      <c r="A1285" s="9"/>
      <c r="B1285" s="8"/>
      <c r="C1285" s="8"/>
      <c r="D1285" s="8"/>
      <c r="E1285" s="8"/>
      <c r="F1285" s="8"/>
      <c r="G1285" s="8"/>
      <c r="H1285" s="8"/>
      <c r="I1285" s="10"/>
      <c r="J1285" s="10"/>
      <c r="K1285" s="18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ht="14.25" customHeight="1">
      <c r="A1286" s="9"/>
      <c r="B1286" s="8"/>
      <c r="C1286" s="8"/>
      <c r="D1286" s="8"/>
      <c r="E1286" s="8"/>
      <c r="F1286" s="8"/>
      <c r="G1286" s="8"/>
      <c r="H1286" s="8"/>
      <c r="I1286" s="10"/>
      <c r="J1286" s="10"/>
      <c r="K1286" s="18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ht="14.25" customHeight="1">
      <c r="A1287" s="9"/>
      <c r="B1287" s="8"/>
      <c r="C1287" s="8"/>
      <c r="D1287" s="8"/>
      <c r="E1287" s="8"/>
      <c r="F1287" s="8"/>
      <c r="G1287" s="8"/>
      <c r="H1287" s="8"/>
      <c r="I1287" s="10"/>
      <c r="J1287" s="10"/>
      <c r="K1287" s="18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ht="14.25" customHeight="1">
      <c r="A1288" s="9"/>
      <c r="B1288" s="8"/>
      <c r="C1288" s="8"/>
      <c r="D1288" s="8"/>
      <c r="E1288" s="8"/>
      <c r="F1288" s="8"/>
      <c r="G1288" s="8"/>
      <c r="H1288" s="8"/>
      <c r="I1288" s="10"/>
      <c r="J1288" s="10"/>
      <c r="K1288" s="18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 ht="14.25" customHeight="1">
      <c r="A1289" s="9"/>
      <c r="B1289" s="8"/>
      <c r="C1289" s="8"/>
      <c r="D1289" s="8"/>
      <c r="E1289" s="8"/>
      <c r="F1289" s="8"/>
      <c r="G1289" s="8"/>
      <c r="H1289" s="8"/>
      <c r="I1289" s="10"/>
      <c r="J1289" s="10"/>
      <c r="K1289" s="18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 ht="14.25" customHeight="1">
      <c r="A1290" s="9"/>
      <c r="B1290" s="8"/>
      <c r="C1290" s="8"/>
      <c r="D1290" s="8"/>
      <c r="E1290" s="8"/>
      <c r="F1290" s="8"/>
      <c r="G1290" s="8"/>
      <c r="H1290" s="8"/>
      <c r="I1290" s="10"/>
      <c r="J1290" s="10"/>
      <c r="K1290" s="18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</row>
    <row r="1291" ht="14.25" customHeight="1">
      <c r="A1291" s="9"/>
      <c r="B1291" s="8"/>
      <c r="C1291" s="8"/>
      <c r="D1291" s="8"/>
      <c r="E1291" s="8"/>
      <c r="F1291" s="8"/>
      <c r="G1291" s="8"/>
      <c r="H1291" s="8"/>
      <c r="I1291" s="10"/>
      <c r="J1291" s="10"/>
      <c r="K1291" s="18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 ht="14.25" customHeight="1">
      <c r="A1292" s="9"/>
      <c r="B1292" s="8"/>
      <c r="C1292" s="8"/>
      <c r="D1292" s="8"/>
      <c r="E1292" s="8"/>
      <c r="F1292" s="8"/>
      <c r="G1292" s="8"/>
      <c r="H1292" s="8"/>
      <c r="I1292" s="10"/>
      <c r="J1292" s="10"/>
      <c r="K1292" s="18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</row>
    <row r="1293" ht="14.25" customHeight="1">
      <c r="A1293" s="9"/>
      <c r="B1293" s="8"/>
      <c r="C1293" s="8"/>
      <c r="D1293" s="8"/>
      <c r="E1293" s="8"/>
      <c r="F1293" s="8"/>
      <c r="G1293" s="8"/>
      <c r="H1293" s="8"/>
      <c r="I1293" s="10"/>
      <c r="J1293" s="10"/>
      <c r="K1293" s="18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ht="14.25" customHeight="1">
      <c r="A1294" s="9"/>
      <c r="B1294" s="8"/>
      <c r="C1294" s="8"/>
      <c r="D1294" s="8"/>
      <c r="E1294" s="8"/>
      <c r="F1294" s="8"/>
      <c r="G1294" s="8"/>
      <c r="H1294" s="8"/>
      <c r="I1294" s="10"/>
      <c r="J1294" s="10"/>
      <c r="K1294" s="18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 ht="14.25" customHeight="1">
      <c r="A1295" s="9"/>
      <c r="B1295" s="8"/>
      <c r="C1295" s="8"/>
      <c r="D1295" s="8"/>
      <c r="E1295" s="8"/>
      <c r="F1295" s="8"/>
      <c r="G1295" s="8"/>
      <c r="H1295" s="8"/>
      <c r="I1295" s="10"/>
      <c r="J1295" s="10"/>
      <c r="K1295" s="18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 ht="14.25" customHeight="1">
      <c r="A1296" s="9"/>
      <c r="B1296" s="8"/>
      <c r="C1296" s="8"/>
      <c r="D1296" s="8"/>
      <c r="E1296" s="8"/>
      <c r="F1296" s="8"/>
      <c r="G1296" s="8"/>
      <c r="H1296" s="8"/>
      <c r="I1296" s="10"/>
      <c r="J1296" s="10"/>
      <c r="K1296" s="18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 ht="14.25" customHeight="1">
      <c r="A1297" s="9"/>
      <c r="B1297" s="8"/>
      <c r="C1297" s="8"/>
      <c r="D1297" s="8"/>
      <c r="E1297" s="8"/>
      <c r="F1297" s="8"/>
      <c r="G1297" s="8"/>
      <c r="H1297" s="8"/>
      <c r="I1297" s="10"/>
      <c r="J1297" s="10"/>
      <c r="K1297" s="18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</row>
    <row r="1298" ht="14.25" customHeight="1">
      <c r="A1298" s="9"/>
      <c r="B1298" s="8"/>
      <c r="C1298" s="8"/>
      <c r="D1298" s="8"/>
      <c r="E1298" s="8"/>
      <c r="F1298" s="8"/>
      <c r="G1298" s="8"/>
      <c r="H1298" s="8"/>
      <c r="I1298" s="10"/>
      <c r="J1298" s="10"/>
      <c r="K1298" s="18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ht="14.25" customHeight="1">
      <c r="A1299" s="9"/>
      <c r="B1299" s="8"/>
      <c r="C1299" s="8"/>
      <c r="D1299" s="8"/>
      <c r="E1299" s="8"/>
      <c r="F1299" s="8"/>
      <c r="G1299" s="8"/>
      <c r="H1299" s="8"/>
      <c r="I1299" s="10"/>
      <c r="J1299" s="10"/>
      <c r="K1299" s="18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</row>
    <row r="1300" ht="14.25" customHeight="1">
      <c r="A1300" s="9"/>
      <c r="B1300" s="8"/>
      <c r="C1300" s="8"/>
      <c r="D1300" s="8"/>
      <c r="E1300" s="8"/>
      <c r="F1300" s="8"/>
      <c r="G1300" s="8"/>
      <c r="H1300" s="8"/>
      <c r="I1300" s="10"/>
      <c r="J1300" s="10"/>
      <c r="K1300" s="18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 ht="14.25" customHeight="1">
      <c r="A1301" s="9"/>
      <c r="B1301" s="8"/>
      <c r="C1301" s="8"/>
      <c r="D1301" s="8"/>
      <c r="E1301" s="8"/>
      <c r="F1301" s="8"/>
      <c r="G1301" s="8"/>
      <c r="H1301" s="8"/>
      <c r="I1301" s="10"/>
      <c r="J1301" s="10"/>
      <c r="K1301" s="18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 ht="14.25" customHeight="1">
      <c r="A1302" s="9"/>
      <c r="B1302" s="8"/>
      <c r="C1302" s="8"/>
      <c r="D1302" s="8"/>
      <c r="E1302" s="8"/>
      <c r="F1302" s="8"/>
      <c r="G1302" s="8"/>
      <c r="H1302" s="8"/>
      <c r="I1302" s="10"/>
      <c r="J1302" s="10"/>
      <c r="K1302" s="18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</row>
    <row r="1303" ht="14.25" customHeight="1">
      <c r="A1303" s="9"/>
      <c r="B1303" s="8"/>
      <c r="C1303" s="8"/>
      <c r="D1303" s="8"/>
      <c r="E1303" s="8"/>
      <c r="F1303" s="8"/>
      <c r="G1303" s="8"/>
      <c r="H1303" s="8"/>
      <c r="I1303" s="10"/>
      <c r="J1303" s="10"/>
      <c r="K1303" s="18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</row>
    <row r="1304" ht="14.25" customHeight="1">
      <c r="A1304" s="9"/>
      <c r="B1304" s="8"/>
      <c r="C1304" s="8"/>
      <c r="D1304" s="8"/>
      <c r="E1304" s="8"/>
      <c r="F1304" s="8"/>
      <c r="G1304" s="8"/>
      <c r="H1304" s="8"/>
      <c r="I1304" s="10"/>
      <c r="J1304" s="10"/>
      <c r="K1304" s="18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</row>
    <row r="1305" ht="14.25" customHeight="1">
      <c r="A1305" s="9"/>
      <c r="B1305" s="8"/>
      <c r="C1305" s="8"/>
      <c r="D1305" s="8"/>
      <c r="E1305" s="8"/>
      <c r="F1305" s="8"/>
      <c r="G1305" s="8"/>
      <c r="H1305" s="8"/>
      <c r="I1305" s="10"/>
      <c r="J1305" s="10"/>
      <c r="K1305" s="18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 ht="14.25" customHeight="1">
      <c r="A1306" s="9"/>
      <c r="B1306" s="8"/>
      <c r="C1306" s="8"/>
      <c r="D1306" s="8"/>
      <c r="E1306" s="8"/>
      <c r="F1306" s="8"/>
      <c r="G1306" s="8"/>
      <c r="H1306" s="8"/>
      <c r="I1306" s="10"/>
      <c r="J1306" s="10"/>
      <c r="K1306" s="18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 ht="14.25" customHeight="1">
      <c r="A1307" s="9"/>
      <c r="B1307" s="8"/>
      <c r="C1307" s="8"/>
      <c r="D1307" s="8"/>
      <c r="E1307" s="8"/>
      <c r="F1307" s="8"/>
      <c r="G1307" s="8"/>
      <c r="H1307" s="8"/>
      <c r="I1307" s="10"/>
      <c r="J1307" s="10"/>
      <c r="K1307" s="18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 ht="14.25" customHeight="1">
      <c r="A1308" s="9"/>
      <c r="B1308" s="8"/>
      <c r="C1308" s="8"/>
      <c r="D1308" s="8"/>
      <c r="E1308" s="8"/>
      <c r="F1308" s="8"/>
      <c r="G1308" s="8"/>
      <c r="H1308" s="8"/>
      <c r="I1308" s="10"/>
      <c r="J1308" s="10"/>
      <c r="K1308" s="18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</row>
    <row r="1309" ht="14.25" customHeight="1">
      <c r="A1309" s="9"/>
      <c r="B1309" s="8"/>
      <c r="C1309" s="8"/>
      <c r="D1309" s="8"/>
      <c r="E1309" s="8"/>
      <c r="F1309" s="8"/>
      <c r="G1309" s="8"/>
      <c r="H1309" s="8"/>
      <c r="I1309" s="10"/>
      <c r="J1309" s="10"/>
      <c r="K1309" s="18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</row>
    <row r="1310" ht="14.25" customHeight="1">
      <c r="A1310" s="9"/>
      <c r="B1310" s="8"/>
      <c r="C1310" s="8"/>
      <c r="D1310" s="8"/>
      <c r="E1310" s="8"/>
      <c r="F1310" s="8"/>
      <c r="G1310" s="8"/>
      <c r="H1310" s="8"/>
      <c r="I1310" s="10"/>
      <c r="J1310" s="10"/>
      <c r="K1310" s="18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 ht="14.25" customHeight="1">
      <c r="A1311" s="9"/>
      <c r="B1311" s="8"/>
      <c r="C1311" s="8"/>
      <c r="D1311" s="8"/>
      <c r="E1311" s="8"/>
      <c r="F1311" s="8"/>
      <c r="G1311" s="8"/>
      <c r="H1311" s="8"/>
      <c r="I1311" s="10"/>
      <c r="J1311" s="10"/>
      <c r="K1311" s="18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</row>
    <row r="1312" ht="14.25" customHeight="1">
      <c r="A1312" s="9"/>
      <c r="B1312" s="8"/>
      <c r="C1312" s="8"/>
      <c r="D1312" s="8"/>
      <c r="E1312" s="8"/>
      <c r="F1312" s="8"/>
      <c r="G1312" s="8"/>
      <c r="H1312" s="8"/>
      <c r="I1312" s="10"/>
      <c r="J1312" s="10"/>
      <c r="K1312" s="18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</row>
    <row r="1313" ht="14.25" customHeight="1">
      <c r="A1313" s="9"/>
      <c r="B1313" s="8"/>
      <c r="C1313" s="8"/>
      <c r="D1313" s="8"/>
      <c r="E1313" s="8"/>
      <c r="F1313" s="8"/>
      <c r="G1313" s="8"/>
      <c r="H1313" s="8"/>
      <c r="I1313" s="10"/>
      <c r="J1313" s="10"/>
      <c r="K1313" s="18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 ht="14.25" customHeight="1">
      <c r="A1314" s="9"/>
      <c r="B1314" s="8"/>
      <c r="C1314" s="8"/>
      <c r="D1314" s="8"/>
      <c r="E1314" s="8"/>
      <c r="F1314" s="8"/>
      <c r="G1314" s="8"/>
      <c r="H1314" s="8"/>
      <c r="I1314" s="10"/>
      <c r="J1314" s="10"/>
      <c r="K1314" s="18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</row>
    <row r="1315" ht="14.25" customHeight="1">
      <c r="A1315" s="9"/>
      <c r="B1315" s="8"/>
      <c r="C1315" s="8"/>
      <c r="D1315" s="8"/>
      <c r="E1315" s="8"/>
      <c r="F1315" s="8"/>
      <c r="G1315" s="8"/>
      <c r="H1315" s="8"/>
      <c r="I1315" s="10"/>
      <c r="J1315" s="10"/>
      <c r="K1315" s="18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</row>
    <row r="1316" ht="14.25" customHeight="1">
      <c r="A1316" s="9"/>
      <c r="B1316" s="8"/>
      <c r="C1316" s="8"/>
      <c r="D1316" s="8"/>
      <c r="E1316" s="8"/>
      <c r="F1316" s="8"/>
      <c r="G1316" s="8"/>
      <c r="H1316" s="8"/>
      <c r="I1316" s="10"/>
      <c r="J1316" s="10"/>
      <c r="K1316" s="18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</row>
    <row r="1317" ht="14.25" customHeight="1">
      <c r="A1317" s="9"/>
      <c r="B1317" s="8"/>
      <c r="C1317" s="8"/>
      <c r="D1317" s="8"/>
      <c r="E1317" s="8"/>
      <c r="F1317" s="8"/>
      <c r="G1317" s="8"/>
      <c r="H1317" s="8"/>
      <c r="I1317" s="10"/>
      <c r="J1317" s="10"/>
      <c r="K1317" s="18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</row>
    <row r="1318" ht="14.25" customHeight="1">
      <c r="A1318" s="9"/>
      <c r="B1318" s="8"/>
      <c r="C1318" s="8"/>
      <c r="D1318" s="8"/>
      <c r="E1318" s="8"/>
      <c r="F1318" s="8"/>
      <c r="G1318" s="8"/>
      <c r="H1318" s="8"/>
      <c r="I1318" s="10"/>
      <c r="J1318" s="10"/>
      <c r="K1318" s="18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</row>
    <row r="1319" ht="14.25" customHeight="1">
      <c r="A1319" s="9"/>
      <c r="B1319" s="8"/>
      <c r="C1319" s="8"/>
      <c r="D1319" s="8"/>
      <c r="E1319" s="8"/>
      <c r="F1319" s="8"/>
      <c r="G1319" s="8"/>
      <c r="H1319" s="8"/>
      <c r="I1319" s="10"/>
      <c r="J1319" s="10"/>
      <c r="K1319" s="18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</row>
    <row r="1320" ht="14.25" customHeight="1">
      <c r="A1320" s="9"/>
      <c r="B1320" s="8"/>
      <c r="C1320" s="8"/>
      <c r="D1320" s="8"/>
      <c r="E1320" s="8"/>
      <c r="F1320" s="8"/>
      <c r="G1320" s="8"/>
      <c r="H1320" s="8"/>
      <c r="I1320" s="10"/>
      <c r="J1320" s="10"/>
      <c r="K1320" s="18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</row>
    <row r="1321" ht="14.25" customHeight="1">
      <c r="A1321" s="9"/>
      <c r="B1321" s="8"/>
      <c r="C1321" s="8"/>
      <c r="D1321" s="8"/>
      <c r="E1321" s="8"/>
      <c r="F1321" s="8"/>
      <c r="G1321" s="8"/>
      <c r="H1321" s="8"/>
      <c r="I1321" s="10"/>
      <c r="J1321" s="10"/>
      <c r="K1321" s="18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</row>
    <row r="1322" ht="14.25" customHeight="1">
      <c r="A1322" s="9"/>
      <c r="B1322" s="8"/>
      <c r="C1322" s="8"/>
      <c r="D1322" s="8"/>
      <c r="E1322" s="8"/>
      <c r="F1322" s="8"/>
      <c r="G1322" s="8"/>
      <c r="H1322" s="8"/>
      <c r="I1322" s="10"/>
      <c r="J1322" s="10"/>
      <c r="K1322" s="18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</row>
    <row r="1323" ht="14.25" customHeight="1">
      <c r="A1323" s="9"/>
      <c r="B1323" s="8"/>
      <c r="C1323" s="8"/>
      <c r="D1323" s="8"/>
      <c r="E1323" s="8"/>
      <c r="F1323" s="8"/>
      <c r="G1323" s="8"/>
      <c r="H1323" s="8"/>
      <c r="I1323" s="10"/>
      <c r="J1323" s="10"/>
      <c r="K1323" s="18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</row>
    <row r="1324" ht="14.25" customHeight="1">
      <c r="A1324" s="9"/>
      <c r="B1324" s="8"/>
      <c r="C1324" s="8"/>
      <c r="D1324" s="8"/>
      <c r="E1324" s="8"/>
      <c r="F1324" s="8"/>
      <c r="G1324" s="8"/>
      <c r="H1324" s="8"/>
      <c r="I1324" s="10"/>
      <c r="J1324" s="10"/>
      <c r="K1324" s="18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</row>
    <row r="1325" ht="14.25" customHeight="1">
      <c r="A1325" s="9"/>
      <c r="B1325" s="8"/>
      <c r="C1325" s="8"/>
      <c r="D1325" s="8"/>
      <c r="E1325" s="8"/>
      <c r="F1325" s="8"/>
      <c r="G1325" s="8"/>
      <c r="H1325" s="8"/>
      <c r="I1325" s="10"/>
      <c r="J1325" s="10"/>
      <c r="K1325" s="18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</row>
    <row r="1326" ht="14.25" customHeight="1">
      <c r="A1326" s="9"/>
      <c r="B1326" s="8"/>
      <c r="C1326" s="8"/>
      <c r="D1326" s="8"/>
      <c r="E1326" s="8"/>
      <c r="F1326" s="8"/>
      <c r="G1326" s="8"/>
      <c r="H1326" s="8"/>
      <c r="I1326" s="10"/>
      <c r="J1326" s="10"/>
      <c r="K1326" s="18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</row>
    <row r="1327" ht="14.25" customHeight="1">
      <c r="A1327" s="9"/>
      <c r="B1327" s="8"/>
      <c r="C1327" s="8"/>
      <c r="D1327" s="8"/>
      <c r="E1327" s="8"/>
      <c r="F1327" s="8"/>
      <c r="G1327" s="8"/>
      <c r="H1327" s="8"/>
      <c r="I1327" s="10"/>
      <c r="J1327" s="10"/>
      <c r="K1327" s="18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</row>
    <row r="1328" ht="14.25" customHeight="1">
      <c r="A1328" s="9"/>
      <c r="B1328" s="8"/>
      <c r="C1328" s="8"/>
      <c r="D1328" s="8"/>
      <c r="E1328" s="8"/>
      <c r="F1328" s="8"/>
      <c r="G1328" s="8"/>
      <c r="H1328" s="8"/>
      <c r="I1328" s="10"/>
      <c r="J1328" s="10"/>
      <c r="K1328" s="18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</row>
    <row r="1329" ht="14.25" customHeight="1">
      <c r="A1329" s="9"/>
      <c r="B1329" s="8"/>
      <c r="C1329" s="8"/>
      <c r="D1329" s="8"/>
      <c r="E1329" s="8"/>
      <c r="F1329" s="8"/>
      <c r="G1329" s="8"/>
      <c r="H1329" s="8"/>
      <c r="I1329" s="10"/>
      <c r="J1329" s="10"/>
      <c r="K1329" s="18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</row>
    <row r="1330" ht="14.25" customHeight="1">
      <c r="A1330" s="9"/>
      <c r="B1330" s="8"/>
      <c r="C1330" s="8"/>
      <c r="D1330" s="8"/>
      <c r="E1330" s="8"/>
      <c r="F1330" s="8"/>
      <c r="G1330" s="8"/>
      <c r="H1330" s="8"/>
      <c r="I1330" s="10"/>
      <c r="J1330" s="10"/>
      <c r="K1330" s="18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</row>
    <row r="1331" ht="14.25" customHeight="1">
      <c r="A1331" s="9"/>
      <c r="B1331" s="8"/>
      <c r="C1331" s="8"/>
      <c r="D1331" s="8"/>
      <c r="E1331" s="8"/>
      <c r="F1331" s="8"/>
      <c r="G1331" s="8"/>
      <c r="H1331" s="8"/>
      <c r="I1331" s="10"/>
      <c r="J1331" s="10"/>
      <c r="K1331" s="18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</row>
    <row r="1332" ht="14.25" customHeight="1">
      <c r="A1332" s="9"/>
      <c r="B1332" s="8"/>
      <c r="C1332" s="8"/>
      <c r="D1332" s="8"/>
      <c r="E1332" s="8"/>
      <c r="F1332" s="8"/>
      <c r="G1332" s="8"/>
      <c r="H1332" s="8"/>
      <c r="I1332" s="10"/>
      <c r="J1332" s="10"/>
      <c r="K1332" s="18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</row>
    <row r="1333" ht="14.25" customHeight="1">
      <c r="A1333" s="9"/>
      <c r="B1333" s="8"/>
      <c r="C1333" s="8"/>
      <c r="D1333" s="8"/>
      <c r="E1333" s="8"/>
      <c r="F1333" s="8"/>
      <c r="G1333" s="8"/>
      <c r="H1333" s="8"/>
      <c r="I1333" s="10"/>
      <c r="J1333" s="10"/>
      <c r="K1333" s="18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</row>
    <row r="1334" ht="14.25" customHeight="1">
      <c r="A1334" s="9"/>
      <c r="B1334" s="8"/>
      <c r="C1334" s="8"/>
      <c r="D1334" s="8"/>
      <c r="E1334" s="8"/>
      <c r="F1334" s="8"/>
      <c r="G1334" s="8"/>
      <c r="H1334" s="8"/>
      <c r="I1334" s="10"/>
      <c r="J1334" s="10"/>
      <c r="K1334" s="18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</row>
    <row r="1335" ht="14.25" customHeight="1">
      <c r="A1335" s="9"/>
      <c r="B1335" s="8"/>
      <c r="C1335" s="8"/>
      <c r="D1335" s="8"/>
      <c r="E1335" s="8"/>
      <c r="F1335" s="8"/>
      <c r="G1335" s="8"/>
      <c r="H1335" s="8"/>
      <c r="I1335" s="10"/>
      <c r="J1335" s="10"/>
      <c r="K1335" s="18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</row>
    <row r="1336" ht="14.25" customHeight="1">
      <c r="A1336" s="9"/>
      <c r="B1336" s="8"/>
      <c r="C1336" s="8"/>
      <c r="D1336" s="8"/>
      <c r="E1336" s="8"/>
      <c r="F1336" s="8"/>
      <c r="G1336" s="8"/>
      <c r="H1336" s="8"/>
      <c r="I1336" s="10"/>
      <c r="J1336" s="10"/>
      <c r="K1336" s="18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</row>
    <row r="1337" ht="14.25" customHeight="1">
      <c r="A1337" s="9"/>
      <c r="B1337" s="8"/>
      <c r="C1337" s="8"/>
      <c r="D1337" s="8"/>
      <c r="E1337" s="8"/>
      <c r="F1337" s="8"/>
      <c r="G1337" s="8"/>
      <c r="H1337" s="8"/>
      <c r="I1337" s="10"/>
      <c r="J1337" s="10"/>
      <c r="K1337" s="18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</row>
    <row r="1338" ht="14.25" customHeight="1">
      <c r="A1338" s="9"/>
      <c r="B1338" s="8"/>
      <c r="C1338" s="8"/>
      <c r="D1338" s="8"/>
      <c r="E1338" s="8"/>
      <c r="F1338" s="8"/>
      <c r="G1338" s="8"/>
      <c r="H1338" s="8"/>
      <c r="I1338" s="10"/>
      <c r="J1338" s="10"/>
      <c r="K1338" s="18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</row>
    <row r="1339" ht="14.25" customHeight="1">
      <c r="A1339" s="9"/>
      <c r="B1339" s="8"/>
      <c r="C1339" s="8"/>
      <c r="D1339" s="8"/>
      <c r="E1339" s="8"/>
      <c r="F1339" s="8"/>
      <c r="G1339" s="8"/>
      <c r="H1339" s="8"/>
      <c r="I1339" s="10"/>
      <c r="J1339" s="10"/>
      <c r="K1339" s="18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</row>
    <row r="1340" ht="14.25" customHeight="1">
      <c r="A1340" s="9"/>
      <c r="B1340" s="8"/>
      <c r="C1340" s="8"/>
      <c r="D1340" s="8"/>
      <c r="E1340" s="8"/>
      <c r="F1340" s="8"/>
      <c r="G1340" s="8"/>
      <c r="H1340" s="8"/>
      <c r="I1340" s="10"/>
      <c r="J1340" s="10"/>
      <c r="K1340" s="18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</row>
    <row r="1341" ht="14.25" customHeight="1">
      <c r="A1341" s="9"/>
      <c r="B1341" s="8"/>
      <c r="C1341" s="8"/>
      <c r="D1341" s="8"/>
      <c r="E1341" s="8"/>
      <c r="F1341" s="8"/>
      <c r="G1341" s="8"/>
      <c r="H1341" s="8"/>
      <c r="I1341" s="10"/>
      <c r="J1341" s="10"/>
      <c r="K1341" s="18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</row>
    <row r="1342" ht="14.25" customHeight="1">
      <c r="A1342" s="9"/>
      <c r="B1342" s="8"/>
      <c r="C1342" s="8"/>
      <c r="D1342" s="8"/>
      <c r="E1342" s="8"/>
      <c r="F1342" s="8"/>
      <c r="G1342" s="8"/>
      <c r="H1342" s="8"/>
      <c r="I1342" s="10"/>
      <c r="J1342" s="10"/>
      <c r="K1342" s="18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</row>
    <row r="1343" ht="14.25" customHeight="1">
      <c r="A1343" s="9"/>
      <c r="B1343" s="8"/>
      <c r="C1343" s="8"/>
      <c r="D1343" s="8"/>
      <c r="E1343" s="8"/>
      <c r="F1343" s="8"/>
      <c r="G1343" s="8"/>
      <c r="H1343" s="8"/>
      <c r="I1343" s="10"/>
      <c r="J1343" s="10"/>
      <c r="K1343" s="18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</row>
    <row r="1344" ht="14.25" customHeight="1">
      <c r="A1344" s="9"/>
      <c r="B1344" s="8"/>
      <c r="C1344" s="8"/>
      <c r="D1344" s="8"/>
      <c r="E1344" s="8"/>
      <c r="F1344" s="8"/>
      <c r="G1344" s="8"/>
      <c r="H1344" s="8"/>
      <c r="I1344" s="10"/>
      <c r="J1344" s="10"/>
      <c r="K1344" s="18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</row>
    <row r="1345" ht="14.25" customHeight="1">
      <c r="A1345" s="9"/>
      <c r="B1345" s="8"/>
      <c r="C1345" s="8"/>
      <c r="D1345" s="8"/>
      <c r="E1345" s="8"/>
      <c r="F1345" s="8"/>
      <c r="G1345" s="8"/>
      <c r="H1345" s="8"/>
      <c r="I1345" s="10"/>
      <c r="J1345" s="10"/>
      <c r="K1345" s="18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</row>
    <row r="1346" ht="14.25" customHeight="1">
      <c r="A1346" s="9"/>
      <c r="B1346" s="8"/>
      <c r="C1346" s="8"/>
      <c r="D1346" s="8"/>
      <c r="E1346" s="8"/>
      <c r="F1346" s="8"/>
      <c r="G1346" s="8"/>
      <c r="H1346" s="8"/>
      <c r="I1346" s="10"/>
      <c r="J1346" s="10"/>
      <c r="K1346" s="18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</row>
    <row r="1347" ht="14.25" customHeight="1">
      <c r="A1347" s="9"/>
      <c r="B1347" s="8"/>
      <c r="C1347" s="8"/>
      <c r="D1347" s="8"/>
      <c r="E1347" s="8"/>
      <c r="F1347" s="8"/>
      <c r="G1347" s="8"/>
      <c r="H1347" s="8"/>
      <c r="I1347" s="10"/>
      <c r="J1347" s="10"/>
      <c r="K1347" s="18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</row>
    <row r="1348" ht="14.25" customHeight="1">
      <c r="A1348" s="9"/>
      <c r="B1348" s="8"/>
      <c r="C1348" s="8"/>
      <c r="D1348" s="8"/>
      <c r="E1348" s="8"/>
      <c r="F1348" s="8"/>
      <c r="G1348" s="8"/>
      <c r="H1348" s="8"/>
      <c r="I1348" s="10"/>
      <c r="J1348" s="10"/>
      <c r="K1348" s="18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</row>
    <row r="1349" ht="14.25" customHeight="1">
      <c r="A1349" s="9"/>
      <c r="B1349" s="8"/>
      <c r="C1349" s="8"/>
      <c r="D1349" s="8"/>
      <c r="E1349" s="8"/>
      <c r="F1349" s="8"/>
      <c r="G1349" s="8"/>
      <c r="H1349" s="8"/>
      <c r="I1349" s="10"/>
      <c r="J1349" s="10"/>
      <c r="K1349" s="18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</row>
    <row r="1350" ht="14.25" customHeight="1">
      <c r="A1350" s="9"/>
      <c r="B1350" s="8"/>
      <c r="C1350" s="8"/>
      <c r="D1350" s="8"/>
      <c r="E1350" s="8"/>
      <c r="F1350" s="8"/>
      <c r="G1350" s="8"/>
      <c r="H1350" s="8"/>
      <c r="I1350" s="10"/>
      <c r="J1350" s="10"/>
      <c r="K1350" s="18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</row>
    <row r="1351" ht="14.25" customHeight="1">
      <c r="A1351" s="9"/>
      <c r="B1351" s="8"/>
      <c r="C1351" s="8"/>
      <c r="D1351" s="8"/>
      <c r="E1351" s="8"/>
      <c r="F1351" s="8"/>
      <c r="G1351" s="8"/>
      <c r="H1351" s="8"/>
      <c r="I1351" s="10"/>
      <c r="J1351" s="10"/>
      <c r="K1351" s="18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</row>
    <row r="1352" ht="14.25" customHeight="1">
      <c r="A1352" s="9"/>
      <c r="B1352" s="8"/>
      <c r="C1352" s="8"/>
      <c r="D1352" s="8"/>
      <c r="E1352" s="8"/>
      <c r="F1352" s="8"/>
      <c r="G1352" s="8"/>
      <c r="H1352" s="8"/>
      <c r="I1352" s="10"/>
      <c r="J1352" s="10"/>
      <c r="K1352" s="18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</row>
    <row r="1353" ht="14.25" customHeight="1">
      <c r="A1353" s="9"/>
      <c r="B1353" s="8"/>
      <c r="C1353" s="8"/>
      <c r="D1353" s="8"/>
      <c r="E1353" s="8"/>
      <c r="F1353" s="8"/>
      <c r="G1353" s="8"/>
      <c r="H1353" s="8"/>
      <c r="I1353" s="10"/>
      <c r="J1353" s="10"/>
      <c r="K1353" s="18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</row>
    <row r="1354" ht="14.25" customHeight="1">
      <c r="A1354" s="9"/>
      <c r="B1354" s="8"/>
      <c r="C1354" s="8"/>
      <c r="D1354" s="8"/>
      <c r="E1354" s="8"/>
      <c r="F1354" s="8"/>
      <c r="G1354" s="8"/>
      <c r="H1354" s="8"/>
      <c r="I1354" s="10"/>
      <c r="J1354" s="10"/>
      <c r="K1354" s="18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</row>
    <row r="1355" ht="14.25" customHeight="1">
      <c r="A1355" s="9"/>
      <c r="B1355" s="8"/>
      <c r="C1355" s="8"/>
      <c r="D1355" s="8"/>
      <c r="E1355" s="8"/>
      <c r="F1355" s="8"/>
      <c r="G1355" s="8"/>
      <c r="H1355" s="8"/>
      <c r="I1355" s="10"/>
      <c r="J1355" s="10"/>
      <c r="K1355" s="18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</row>
    <row r="1356" ht="14.25" customHeight="1">
      <c r="A1356" s="9"/>
      <c r="B1356" s="8"/>
      <c r="C1356" s="8"/>
      <c r="D1356" s="8"/>
      <c r="E1356" s="8"/>
      <c r="F1356" s="8"/>
      <c r="G1356" s="8"/>
      <c r="H1356" s="8"/>
      <c r="I1356" s="10"/>
      <c r="J1356" s="10"/>
      <c r="K1356" s="18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</row>
    <row r="1357" ht="14.25" customHeight="1">
      <c r="A1357" s="9"/>
      <c r="B1357" s="8"/>
      <c r="C1357" s="8"/>
      <c r="D1357" s="8"/>
      <c r="E1357" s="8"/>
      <c r="F1357" s="8"/>
      <c r="G1357" s="8"/>
      <c r="H1357" s="8"/>
      <c r="I1357" s="10"/>
      <c r="J1357" s="10"/>
      <c r="K1357" s="18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</row>
    <row r="1358" ht="14.25" customHeight="1">
      <c r="A1358" s="9"/>
      <c r="B1358" s="8"/>
      <c r="C1358" s="8"/>
      <c r="D1358" s="8"/>
      <c r="E1358" s="8"/>
      <c r="F1358" s="8"/>
      <c r="G1358" s="8"/>
      <c r="H1358" s="8"/>
      <c r="I1358" s="10"/>
      <c r="J1358" s="10"/>
      <c r="K1358" s="18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</row>
    <row r="1359" ht="14.25" customHeight="1">
      <c r="A1359" s="9"/>
      <c r="B1359" s="8"/>
      <c r="C1359" s="8"/>
      <c r="D1359" s="8"/>
      <c r="E1359" s="8"/>
      <c r="F1359" s="8"/>
      <c r="G1359" s="8"/>
      <c r="H1359" s="8"/>
      <c r="I1359" s="10"/>
      <c r="J1359" s="10"/>
      <c r="K1359" s="18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</row>
    <row r="1360" ht="14.25" customHeight="1">
      <c r="A1360" s="9"/>
      <c r="B1360" s="8"/>
      <c r="C1360" s="8"/>
      <c r="D1360" s="8"/>
      <c r="E1360" s="8"/>
      <c r="F1360" s="8"/>
      <c r="G1360" s="8"/>
      <c r="H1360" s="8"/>
      <c r="I1360" s="10"/>
      <c r="J1360" s="10"/>
      <c r="K1360" s="18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</row>
    <row r="1361" ht="14.25" customHeight="1">
      <c r="A1361" s="9"/>
      <c r="B1361" s="8"/>
      <c r="C1361" s="8"/>
      <c r="D1361" s="8"/>
      <c r="E1361" s="8"/>
      <c r="F1361" s="8"/>
      <c r="G1361" s="8"/>
      <c r="H1361" s="8"/>
      <c r="I1361" s="10"/>
      <c r="J1361" s="10"/>
      <c r="K1361" s="18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</row>
    <row r="1362" ht="14.25" customHeight="1">
      <c r="A1362" s="9"/>
      <c r="B1362" s="8"/>
      <c r="C1362" s="8"/>
      <c r="D1362" s="8"/>
      <c r="E1362" s="8"/>
      <c r="F1362" s="8"/>
      <c r="G1362" s="8"/>
      <c r="H1362" s="8"/>
      <c r="I1362" s="10"/>
      <c r="J1362" s="10"/>
      <c r="K1362" s="18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</row>
    <row r="1363" ht="14.25" customHeight="1">
      <c r="A1363" s="9"/>
      <c r="B1363" s="8"/>
      <c r="C1363" s="8"/>
      <c r="D1363" s="8"/>
      <c r="E1363" s="8"/>
      <c r="F1363" s="8"/>
      <c r="G1363" s="8"/>
      <c r="H1363" s="8"/>
      <c r="I1363" s="10"/>
      <c r="J1363" s="10"/>
      <c r="K1363" s="18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</row>
    <row r="1364" ht="14.25" customHeight="1">
      <c r="A1364" s="9"/>
      <c r="B1364" s="8"/>
      <c r="C1364" s="8"/>
      <c r="D1364" s="8"/>
      <c r="E1364" s="8"/>
      <c r="F1364" s="8"/>
      <c r="G1364" s="8"/>
      <c r="H1364" s="8"/>
      <c r="I1364" s="10"/>
      <c r="J1364" s="10"/>
      <c r="K1364" s="18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</row>
    <row r="1365" ht="14.25" customHeight="1">
      <c r="A1365" s="9"/>
      <c r="B1365" s="8"/>
      <c r="C1365" s="8"/>
      <c r="D1365" s="8"/>
      <c r="E1365" s="8"/>
      <c r="F1365" s="8"/>
      <c r="G1365" s="8"/>
      <c r="H1365" s="8"/>
      <c r="I1365" s="10"/>
      <c r="J1365" s="10"/>
      <c r="K1365" s="18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</row>
    <row r="1366" ht="14.25" customHeight="1">
      <c r="A1366" s="9"/>
      <c r="B1366" s="8"/>
      <c r="C1366" s="8"/>
      <c r="D1366" s="8"/>
      <c r="E1366" s="8"/>
      <c r="F1366" s="8"/>
      <c r="G1366" s="8"/>
      <c r="H1366" s="8"/>
      <c r="I1366" s="10"/>
      <c r="J1366" s="10"/>
      <c r="K1366" s="18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</row>
    <row r="1367" ht="14.25" customHeight="1">
      <c r="A1367" s="9"/>
      <c r="B1367" s="8"/>
      <c r="C1367" s="8"/>
      <c r="D1367" s="8"/>
      <c r="E1367" s="8"/>
      <c r="F1367" s="8"/>
      <c r="G1367" s="8"/>
      <c r="H1367" s="8"/>
      <c r="I1367" s="10"/>
      <c r="J1367" s="10"/>
      <c r="K1367" s="18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</row>
    <row r="1368" ht="14.25" customHeight="1">
      <c r="A1368" s="9"/>
      <c r="B1368" s="8"/>
      <c r="C1368" s="8"/>
      <c r="D1368" s="8"/>
      <c r="E1368" s="8"/>
      <c r="F1368" s="8"/>
      <c r="G1368" s="8"/>
      <c r="H1368" s="8"/>
      <c r="I1368" s="10"/>
      <c r="J1368" s="10"/>
      <c r="K1368" s="18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</row>
    <row r="1369" ht="14.25" customHeight="1">
      <c r="A1369" s="9"/>
      <c r="B1369" s="8"/>
      <c r="C1369" s="8"/>
      <c r="D1369" s="8"/>
      <c r="E1369" s="8"/>
      <c r="F1369" s="8"/>
      <c r="G1369" s="8"/>
      <c r="H1369" s="8"/>
      <c r="I1369" s="10"/>
      <c r="J1369" s="10"/>
      <c r="K1369" s="18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</row>
    <row r="1370" ht="14.25" customHeight="1">
      <c r="A1370" s="9"/>
      <c r="B1370" s="8"/>
      <c r="C1370" s="8"/>
      <c r="D1370" s="8"/>
      <c r="E1370" s="8"/>
      <c r="F1370" s="8"/>
      <c r="G1370" s="8"/>
      <c r="H1370" s="8"/>
      <c r="I1370" s="10"/>
      <c r="J1370" s="10"/>
      <c r="K1370" s="18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</row>
    <row r="1371" ht="14.25" customHeight="1">
      <c r="A1371" s="9"/>
      <c r="B1371" s="8"/>
      <c r="C1371" s="8"/>
      <c r="D1371" s="8"/>
      <c r="E1371" s="8"/>
      <c r="F1371" s="8"/>
      <c r="G1371" s="8"/>
      <c r="H1371" s="8"/>
      <c r="I1371" s="10"/>
      <c r="J1371" s="10"/>
      <c r="K1371" s="18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</row>
    <row r="1372" ht="14.25" customHeight="1">
      <c r="A1372" s="9"/>
      <c r="B1372" s="8"/>
      <c r="C1372" s="8"/>
      <c r="D1372" s="8"/>
      <c r="E1372" s="8"/>
      <c r="F1372" s="8"/>
      <c r="G1372" s="8"/>
      <c r="H1372" s="8"/>
      <c r="I1372" s="10"/>
      <c r="J1372" s="10"/>
      <c r="K1372" s="18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</row>
    <row r="1373" ht="14.25" customHeight="1">
      <c r="A1373" s="9"/>
      <c r="B1373" s="8"/>
      <c r="C1373" s="8"/>
      <c r="D1373" s="8"/>
      <c r="E1373" s="8"/>
      <c r="F1373" s="8"/>
      <c r="G1373" s="8"/>
      <c r="H1373" s="8"/>
      <c r="I1373" s="10"/>
      <c r="J1373" s="10"/>
      <c r="K1373" s="18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</row>
    <row r="1374" ht="14.25" customHeight="1">
      <c r="A1374" s="9"/>
      <c r="B1374" s="8"/>
      <c r="C1374" s="8"/>
      <c r="D1374" s="8"/>
      <c r="E1374" s="8"/>
      <c r="F1374" s="8"/>
      <c r="G1374" s="8"/>
      <c r="H1374" s="8"/>
      <c r="I1374" s="10"/>
      <c r="J1374" s="10"/>
      <c r="K1374" s="18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</row>
    <row r="1375" ht="14.25" customHeight="1">
      <c r="A1375" s="9"/>
      <c r="B1375" s="8"/>
      <c r="C1375" s="8"/>
      <c r="D1375" s="8"/>
      <c r="E1375" s="8"/>
      <c r="F1375" s="8"/>
      <c r="G1375" s="8"/>
      <c r="H1375" s="8"/>
      <c r="I1375" s="10"/>
      <c r="J1375" s="10"/>
      <c r="K1375" s="18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</row>
    <row r="1376" ht="14.25" customHeight="1">
      <c r="A1376" s="9"/>
      <c r="B1376" s="8"/>
      <c r="C1376" s="8"/>
      <c r="D1376" s="8"/>
      <c r="E1376" s="8"/>
      <c r="F1376" s="8"/>
      <c r="G1376" s="8"/>
      <c r="H1376" s="8"/>
      <c r="I1376" s="10"/>
      <c r="J1376" s="10"/>
      <c r="K1376" s="18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</row>
    <row r="1377" ht="14.25" customHeight="1">
      <c r="A1377" s="9"/>
      <c r="B1377" s="8"/>
      <c r="C1377" s="8"/>
      <c r="D1377" s="8"/>
      <c r="E1377" s="8"/>
      <c r="F1377" s="8"/>
      <c r="G1377" s="8"/>
      <c r="H1377" s="8"/>
      <c r="I1377" s="10"/>
      <c r="J1377" s="10"/>
      <c r="K1377" s="18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</row>
    <row r="1378" ht="14.25" customHeight="1">
      <c r="A1378" s="9"/>
      <c r="B1378" s="8"/>
      <c r="C1378" s="8"/>
      <c r="D1378" s="8"/>
      <c r="E1378" s="8"/>
      <c r="F1378" s="8"/>
      <c r="G1378" s="8"/>
      <c r="H1378" s="8"/>
      <c r="I1378" s="10"/>
      <c r="J1378" s="10"/>
      <c r="K1378" s="18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</row>
    <row r="1379" ht="14.25" customHeight="1">
      <c r="A1379" s="9"/>
      <c r="B1379" s="8"/>
      <c r="C1379" s="8"/>
      <c r="D1379" s="8"/>
      <c r="E1379" s="8"/>
      <c r="F1379" s="8"/>
      <c r="G1379" s="8"/>
      <c r="H1379" s="8"/>
      <c r="I1379" s="10"/>
      <c r="J1379" s="10"/>
      <c r="K1379" s="18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</row>
    <row r="1380" ht="14.25" customHeight="1">
      <c r="A1380" s="9"/>
      <c r="B1380" s="8"/>
      <c r="C1380" s="8"/>
      <c r="D1380" s="8"/>
      <c r="E1380" s="8"/>
      <c r="F1380" s="8"/>
      <c r="G1380" s="8"/>
      <c r="H1380" s="8"/>
      <c r="I1380" s="10"/>
      <c r="J1380" s="10"/>
      <c r="K1380" s="18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</row>
    <row r="1381" ht="14.25" customHeight="1">
      <c r="A1381" s="9"/>
      <c r="B1381" s="8"/>
      <c r="C1381" s="8"/>
      <c r="D1381" s="8"/>
      <c r="E1381" s="8"/>
      <c r="F1381" s="8"/>
      <c r="G1381" s="8"/>
      <c r="H1381" s="8"/>
      <c r="I1381" s="10"/>
      <c r="J1381" s="10"/>
      <c r="K1381" s="18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</row>
    <row r="1382" ht="14.25" customHeight="1">
      <c r="A1382" s="9"/>
      <c r="B1382" s="8"/>
      <c r="C1382" s="8"/>
      <c r="D1382" s="8"/>
      <c r="E1382" s="8"/>
      <c r="F1382" s="8"/>
      <c r="G1382" s="8"/>
      <c r="H1382" s="8"/>
      <c r="I1382" s="10"/>
      <c r="J1382" s="10"/>
      <c r="K1382" s="18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</row>
    <row r="1383" ht="14.25" customHeight="1">
      <c r="A1383" s="9"/>
      <c r="B1383" s="8"/>
      <c r="C1383" s="8"/>
      <c r="D1383" s="8"/>
      <c r="E1383" s="8"/>
      <c r="F1383" s="8"/>
      <c r="G1383" s="8"/>
      <c r="H1383" s="8"/>
      <c r="I1383" s="10"/>
      <c r="J1383" s="10"/>
      <c r="K1383" s="18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</row>
    <row r="1384" ht="14.25" customHeight="1">
      <c r="A1384" s="9"/>
      <c r="B1384" s="8"/>
      <c r="C1384" s="8"/>
      <c r="D1384" s="8"/>
      <c r="E1384" s="8"/>
      <c r="F1384" s="8"/>
      <c r="G1384" s="8"/>
      <c r="H1384" s="8"/>
      <c r="I1384" s="10"/>
      <c r="J1384" s="10"/>
      <c r="K1384" s="18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</row>
    <row r="1385" ht="14.25" customHeight="1">
      <c r="A1385" s="9"/>
      <c r="B1385" s="8"/>
      <c r="C1385" s="8"/>
      <c r="D1385" s="8"/>
      <c r="E1385" s="8"/>
      <c r="F1385" s="8"/>
      <c r="G1385" s="8"/>
      <c r="H1385" s="8"/>
      <c r="I1385" s="10"/>
      <c r="J1385" s="10"/>
      <c r="K1385" s="18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</row>
    <row r="1386" ht="14.25" customHeight="1">
      <c r="A1386" s="9"/>
      <c r="B1386" s="8"/>
      <c r="C1386" s="8"/>
      <c r="D1386" s="8"/>
      <c r="E1386" s="8"/>
      <c r="F1386" s="8"/>
      <c r="G1386" s="8"/>
      <c r="H1386" s="8"/>
      <c r="I1386" s="10"/>
      <c r="J1386" s="10"/>
      <c r="K1386" s="18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</row>
    <row r="1387" ht="14.25" customHeight="1">
      <c r="A1387" s="9"/>
      <c r="B1387" s="8"/>
      <c r="C1387" s="8"/>
      <c r="D1387" s="8"/>
      <c r="E1387" s="8"/>
      <c r="F1387" s="8"/>
      <c r="G1387" s="8"/>
      <c r="H1387" s="8"/>
      <c r="I1387" s="10"/>
      <c r="J1387" s="10"/>
      <c r="K1387" s="18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</row>
    <row r="1388" ht="14.25" customHeight="1">
      <c r="A1388" s="9"/>
      <c r="B1388" s="8"/>
      <c r="C1388" s="8"/>
      <c r="D1388" s="8"/>
      <c r="E1388" s="8"/>
      <c r="F1388" s="8"/>
      <c r="G1388" s="8"/>
      <c r="H1388" s="8"/>
      <c r="I1388" s="10"/>
      <c r="J1388" s="10"/>
      <c r="K1388" s="18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</row>
    <row r="1389" ht="14.25" customHeight="1">
      <c r="A1389" s="9"/>
      <c r="B1389" s="8"/>
      <c r="C1389" s="8"/>
      <c r="D1389" s="8"/>
      <c r="E1389" s="8"/>
      <c r="F1389" s="8"/>
      <c r="G1389" s="8"/>
      <c r="H1389" s="8"/>
      <c r="I1389" s="10"/>
      <c r="J1389" s="10"/>
      <c r="K1389" s="18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</row>
    <row r="1390" ht="14.25" customHeight="1">
      <c r="A1390" s="9"/>
      <c r="B1390" s="8"/>
      <c r="C1390" s="8"/>
      <c r="D1390" s="8"/>
      <c r="E1390" s="8"/>
      <c r="F1390" s="8"/>
      <c r="G1390" s="8"/>
      <c r="H1390" s="8"/>
      <c r="I1390" s="10"/>
      <c r="J1390" s="10"/>
      <c r="K1390" s="18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</row>
    <row r="1391" ht="14.25" customHeight="1">
      <c r="A1391" s="9"/>
      <c r="B1391" s="8"/>
      <c r="C1391" s="8"/>
      <c r="D1391" s="8"/>
      <c r="E1391" s="8"/>
      <c r="F1391" s="8"/>
      <c r="G1391" s="8"/>
      <c r="H1391" s="8"/>
      <c r="I1391" s="10"/>
      <c r="J1391" s="10"/>
      <c r="K1391" s="18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</row>
    <row r="1392" ht="14.25" customHeight="1">
      <c r="A1392" s="9"/>
      <c r="B1392" s="8"/>
      <c r="C1392" s="8"/>
      <c r="D1392" s="8"/>
      <c r="E1392" s="8"/>
      <c r="F1392" s="8"/>
      <c r="G1392" s="8"/>
      <c r="H1392" s="8"/>
      <c r="I1392" s="10"/>
      <c r="J1392" s="10"/>
      <c r="K1392" s="18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</row>
    <row r="1393" ht="14.25" customHeight="1">
      <c r="A1393" s="9"/>
      <c r="B1393" s="8"/>
      <c r="C1393" s="8"/>
      <c r="D1393" s="8"/>
      <c r="E1393" s="8"/>
      <c r="F1393" s="8"/>
      <c r="G1393" s="8"/>
      <c r="H1393" s="8"/>
      <c r="I1393" s="10"/>
      <c r="J1393" s="10"/>
      <c r="K1393" s="18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</row>
    <row r="1394" ht="14.25" customHeight="1">
      <c r="A1394" s="9"/>
      <c r="B1394" s="8"/>
      <c r="C1394" s="8"/>
      <c r="D1394" s="8"/>
      <c r="E1394" s="8"/>
      <c r="F1394" s="8"/>
      <c r="G1394" s="8"/>
      <c r="H1394" s="8"/>
      <c r="I1394" s="10"/>
      <c r="J1394" s="10"/>
      <c r="K1394" s="18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</row>
    <row r="1395" ht="14.25" customHeight="1">
      <c r="A1395" s="9"/>
      <c r="B1395" s="8"/>
      <c r="C1395" s="8"/>
      <c r="D1395" s="8"/>
      <c r="E1395" s="8"/>
      <c r="F1395" s="8"/>
      <c r="G1395" s="8"/>
      <c r="H1395" s="8"/>
      <c r="I1395" s="10"/>
      <c r="J1395" s="10"/>
      <c r="K1395" s="18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</row>
    <row r="1396" ht="14.25" customHeight="1">
      <c r="A1396" s="9"/>
      <c r="B1396" s="8"/>
      <c r="C1396" s="8"/>
      <c r="D1396" s="8"/>
      <c r="E1396" s="8"/>
      <c r="F1396" s="8"/>
      <c r="G1396" s="8"/>
      <c r="H1396" s="8"/>
      <c r="I1396" s="10"/>
      <c r="J1396" s="10"/>
      <c r="K1396" s="18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</row>
    <row r="1397" ht="14.25" customHeight="1">
      <c r="A1397" s="9"/>
      <c r="B1397" s="8"/>
      <c r="C1397" s="8"/>
      <c r="D1397" s="8"/>
      <c r="E1397" s="8"/>
      <c r="F1397" s="8"/>
      <c r="G1397" s="8"/>
      <c r="H1397" s="8"/>
      <c r="I1397" s="10"/>
      <c r="J1397" s="10"/>
      <c r="K1397" s="18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</row>
    <row r="1398" ht="14.25" customHeight="1">
      <c r="A1398" s="9"/>
      <c r="B1398" s="8"/>
      <c r="C1398" s="8"/>
      <c r="D1398" s="8"/>
      <c r="E1398" s="8"/>
      <c r="F1398" s="8"/>
      <c r="G1398" s="8"/>
      <c r="H1398" s="8"/>
      <c r="I1398" s="10"/>
      <c r="J1398" s="10"/>
      <c r="K1398" s="18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</row>
    <row r="1399" ht="14.25" customHeight="1">
      <c r="A1399" s="9"/>
      <c r="B1399" s="8"/>
      <c r="C1399" s="8"/>
      <c r="D1399" s="8"/>
      <c r="E1399" s="8"/>
      <c r="F1399" s="8"/>
      <c r="G1399" s="8"/>
      <c r="H1399" s="8"/>
      <c r="I1399" s="10"/>
      <c r="J1399" s="10"/>
      <c r="K1399" s="18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</row>
    <row r="1400" ht="14.25" customHeight="1">
      <c r="A1400" s="9"/>
      <c r="B1400" s="8"/>
      <c r="C1400" s="8"/>
      <c r="D1400" s="8"/>
      <c r="E1400" s="8"/>
      <c r="F1400" s="8"/>
      <c r="G1400" s="8"/>
      <c r="H1400" s="8"/>
      <c r="I1400" s="10"/>
      <c r="J1400" s="10"/>
      <c r="K1400" s="18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</row>
    <row r="1401" ht="14.25" customHeight="1">
      <c r="A1401" s="9"/>
      <c r="B1401" s="8"/>
      <c r="C1401" s="8"/>
      <c r="D1401" s="8"/>
      <c r="E1401" s="8"/>
      <c r="F1401" s="8"/>
      <c r="G1401" s="8"/>
      <c r="H1401" s="8"/>
      <c r="I1401" s="10"/>
      <c r="J1401" s="10"/>
      <c r="K1401" s="18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</row>
    <row r="1402" ht="14.25" customHeight="1">
      <c r="A1402" s="9"/>
      <c r="B1402" s="8"/>
      <c r="C1402" s="8"/>
      <c r="D1402" s="8"/>
      <c r="E1402" s="8"/>
      <c r="F1402" s="8"/>
      <c r="G1402" s="8"/>
      <c r="H1402" s="8"/>
      <c r="I1402" s="10"/>
      <c r="J1402" s="10"/>
      <c r="K1402" s="18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</row>
    <row r="1403" ht="14.25" customHeight="1">
      <c r="A1403" s="9"/>
      <c r="B1403" s="8"/>
      <c r="C1403" s="8"/>
      <c r="D1403" s="8"/>
      <c r="E1403" s="8"/>
      <c r="F1403" s="8"/>
      <c r="G1403" s="8"/>
      <c r="H1403" s="8"/>
      <c r="I1403" s="10"/>
      <c r="J1403" s="10"/>
      <c r="K1403" s="18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</row>
    <row r="1404" ht="14.25" customHeight="1">
      <c r="A1404" s="9"/>
      <c r="B1404" s="8"/>
      <c r="C1404" s="8"/>
      <c r="D1404" s="8"/>
      <c r="E1404" s="8"/>
      <c r="F1404" s="8"/>
      <c r="G1404" s="8"/>
      <c r="H1404" s="8"/>
      <c r="I1404" s="10"/>
      <c r="J1404" s="10"/>
      <c r="K1404" s="18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</row>
    <row r="1405" ht="14.25" customHeight="1">
      <c r="A1405" s="9"/>
      <c r="B1405" s="8"/>
      <c r="C1405" s="8"/>
      <c r="D1405" s="8"/>
      <c r="E1405" s="8"/>
      <c r="F1405" s="8"/>
      <c r="G1405" s="8"/>
      <c r="H1405" s="8"/>
      <c r="I1405" s="10"/>
      <c r="J1405" s="10"/>
      <c r="K1405" s="18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</row>
    <row r="1406" ht="14.25" customHeight="1">
      <c r="A1406" s="9"/>
      <c r="B1406" s="8"/>
      <c r="C1406" s="8"/>
      <c r="D1406" s="8"/>
      <c r="E1406" s="8"/>
      <c r="F1406" s="8"/>
      <c r="G1406" s="8"/>
      <c r="H1406" s="8"/>
      <c r="I1406" s="10"/>
      <c r="J1406" s="10"/>
      <c r="K1406" s="18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</row>
    <row r="1407" ht="14.25" customHeight="1">
      <c r="A1407" s="9"/>
      <c r="B1407" s="8"/>
      <c r="C1407" s="8"/>
      <c r="D1407" s="8"/>
      <c r="E1407" s="8"/>
      <c r="F1407" s="8"/>
      <c r="G1407" s="8"/>
      <c r="H1407" s="8"/>
      <c r="I1407" s="10"/>
      <c r="J1407" s="10"/>
      <c r="K1407" s="18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</row>
    <row r="1408" ht="14.25" customHeight="1">
      <c r="A1408" s="9"/>
      <c r="B1408" s="8"/>
      <c r="C1408" s="8"/>
      <c r="D1408" s="8"/>
      <c r="E1408" s="8"/>
      <c r="F1408" s="8"/>
      <c r="G1408" s="8"/>
      <c r="H1408" s="8"/>
      <c r="I1408" s="10"/>
      <c r="J1408" s="10"/>
      <c r="K1408" s="18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</row>
    <row r="1409" ht="14.25" customHeight="1">
      <c r="A1409" s="9"/>
      <c r="B1409" s="8"/>
      <c r="C1409" s="8"/>
      <c r="D1409" s="8"/>
      <c r="E1409" s="8"/>
      <c r="F1409" s="8"/>
      <c r="G1409" s="8"/>
      <c r="H1409" s="8"/>
      <c r="I1409" s="10"/>
      <c r="J1409" s="10"/>
      <c r="K1409" s="18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</row>
    <row r="1410" ht="14.25" customHeight="1">
      <c r="A1410" s="9"/>
      <c r="B1410" s="8"/>
      <c r="C1410" s="8"/>
      <c r="D1410" s="8"/>
      <c r="E1410" s="8"/>
      <c r="F1410" s="8"/>
      <c r="G1410" s="8"/>
      <c r="H1410" s="8"/>
      <c r="I1410" s="10"/>
      <c r="J1410" s="10"/>
      <c r="K1410" s="18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</row>
    <row r="1411" ht="14.25" customHeight="1">
      <c r="A1411" s="9"/>
      <c r="B1411" s="8"/>
      <c r="C1411" s="8"/>
      <c r="D1411" s="8"/>
      <c r="E1411" s="8"/>
      <c r="F1411" s="8"/>
      <c r="G1411" s="8"/>
      <c r="H1411" s="8"/>
      <c r="I1411" s="10"/>
      <c r="J1411" s="10"/>
      <c r="K1411" s="18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</row>
    <row r="1412" ht="14.25" customHeight="1">
      <c r="A1412" s="9"/>
      <c r="B1412" s="8"/>
      <c r="C1412" s="8"/>
      <c r="D1412" s="8"/>
      <c r="E1412" s="8"/>
      <c r="F1412" s="8"/>
      <c r="G1412" s="8"/>
      <c r="H1412" s="8"/>
      <c r="I1412" s="10"/>
      <c r="J1412" s="10"/>
      <c r="K1412" s="18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</row>
    <row r="1413" ht="14.25" customHeight="1">
      <c r="A1413" s="9"/>
      <c r="B1413" s="8"/>
      <c r="C1413" s="8"/>
      <c r="D1413" s="8"/>
      <c r="E1413" s="8"/>
      <c r="F1413" s="8"/>
      <c r="G1413" s="8"/>
      <c r="H1413" s="8"/>
      <c r="I1413" s="10"/>
      <c r="J1413" s="10"/>
      <c r="K1413" s="18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</row>
    <row r="1414" ht="14.25" customHeight="1">
      <c r="A1414" s="9"/>
      <c r="B1414" s="8"/>
      <c r="C1414" s="8"/>
      <c r="D1414" s="8"/>
      <c r="E1414" s="8"/>
      <c r="F1414" s="8"/>
      <c r="G1414" s="8"/>
      <c r="H1414" s="8"/>
      <c r="I1414" s="10"/>
      <c r="J1414" s="10"/>
      <c r="K1414" s="18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</row>
    <row r="1415" ht="14.25" customHeight="1">
      <c r="A1415" s="9"/>
      <c r="B1415" s="8"/>
      <c r="C1415" s="8"/>
      <c r="D1415" s="8"/>
      <c r="E1415" s="8"/>
      <c r="F1415" s="8"/>
      <c r="G1415" s="8"/>
      <c r="H1415" s="8"/>
      <c r="I1415" s="10"/>
      <c r="J1415" s="10"/>
      <c r="K1415" s="18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</row>
    <row r="1416" ht="14.25" customHeight="1">
      <c r="A1416" s="9"/>
      <c r="B1416" s="8"/>
      <c r="C1416" s="8"/>
      <c r="D1416" s="8"/>
      <c r="E1416" s="8"/>
      <c r="F1416" s="8"/>
      <c r="G1416" s="8"/>
      <c r="H1416" s="8"/>
      <c r="I1416" s="10"/>
      <c r="J1416" s="10"/>
      <c r="K1416" s="18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</row>
    <row r="1417" ht="14.25" customHeight="1">
      <c r="A1417" s="9"/>
      <c r="B1417" s="8"/>
      <c r="C1417" s="8"/>
      <c r="D1417" s="8"/>
      <c r="E1417" s="8"/>
      <c r="F1417" s="8"/>
      <c r="G1417" s="8"/>
      <c r="H1417" s="8"/>
      <c r="I1417" s="10"/>
      <c r="J1417" s="10"/>
      <c r="K1417" s="18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</row>
    <row r="1418" ht="14.25" customHeight="1">
      <c r="A1418" s="9"/>
      <c r="B1418" s="8"/>
      <c r="C1418" s="8"/>
      <c r="D1418" s="8"/>
      <c r="E1418" s="8"/>
      <c r="F1418" s="8"/>
      <c r="G1418" s="8"/>
      <c r="H1418" s="8"/>
      <c r="I1418" s="10"/>
      <c r="J1418" s="10"/>
      <c r="K1418" s="18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</row>
    <row r="1419" ht="14.25" customHeight="1">
      <c r="A1419" s="9"/>
      <c r="B1419" s="8"/>
      <c r="C1419" s="8"/>
      <c r="D1419" s="8"/>
      <c r="E1419" s="8"/>
      <c r="F1419" s="8"/>
      <c r="G1419" s="8"/>
      <c r="H1419" s="8"/>
      <c r="I1419" s="10"/>
      <c r="J1419" s="10"/>
      <c r="K1419" s="18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</row>
    <row r="1420" ht="14.25" customHeight="1">
      <c r="A1420" s="9"/>
      <c r="B1420" s="8"/>
      <c r="C1420" s="8"/>
      <c r="D1420" s="8"/>
      <c r="E1420" s="8"/>
      <c r="F1420" s="8"/>
      <c r="G1420" s="8"/>
      <c r="H1420" s="8"/>
      <c r="I1420" s="10"/>
      <c r="J1420" s="10"/>
      <c r="K1420" s="18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</row>
    <row r="1421" ht="14.25" customHeight="1">
      <c r="A1421" s="9"/>
      <c r="B1421" s="8"/>
      <c r="C1421" s="8"/>
      <c r="D1421" s="8"/>
      <c r="E1421" s="8"/>
      <c r="F1421" s="8"/>
      <c r="G1421" s="8"/>
      <c r="H1421" s="8"/>
      <c r="I1421" s="10"/>
      <c r="J1421" s="10"/>
      <c r="K1421" s="18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</row>
    <row r="1422" ht="14.25" customHeight="1">
      <c r="A1422" s="9"/>
      <c r="B1422" s="8"/>
      <c r="C1422" s="8"/>
      <c r="D1422" s="8"/>
      <c r="E1422" s="8"/>
      <c r="F1422" s="8"/>
      <c r="G1422" s="8"/>
      <c r="H1422" s="8"/>
      <c r="I1422" s="10"/>
      <c r="J1422" s="10"/>
      <c r="K1422" s="18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</row>
    <row r="1423" ht="14.25" customHeight="1">
      <c r="A1423" s="9"/>
      <c r="B1423" s="8"/>
      <c r="C1423" s="8"/>
      <c r="D1423" s="8"/>
      <c r="E1423" s="8"/>
      <c r="F1423" s="8"/>
      <c r="G1423" s="8"/>
      <c r="H1423" s="8"/>
      <c r="I1423" s="10"/>
      <c r="J1423" s="10"/>
      <c r="K1423" s="18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</row>
    <row r="1424" ht="14.25" customHeight="1">
      <c r="A1424" s="9"/>
      <c r="B1424" s="8"/>
      <c r="C1424" s="8"/>
      <c r="D1424" s="8"/>
      <c r="E1424" s="8"/>
      <c r="F1424" s="8"/>
      <c r="G1424" s="8"/>
      <c r="H1424" s="8"/>
      <c r="I1424" s="10"/>
      <c r="J1424" s="10"/>
      <c r="K1424" s="18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</row>
    <row r="1425" ht="14.25" customHeight="1">
      <c r="A1425" s="9"/>
      <c r="B1425" s="8"/>
      <c r="C1425" s="8"/>
      <c r="D1425" s="8"/>
      <c r="E1425" s="8"/>
      <c r="F1425" s="8"/>
      <c r="G1425" s="8"/>
      <c r="H1425" s="8"/>
      <c r="I1425" s="10"/>
      <c r="J1425" s="10"/>
      <c r="K1425" s="18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</row>
    <row r="1426" ht="14.25" customHeight="1">
      <c r="A1426" s="9"/>
      <c r="B1426" s="8"/>
      <c r="C1426" s="8"/>
      <c r="D1426" s="8"/>
      <c r="E1426" s="8"/>
      <c r="F1426" s="8"/>
      <c r="G1426" s="8"/>
      <c r="H1426" s="8"/>
      <c r="I1426" s="10"/>
      <c r="J1426" s="10"/>
      <c r="K1426" s="18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</row>
    <row r="1427" ht="14.25" customHeight="1">
      <c r="A1427" s="9"/>
      <c r="B1427" s="8"/>
      <c r="C1427" s="8"/>
      <c r="D1427" s="8"/>
      <c r="E1427" s="8"/>
      <c r="F1427" s="8"/>
      <c r="G1427" s="8"/>
      <c r="H1427" s="8"/>
      <c r="I1427" s="10"/>
      <c r="J1427" s="10"/>
      <c r="K1427" s="18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</row>
    <row r="1428" ht="14.25" customHeight="1">
      <c r="A1428" s="9"/>
      <c r="B1428" s="8"/>
      <c r="C1428" s="8"/>
      <c r="D1428" s="8"/>
      <c r="E1428" s="8"/>
      <c r="F1428" s="8"/>
      <c r="G1428" s="8"/>
      <c r="H1428" s="8"/>
      <c r="I1428" s="10"/>
      <c r="J1428" s="10"/>
      <c r="K1428" s="18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</row>
    <row r="1429" ht="14.25" customHeight="1">
      <c r="A1429" s="9"/>
      <c r="B1429" s="8"/>
      <c r="C1429" s="8"/>
      <c r="D1429" s="8"/>
      <c r="E1429" s="8"/>
      <c r="F1429" s="8"/>
      <c r="G1429" s="8"/>
      <c r="H1429" s="8"/>
      <c r="I1429" s="10"/>
      <c r="J1429" s="10"/>
      <c r="K1429" s="18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</row>
    <row r="1430" ht="14.25" customHeight="1">
      <c r="A1430" s="9"/>
      <c r="B1430" s="8"/>
      <c r="C1430" s="8"/>
      <c r="D1430" s="8"/>
      <c r="E1430" s="8"/>
      <c r="F1430" s="8"/>
      <c r="G1430" s="8"/>
      <c r="H1430" s="8"/>
      <c r="I1430" s="10"/>
      <c r="J1430" s="10"/>
      <c r="K1430" s="18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</row>
    <row r="1431" ht="14.25" customHeight="1">
      <c r="A1431" s="9"/>
      <c r="B1431" s="8"/>
      <c r="C1431" s="8"/>
      <c r="D1431" s="8"/>
      <c r="E1431" s="8"/>
      <c r="F1431" s="8"/>
      <c r="G1431" s="8"/>
      <c r="H1431" s="8"/>
      <c r="I1431" s="10"/>
      <c r="J1431" s="10"/>
      <c r="K1431" s="18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</row>
    <row r="1432" ht="14.25" customHeight="1">
      <c r="A1432" s="9"/>
      <c r="B1432" s="8"/>
      <c r="C1432" s="8"/>
      <c r="D1432" s="8"/>
      <c r="E1432" s="8"/>
      <c r="F1432" s="8"/>
      <c r="G1432" s="8"/>
      <c r="H1432" s="8"/>
      <c r="I1432" s="10"/>
      <c r="J1432" s="10"/>
      <c r="K1432" s="18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</row>
    <row r="1433" ht="14.25" customHeight="1">
      <c r="A1433" s="9"/>
      <c r="B1433" s="8"/>
      <c r="C1433" s="8"/>
      <c r="D1433" s="8"/>
      <c r="E1433" s="8"/>
      <c r="F1433" s="8"/>
      <c r="G1433" s="8"/>
      <c r="H1433" s="8"/>
      <c r="I1433" s="10"/>
      <c r="J1433" s="10"/>
      <c r="K1433" s="18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</row>
    <row r="1434" ht="14.25" customHeight="1">
      <c r="A1434" s="9"/>
      <c r="B1434" s="8"/>
      <c r="C1434" s="8"/>
      <c r="D1434" s="8"/>
      <c r="E1434" s="8"/>
      <c r="F1434" s="8"/>
      <c r="G1434" s="8"/>
      <c r="H1434" s="8"/>
      <c r="I1434" s="10"/>
      <c r="J1434" s="10"/>
      <c r="K1434" s="18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</row>
    <row r="1435" ht="14.25" customHeight="1">
      <c r="A1435" s="9"/>
      <c r="B1435" s="8"/>
      <c r="C1435" s="8"/>
      <c r="D1435" s="8"/>
      <c r="E1435" s="8"/>
      <c r="F1435" s="8"/>
      <c r="G1435" s="8"/>
      <c r="H1435" s="8"/>
      <c r="I1435" s="10"/>
      <c r="J1435" s="10"/>
      <c r="K1435" s="18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</row>
    <row r="1436" ht="14.25" customHeight="1">
      <c r="A1436" s="9"/>
      <c r="B1436" s="8"/>
      <c r="C1436" s="8"/>
      <c r="D1436" s="8"/>
      <c r="E1436" s="8"/>
      <c r="F1436" s="8"/>
      <c r="G1436" s="8"/>
      <c r="H1436" s="8"/>
      <c r="I1436" s="10"/>
      <c r="J1436" s="10"/>
      <c r="K1436" s="18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</row>
    <row r="1437" ht="14.25" customHeight="1">
      <c r="A1437" s="9"/>
      <c r="B1437" s="8"/>
      <c r="C1437" s="8"/>
      <c r="D1437" s="8"/>
      <c r="E1437" s="8"/>
      <c r="F1437" s="8"/>
      <c r="G1437" s="8"/>
      <c r="H1437" s="8"/>
      <c r="I1437" s="10"/>
      <c r="J1437" s="10"/>
      <c r="K1437" s="18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</row>
    <row r="1438" ht="14.25" customHeight="1">
      <c r="A1438" s="9"/>
      <c r="B1438" s="8"/>
      <c r="C1438" s="8"/>
      <c r="D1438" s="8"/>
      <c r="E1438" s="8"/>
      <c r="F1438" s="8"/>
      <c r="G1438" s="8"/>
      <c r="H1438" s="8"/>
      <c r="I1438" s="10"/>
      <c r="J1438" s="10"/>
      <c r="K1438" s="18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</row>
    <row r="1439" ht="14.25" customHeight="1">
      <c r="A1439" s="9"/>
      <c r="B1439" s="8"/>
      <c r="C1439" s="8"/>
      <c r="D1439" s="8"/>
      <c r="E1439" s="8"/>
      <c r="F1439" s="8"/>
      <c r="G1439" s="8"/>
      <c r="H1439" s="8"/>
      <c r="I1439" s="10"/>
      <c r="J1439" s="10"/>
      <c r="K1439" s="18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</row>
    <row r="1440" ht="14.25" customHeight="1">
      <c r="A1440" s="9"/>
      <c r="B1440" s="8"/>
      <c r="C1440" s="8"/>
      <c r="D1440" s="8"/>
      <c r="E1440" s="8"/>
      <c r="F1440" s="8"/>
      <c r="G1440" s="8"/>
      <c r="H1440" s="8"/>
      <c r="I1440" s="10"/>
      <c r="J1440" s="10"/>
      <c r="K1440" s="18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</row>
    <row r="1441" ht="14.25" customHeight="1">
      <c r="A1441" s="9"/>
      <c r="B1441" s="8"/>
      <c r="C1441" s="8"/>
      <c r="D1441" s="8"/>
      <c r="E1441" s="8"/>
      <c r="F1441" s="8"/>
      <c r="G1441" s="8"/>
      <c r="H1441" s="8"/>
      <c r="I1441" s="10"/>
      <c r="J1441" s="10"/>
      <c r="K1441" s="18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</row>
    <row r="1442" ht="14.25" customHeight="1">
      <c r="A1442" s="9"/>
      <c r="B1442" s="8"/>
      <c r="C1442" s="8"/>
      <c r="D1442" s="8"/>
      <c r="E1442" s="8"/>
      <c r="F1442" s="8"/>
      <c r="G1442" s="8"/>
      <c r="H1442" s="8"/>
      <c r="I1442" s="10"/>
      <c r="J1442" s="10"/>
      <c r="K1442" s="18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</row>
    <row r="1443" ht="14.25" customHeight="1">
      <c r="A1443" s="9"/>
      <c r="B1443" s="8"/>
      <c r="C1443" s="8"/>
      <c r="D1443" s="8"/>
      <c r="E1443" s="8"/>
      <c r="F1443" s="8"/>
      <c r="G1443" s="8"/>
      <c r="H1443" s="8"/>
      <c r="I1443" s="10"/>
      <c r="J1443" s="10"/>
      <c r="K1443" s="18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</row>
    <row r="1444" ht="14.25" customHeight="1">
      <c r="A1444" s="9"/>
      <c r="B1444" s="8"/>
      <c r="C1444" s="8"/>
      <c r="D1444" s="8"/>
      <c r="E1444" s="8"/>
      <c r="F1444" s="8"/>
      <c r="G1444" s="8"/>
      <c r="H1444" s="8"/>
      <c r="I1444" s="10"/>
      <c r="J1444" s="10"/>
      <c r="K1444" s="18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</row>
    <row r="1445" ht="14.25" customHeight="1">
      <c r="A1445" s="9"/>
      <c r="B1445" s="8"/>
      <c r="C1445" s="8"/>
      <c r="D1445" s="8"/>
      <c r="E1445" s="8"/>
      <c r="F1445" s="8"/>
      <c r="G1445" s="8"/>
      <c r="H1445" s="8"/>
      <c r="I1445" s="10"/>
      <c r="J1445" s="10"/>
      <c r="K1445" s="18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</row>
    <row r="1446" ht="14.25" customHeight="1">
      <c r="A1446" s="9"/>
      <c r="B1446" s="8"/>
      <c r="C1446" s="8"/>
      <c r="D1446" s="8"/>
      <c r="E1446" s="8"/>
      <c r="F1446" s="8"/>
      <c r="G1446" s="8"/>
      <c r="H1446" s="8"/>
      <c r="I1446" s="10"/>
      <c r="J1446" s="10"/>
      <c r="K1446" s="18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</row>
    <row r="1447" ht="14.25" customHeight="1">
      <c r="A1447" s="9"/>
      <c r="B1447" s="8"/>
      <c r="C1447" s="8"/>
      <c r="D1447" s="8"/>
      <c r="E1447" s="8"/>
      <c r="F1447" s="8"/>
      <c r="G1447" s="8"/>
      <c r="H1447" s="8"/>
      <c r="I1447" s="10"/>
      <c r="J1447" s="10"/>
      <c r="K1447" s="18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</row>
    <row r="1448" ht="14.25" customHeight="1">
      <c r="A1448" s="9"/>
      <c r="B1448" s="8"/>
      <c r="C1448" s="8"/>
      <c r="D1448" s="8"/>
      <c r="E1448" s="8"/>
      <c r="F1448" s="8"/>
      <c r="G1448" s="8"/>
      <c r="H1448" s="8"/>
      <c r="I1448" s="10"/>
      <c r="J1448" s="10"/>
      <c r="K1448" s="18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</row>
    <row r="1449" ht="14.25" customHeight="1">
      <c r="A1449" s="9"/>
      <c r="B1449" s="8"/>
      <c r="C1449" s="8"/>
      <c r="D1449" s="8"/>
      <c r="E1449" s="8"/>
      <c r="F1449" s="8"/>
      <c r="G1449" s="8"/>
      <c r="H1449" s="8"/>
      <c r="I1449" s="10"/>
      <c r="J1449" s="10"/>
      <c r="K1449" s="18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</row>
    <row r="1450" ht="14.25" customHeight="1">
      <c r="A1450" s="9"/>
      <c r="B1450" s="8"/>
      <c r="C1450" s="8"/>
      <c r="D1450" s="8"/>
      <c r="E1450" s="8"/>
      <c r="F1450" s="8"/>
      <c r="G1450" s="8"/>
      <c r="H1450" s="8"/>
      <c r="I1450" s="10"/>
      <c r="J1450" s="10"/>
      <c r="K1450" s="18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</row>
    <row r="1451" ht="14.25" customHeight="1">
      <c r="A1451" s="9"/>
      <c r="B1451" s="8"/>
      <c r="C1451" s="8"/>
      <c r="D1451" s="8"/>
      <c r="E1451" s="8"/>
      <c r="F1451" s="8"/>
      <c r="G1451" s="8"/>
      <c r="H1451" s="8"/>
      <c r="I1451" s="10"/>
      <c r="J1451" s="10"/>
      <c r="K1451" s="18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</row>
    <row r="1452" ht="14.25" customHeight="1">
      <c r="A1452" s="9"/>
      <c r="B1452" s="8"/>
      <c r="C1452" s="8"/>
      <c r="D1452" s="8"/>
      <c r="E1452" s="8"/>
      <c r="F1452" s="8"/>
      <c r="G1452" s="8"/>
      <c r="H1452" s="8"/>
      <c r="I1452" s="10"/>
      <c r="J1452" s="10"/>
      <c r="K1452" s="18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</row>
    <row r="1453" ht="14.25" customHeight="1">
      <c r="A1453" s="9"/>
      <c r="B1453" s="8"/>
      <c r="C1453" s="8"/>
      <c r="D1453" s="8"/>
      <c r="E1453" s="8"/>
      <c r="F1453" s="8"/>
      <c r="G1453" s="8"/>
      <c r="H1453" s="8"/>
      <c r="I1453" s="10"/>
      <c r="J1453" s="10"/>
      <c r="K1453" s="18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</row>
    <row r="1454" ht="14.25" customHeight="1">
      <c r="A1454" s="9"/>
      <c r="B1454" s="8"/>
      <c r="C1454" s="8"/>
      <c r="D1454" s="8"/>
      <c r="E1454" s="8"/>
      <c r="F1454" s="8"/>
      <c r="G1454" s="8"/>
      <c r="H1454" s="8"/>
      <c r="I1454" s="10"/>
      <c r="J1454" s="10"/>
      <c r="K1454" s="18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</row>
    <row r="1455" ht="14.25" customHeight="1">
      <c r="A1455" s="9"/>
      <c r="B1455" s="8"/>
      <c r="C1455" s="8"/>
      <c r="D1455" s="8"/>
      <c r="E1455" s="8"/>
      <c r="F1455" s="8"/>
      <c r="G1455" s="8"/>
      <c r="H1455" s="8"/>
      <c r="I1455" s="10"/>
      <c r="J1455" s="10"/>
      <c r="K1455" s="18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</row>
    <row r="1456" ht="14.25" customHeight="1">
      <c r="A1456" s="9"/>
      <c r="B1456" s="8"/>
      <c r="C1456" s="8"/>
      <c r="D1456" s="8"/>
      <c r="E1456" s="8"/>
      <c r="F1456" s="8"/>
      <c r="G1456" s="8"/>
      <c r="H1456" s="8"/>
      <c r="I1456" s="10"/>
      <c r="J1456" s="10"/>
      <c r="K1456" s="18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</row>
    <row r="1457" ht="14.25" customHeight="1">
      <c r="A1457" s="9"/>
      <c r="B1457" s="8"/>
      <c r="C1457" s="8"/>
      <c r="D1457" s="8"/>
      <c r="E1457" s="8"/>
      <c r="F1457" s="8"/>
      <c r="G1457" s="8"/>
      <c r="H1457" s="8"/>
      <c r="I1457" s="10"/>
      <c r="J1457" s="10"/>
      <c r="K1457" s="18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</row>
    <row r="1458" ht="14.25" customHeight="1">
      <c r="A1458" s="9"/>
      <c r="B1458" s="8"/>
      <c r="C1458" s="8"/>
      <c r="D1458" s="8"/>
      <c r="E1458" s="8"/>
      <c r="F1458" s="8"/>
      <c r="G1458" s="8"/>
      <c r="H1458" s="8"/>
      <c r="I1458" s="10"/>
      <c r="J1458" s="10"/>
      <c r="K1458" s="18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</row>
    <row r="1459" ht="14.25" customHeight="1">
      <c r="A1459" s="9"/>
      <c r="B1459" s="8"/>
      <c r="C1459" s="8"/>
      <c r="D1459" s="8"/>
      <c r="E1459" s="8"/>
      <c r="F1459" s="8"/>
      <c r="G1459" s="8"/>
      <c r="H1459" s="8"/>
      <c r="I1459" s="10"/>
      <c r="J1459" s="10"/>
      <c r="K1459" s="18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</row>
    <row r="1460" ht="14.25" customHeight="1">
      <c r="A1460" s="9"/>
      <c r="B1460" s="8"/>
      <c r="C1460" s="8"/>
      <c r="D1460" s="8"/>
      <c r="E1460" s="8"/>
      <c r="F1460" s="8"/>
      <c r="G1460" s="8"/>
      <c r="H1460" s="8"/>
      <c r="I1460" s="10"/>
      <c r="J1460" s="10"/>
      <c r="K1460" s="18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</row>
    <row r="1461" ht="14.25" customHeight="1">
      <c r="A1461" s="9"/>
      <c r="B1461" s="8"/>
      <c r="C1461" s="8"/>
      <c r="D1461" s="8"/>
      <c r="E1461" s="8"/>
      <c r="F1461" s="8"/>
      <c r="G1461" s="8"/>
      <c r="H1461" s="8"/>
      <c r="I1461" s="10"/>
      <c r="J1461" s="10"/>
      <c r="K1461" s="18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</row>
    <row r="1462" ht="14.25" customHeight="1">
      <c r="A1462" s="9"/>
      <c r="B1462" s="8"/>
      <c r="C1462" s="8"/>
      <c r="D1462" s="8"/>
      <c r="E1462" s="8"/>
      <c r="F1462" s="8"/>
      <c r="G1462" s="8"/>
      <c r="H1462" s="8"/>
      <c r="I1462" s="10"/>
      <c r="J1462" s="10"/>
      <c r="K1462" s="18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</row>
    <row r="1463" ht="14.25" customHeight="1">
      <c r="A1463" s="9"/>
      <c r="B1463" s="8"/>
      <c r="C1463" s="8"/>
      <c r="D1463" s="8"/>
      <c r="E1463" s="8"/>
      <c r="F1463" s="8"/>
      <c r="G1463" s="8"/>
      <c r="H1463" s="8"/>
      <c r="I1463" s="10"/>
      <c r="J1463" s="10"/>
      <c r="K1463" s="18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</row>
    <row r="1464" ht="14.25" customHeight="1">
      <c r="A1464" s="9"/>
      <c r="B1464" s="8"/>
      <c r="C1464" s="8"/>
      <c r="D1464" s="8"/>
      <c r="E1464" s="8"/>
      <c r="F1464" s="8"/>
      <c r="G1464" s="8"/>
      <c r="H1464" s="8"/>
      <c r="I1464" s="10"/>
      <c r="J1464" s="10"/>
      <c r="K1464" s="18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</row>
    <row r="1465" ht="14.25" customHeight="1">
      <c r="A1465" s="9"/>
      <c r="B1465" s="8"/>
      <c r="C1465" s="8"/>
      <c r="D1465" s="8"/>
      <c r="E1465" s="8"/>
      <c r="F1465" s="8"/>
      <c r="G1465" s="8"/>
      <c r="H1465" s="8"/>
      <c r="I1465" s="10"/>
      <c r="J1465" s="10"/>
      <c r="K1465" s="18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</row>
    <row r="1466" ht="14.25" customHeight="1">
      <c r="A1466" s="9"/>
      <c r="B1466" s="8"/>
      <c r="C1466" s="8"/>
      <c r="D1466" s="8"/>
      <c r="E1466" s="8"/>
      <c r="F1466" s="8"/>
      <c r="G1466" s="8"/>
      <c r="H1466" s="8"/>
      <c r="I1466" s="10"/>
      <c r="J1466" s="10"/>
      <c r="K1466" s="18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</row>
    <row r="1467" ht="14.25" customHeight="1">
      <c r="A1467" s="9"/>
      <c r="B1467" s="8"/>
      <c r="C1467" s="8"/>
      <c r="D1467" s="8"/>
      <c r="E1467" s="8"/>
      <c r="F1467" s="8"/>
      <c r="G1467" s="8"/>
      <c r="H1467" s="8"/>
      <c r="I1467" s="10"/>
      <c r="J1467" s="10"/>
      <c r="K1467" s="18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</row>
    <row r="1468" ht="14.25" customHeight="1">
      <c r="A1468" s="9"/>
      <c r="B1468" s="8"/>
      <c r="C1468" s="8"/>
      <c r="D1468" s="8"/>
      <c r="E1468" s="8"/>
      <c r="F1468" s="8"/>
      <c r="G1468" s="8"/>
      <c r="H1468" s="8"/>
      <c r="I1468" s="10"/>
      <c r="J1468" s="10"/>
      <c r="K1468" s="18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</row>
    <row r="1469" ht="14.25" customHeight="1">
      <c r="A1469" s="9"/>
      <c r="B1469" s="8"/>
      <c r="C1469" s="8"/>
      <c r="D1469" s="8"/>
      <c r="E1469" s="8"/>
      <c r="F1469" s="8"/>
      <c r="G1469" s="8"/>
      <c r="H1469" s="8"/>
      <c r="I1469" s="10"/>
      <c r="J1469" s="10"/>
      <c r="K1469" s="18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</row>
    <row r="1470" ht="14.25" customHeight="1">
      <c r="A1470" s="9"/>
      <c r="B1470" s="8"/>
      <c r="C1470" s="8"/>
      <c r="D1470" s="8"/>
      <c r="E1470" s="8"/>
      <c r="F1470" s="8"/>
      <c r="G1470" s="8"/>
      <c r="H1470" s="8"/>
      <c r="I1470" s="10"/>
      <c r="J1470" s="10"/>
      <c r="K1470" s="18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</row>
    <row r="1471" ht="14.25" customHeight="1">
      <c r="A1471" s="9"/>
      <c r="B1471" s="8"/>
      <c r="C1471" s="8"/>
      <c r="D1471" s="8"/>
      <c r="E1471" s="8"/>
      <c r="F1471" s="8"/>
      <c r="G1471" s="8"/>
      <c r="H1471" s="8"/>
      <c r="I1471" s="10"/>
      <c r="J1471" s="10"/>
      <c r="K1471" s="18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</row>
    <row r="1472" ht="14.25" customHeight="1">
      <c r="A1472" s="9"/>
      <c r="B1472" s="8"/>
      <c r="C1472" s="8"/>
      <c r="D1472" s="8"/>
      <c r="E1472" s="8"/>
      <c r="F1472" s="8"/>
      <c r="G1472" s="8"/>
      <c r="H1472" s="8"/>
      <c r="I1472" s="10"/>
      <c r="J1472" s="10"/>
      <c r="K1472" s="18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</row>
    <row r="1473" ht="14.25" customHeight="1">
      <c r="A1473" s="9"/>
      <c r="B1473" s="8"/>
      <c r="C1473" s="8"/>
      <c r="D1473" s="8"/>
      <c r="E1473" s="8"/>
      <c r="F1473" s="8"/>
      <c r="G1473" s="8"/>
      <c r="H1473" s="8"/>
      <c r="I1473" s="10"/>
      <c r="J1473" s="10"/>
      <c r="K1473" s="18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</row>
    <row r="1474" ht="14.25" customHeight="1">
      <c r="A1474" s="9"/>
      <c r="B1474" s="8"/>
      <c r="C1474" s="8"/>
      <c r="D1474" s="8"/>
      <c r="E1474" s="8"/>
      <c r="F1474" s="8"/>
      <c r="G1474" s="8"/>
      <c r="H1474" s="8"/>
      <c r="I1474" s="10"/>
      <c r="J1474" s="10"/>
      <c r="K1474" s="18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</row>
    <row r="1475" ht="14.25" customHeight="1">
      <c r="A1475" s="9"/>
      <c r="B1475" s="8"/>
      <c r="C1475" s="8"/>
      <c r="D1475" s="8"/>
      <c r="E1475" s="8"/>
      <c r="F1475" s="8"/>
      <c r="G1475" s="8"/>
      <c r="H1475" s="8"/>
      <c r="I1475" s="10"/>
      <c r="J1475" s="10"/>
      <c r="K1475" s="18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</row>
    <row r="1476" ht="14.25" customHeight="1">
      <c r="A1476" s="9"/>
      <c r="B1476" s="8"/>
      <c r="C1476" s="8"/>
      <c r="D1476" s="8"/>
      <c r="E1476" s="8"/>
      <c r="F1476" s="8"/>
      <c r="G1476" s="8"/>
      <c r="H1476" s="8"/>
      <c r="I1476" s="10"/>
      <c r="J1476" s="10"/>
      <c r="K1476" s="18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</row>
    <row r="1477" ht="14.25" customHeight="1">
      <c r="A1477" s="9"/>
      <c r="B1477" s="8"/>
      <c r="C1477" s="8"/>
      <c r="D1477" s="8"/>
      <c r="E1477" s="8"/>
      <c r="F1477" s="8"/>
      <c r="G1477" s="8"/>
      <c r="H1477" s="8"/>
      <c r="I1477" s="10"/>
      <c r="J1477" s="10"/>
      <c r="K1477" s="18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</row>
    <row r="1478" ht="14.25" customHeight="1">
      <c r="A1478" s="9"/>
      <c r="B1478" s="8"/>
      <c r="C1478" s="8"/>
      <c r="D1478" s="8"/>
      <c r="E1478" s="8"/>
      <c r="F1478" s="8"/>
      <c r="G1478" s="8"/>
      <c r="H1478" s="8"/>
      <c r="I1478" s="10"/>
      <c r="J1478" s="10"/>
      <c r="K1478" s="18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</row>
    <row r="1479" ht="14.25" customHeight="1">
      <c r="A1479" s="9"/>
      <c r="B1479" s="8"/>
      <c r="C1479" s="8"/>
      <c r="D1479" s="8"/>
      <c r="E1479" s="8"/>
      <c r="F1479" s="8"/>
      <c r="G1479" s="8"/>
      <c r="H1479" s="8"/>
      <c r="I1479" s="10"/>
      <c r="J1479" s="10"/>
      <c r="K1479" s="18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</row>
    <row r="1480" ht="14.25" customHeight="1">
      <c r="A1480" s="9"/>
      <c r="B1480" s="8"/>
      <c r="C1480" s="8"/>
      <c r="D1480" s="8"/>
      <c r="E1480" s="8"/>
      <c r="F1480" s="8"/>
      <c r="G1480" s="8"/>
      <c r="H1480" s="8"/>
      <c r="I1480" s="10"/>
      <c r="J1480" s="10"/>
      <c r="K1480" s="18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</row>
    <row r="1481" ht="14.25" customHeight="1">
      <c r="A1481" s="9"/>
      <c r="B1481" s="8"/>
      <c r="C1481" s="8"/>
      <c r="D1481" s="8"/>
      <c r="E1481" s="8"/>
      <c r="F1481" s="8"/>
      <c r="G1481" s="8"/>
      <c r="H1481" s="8"/>
      <c r="I1481" s="10"/>
      <c r="J1481" s="10"/>
      <c r="K1481" s="18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</row>
    <row r="1482" ht="14.25" customHeight="1">
      <c r="A1482" s="9"/>
      <c r="B1482" s="8"/>
      <c r="C1482" s="8"/>
      <c r="D1482" s="8"/>
      <c r="E1482" s="8"/>
      <c r="F1482" s="8"/>
      <c r="G1482" s="8"/>
      <c r="H1482" s="8"/>
      <c r="I1482" s="10"/>
      <c r="J1482" s="10"/>
      <c r="K1482" s="18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</row>
    <row r="1483" ht="14.25" customHeight="1">
      <c r="A1483" s="9"/>
      <c r="B1483" s="8"/>
      <c r="C1483" s="8"/>
      <c r="D1483" s="8"/>
      <c r="E1483" s="8"/>
      <c r="F1483" s="8"/>
      <c r="G1483" s="8"/>
      <c r="H1483" s="8"/>
      <c r="I1483" s="10"/>
      <c r="J1483" s="10"/>
      <c r="K1483" s="18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</row>
    <row r="1484" ht="14.25" customHeight="1">
      <c r="A1484" s="9"/>
      <c r="B1484" s="8"/>
      <c r="C1484" s="8"/>
      <c r="D1484" s="8"/>
      <c r="E1484" s="8"/>
      <c r="F1484" s="8"/>
      <c r="G1484" s="8"/>
      <c r="H1484" s="8"/>
      <c r="I1484" s="10"/>
      <c r="J1484" s="10"/>
      <c r="K1484" s="18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</row>
    <row r="1485" ht="14.25" customHeight="1">
      <c r="A1485" s="9"/>
      <c r="B1485" s="8"/>
      <c r="C1485" s="8"/>
      <c r="D1485" s="8"/>
      <c r="E1485" s="8"/>
      <c r="F1485" s="8"/>
      <c r="G1485" s="8"/>
      <c r="H1485" s="8"/>
      <c r="I1485" s="10"/>
      <c r="J1485" s="10"/>
      <c r="K1485" s="18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</row>
    <row r="1486" ht="14.25" customHeight="1">
      <c r="A1486" s="9"/>
      <c r="B1486" s="8"/>
      <c r="C1486" s="8"/>
      <c r="D1486" s="8"/>
      <c r="E1486" s="8"/>
      <c r="F1486" s="8"/>
      <c r="G1486" s="8"/>
      <c r="H1486" s="8"/>
      <c r="I1486" s="10"/>
      <c r="J1486" s="10"/>
      <c r="K1486" s="18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</row>
    <row r="1487" ht="14.25" customHeight="1">
      <c r="A1487" s="9"/>
      <c r="B1487" s="8"/>
      <c r="C1487" s="8"/>
      <c r="D1487" s="8"/>
      <c r="E1487" s="8"/>
      <c r="F1487" s="8"/>
      <c r="G1487" s="8"/>
      <c r="H1487" s="8"/>
      <c r="I1487" s="10"/>
      <c r="J1487" s="10"/>
      <c r="K1487" s="18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</row>
    <row r="1488" ht="14.25" customHeight="1">
      <c r="A1488" s="9"/>
      <c r="B1488" s="8"/>
      <c r="C1488" s="8"/>
      <c r="D1488" s="8"/>
      <c r="E1488" s="8"/>
      <c r="F1488" s="8"/>
      <c r="G1488" s="8"/>
      <c r="H1488" s="8"/>
      <c r="I1488" s="10"/>
      <c r="J1488" s="10"/>
      <c r="K1488" s="18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</row>
    <row r="1489" ht="14.25" customHeight="1">
      <c r="A1489" s="9"/>
      <c r="B1489" s="8"/>
      <c r="C1489" s="8"/>
      <c r="D1489" s="8"/>
      <c r="E1489" s="8"/>
      <c r="F1489" s="8"/>
      <c r="G1489" s="8"/>
      <c r="H1489" s="8"/>
      <c r="I1489" s="10"/>
      <c r="J1489" s="10"/>
      <c r="K1489" s="18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</row>
    <row r="1490" ht="14.25" customHeight="1">
      <c r="A1490" s="9"/>
      <c r="B1490" s="8"/>
      <c r="C1490" s="8"/>
      <c r="D1490" s="8"/>
      <c r="E1490" s="8"/>
      <c r="F1490" s="8"/>
      <c r="G1490" s="8"/>
      <c r="H1490" s="8"/>
      <c r="I1490" s="10"/>
      <c r="J1490" s="10"/>
      <c r="K1490" s="18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</row>
    <row r="1491" ht="14.25" customHeight="1">
      <c r="A1491" s="9"/>
      <c r="B1491" s="8"/>
      <c r="C1491" s="8"/>
      <c r="D1491" s="8"/>
      <c r="E1491" s="8"/>
      <c r="F1491" s="8"/>
      <c r="G1491" s="8"/>
      <c r="H1491" s="8"/>
      <c r="I1491" s="10"/>
      <c r="J1491" s="10"/>
      <c r="K1491" s="18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</row>
    <row r="1492" ht="14.25" customHeight="1">
      <c r="A1492" s="9"/>
      <c r="B1492" s="8"/>
      <c r="C1492" s="8"/>
      <c r="D1492" s="8"/>
      <c r="E1492" s="8"/>
      <c r="F1492" s="8"/>
      <c r="G1492" s="8"/>
      <c r="H1492" s="8"/>
      <c r="I1492" s="10"/>
      <c r="J1492" s="10"/>
      <c r="K1492" s="18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</row>
    <row r="1493" ht="14.25" customHeight="1">
      <c r="A1493" s="9"/>
      <c r="B1493" s="8"/>
      <c r="C1493" s="8"/>
      <c r="D1493" s="8"/>
      <c r="E1493" s="8"/>
      <c r="F1493" s="8"/>
      <c r="G1493" s="8"/>
      <c r="H1493" s="8"/>
      <c r="I1493" s="10"/>
      <c r="J1493" s="10"/>
      <c r="K1493" s="18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</row>
    <row r="1494" ht="14.25" customHeight="1">
      <c r="A1494" s="9"/>
      <c r="B1494" s="8"/>
      <c r="C1494" s="8"/>
      <c r="D1494" s="8"/>
      <c r="E1494" s="8"/>
      <c r="F1494" s="8"/>
      <c r="G1494" s="8"/>
      <c r="H1494" s="8"/>
      <c r="I1494" s="10"/>
      <c r="J1494" s="10"/>
      <c r="K1494" s="18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</row>
    <row r="1495" ht="14.25" customHeight="1">
      <c r="A1495" s="9"/>
      <c r="B1495" s="8"/>
      <c r="C1495" s="8"/>
      <c r="D1495" s="8"/>
      <c r="E1495" s="8"/>
      <c r="F1495" s="8"/>
      <c r="G1495" s="8"/>
      <c r="H1495" s="8"/>
      <c r="I1495" s="10"/>
      <c r="J1495" s="10"/>
      <c r="K1495" s="18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</row>
    <row r="1496" ht="14.25" customHeight="1">
      <c r="A1496" s="9"/>
      <c r="B1496" s="8"/>
      <c r="C1496" s="8"/>
      <c r="D1496" s="8"/>
      <c r="E1496" s="8"/>
      <c r="F1496" s="8"/>
      <c r="G1496" s="8"/>
      <c r="H1496" s="8"/>
      <c r="I1496" s="10"/>
      <c r="J1496" s="10"/>
      <c r="K1496" s="18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</row>
    <row r="1497" ht="14.25" customHeight="1">
      <c r="A1497" s="9"/>
      <c r="B1497" s="8"/>
      <c r="C1497" s="8"/>
      <c r="D1497" s="8"/>
      <c r="E1497" s="8"/>
      <c r="F1497" s="8"/>
      <c r="G1497" s="8"/>
      <c r="H1497" s="8"/>
      <c r="I1497" s="10"/>
      <c r="J1497" s="10"/>
      <c r="K1497" s="18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</row>
    <row r="1498" ht="14.25" customHeight="1">
      <c r="A1498" s="9"/>
      <c r="B1498" s="8"/>
      <c r="C1498" s="8"/>
      <c r="D1498" s="8"/>
      <c r="E1498" s="8"/>
      <c r="F1498" s="8"/>
      <c r="G1498" s="8"/>
      <c r="H1498" s="8"/>
      <c r="I1498" s="10"/>
      <c r="J1498" s="10"/>
      <c r="K1498" s="18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</row>
    <row r="1499" ht="14.25" customHeight="1">
      <c r="A1499" s="9"/>
      <c r="B1499" s="8"/>
      <c r="C1499" s="8"/>
      <c r="D1499" s="8"/>
      <c r="E1499" s="8"/>
      <c r="F1499" s="8"/>
      <c r="G1499" s="8"/>
      <c r="H1499" s="8"/>
      <c r="I1499" s="10"/>
      <c r="J1499" s="10"/>
      <c r="K1499" s="18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</row>
    <row r="1500" ht="14.25" customHeight="1">
      <c r="A1500" s="9"/>
      <c r="B1500" s="8"/>
      <c r="C1500" s="8"/>
      <c r="D1500" s="8"/>
      <c r="E1500" s="8"/>
      <c r="F1500" s="8"/>
      <c r="G1500" s="8"/>
      <c r="H1500" s="8"/>
      <c r="I1500" s="10"/>
      <c r="J1500" s="10"/>
      <c r="K1500" s="18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</row>
    <row r="1501" ht="14.25" customHeight="1">
      <c r="A1501" s="9"/>
      <c r="B1501" s="8"/>
      <c r="C1501" s="8"/>
      <c r="D1501" s="8"/>
      <c r="E1501" s="8"/>
      <c r="F1501" s="8"/>
      <c r="G1501" s="8"/>
      <c r="H1501" s="8"/>
      <c r="I1501" s="10"/>
      <c r="J1501" s="10"/>
      <c r="K1501" s="18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</row>
    <row r="1502" ht="14.25" customHeight="1">
      <c r="A1502" s="9"/>
      <c r="B1502" s="8"/>
      <c r="C1502" s="8"/>
      <c r="D1502" s="8"/>
      <c r="E1502" s="8"/>
      <c r="F1502" s="8"/>
      <c r="G1502" s="8"/>
      <c r="H1502" s="8"/>
      <c r="I1502" s="10"/>
      <c r="J1502" s="10"/>
      <c r="K1502" s="18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</row>
    <row r="1503" ht="14.25" customHeight="1">
      <c r="A1503" s="9"/>
      <c r="B1503" s="8"/>
      <c r="C1503" s="8"/>
      <c r="D1503" s="8"/>
      <c r="E1503" s="8"/>
      <c r="F1503" s="8"/>
      <c r="G1503" s="8"/>
      <c r="H1503" s="8"/>
      <c r="I1503" s="10"/>
      <c r="J1503" s="10"/>
      <c r="K1503" s="18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</row>
    <row r="1504" ht="14.25" customHeight="1">
      <c r="A1504" s="9"/>
      <c r="B1504" s="8"/>
      <c r="C1504" s="8"/>
      <c r="D1504" s="8"/>
      <c r="E1504" s="8"/>
      <c r="F1504" s="8"/>
      <c r="G1504" s="8"/>
      <c r="H1504" s="8"/>
      <c r="I1504" s="10"/>
      <c r="J1504" s="10"/>
      <c r="K1504" s="18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</row>
    <row r="1505" ht="14.25" customHeight="1">
      <c r="A1505" s="9"/>
      <c r="B1505" s="8"/>
      <c r="C1505" s="8"/>
      <c r="D1505" s="8"/>
      <c r="E1505" s="8"/>
      <c r="F1505" s="8"/>
      <c r="G1505" s="8"/>
      <c r="H1505" s="8"/>
      <c r="I1505" s="10"/>
      <c r="J1505" s="10"/>
      <c r="K1505" s="18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</row>
    <row r="1506" ht="14.25" customHeight="1">
      <c r="A1506" s="9"/>
      <c r="B1506" s="8"/>
      <c r="C1506" s="8"/>
      <c r="D1506" s="8"/>
      <c r="E1506" s="8"/>
      <c r="F1506" s="8"/>
      <c r="G1506" s="8"/>
      <c r="H1506" s="8"/>
      <c r="I1506" s="10"/>
      <c r="J1506" s="10"/>
      <c r="K1506" s="18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</row>
    <row r="1507" ht="14.25" customHeight="1">
      <c r="A1507" s="9"/>
      <c r="B1507" s="8"/>
      <c r="C1507" s="8"/>
      <c r="D1507" s="8"/>
      <c r="E1507" s="8"/>
      <c r="F1507" s="8"/>
      <c r="G1507" s="8"/>
      <c r="H1507" s="8"/>
      <c r="I1507" s="10"/>
      <c r="J1507" s="10"/>
      <c r="K1507" s="18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</row>
    <row r="1508" ht="14.25" customHeight="1">
      <c r="A1508" s="9"/>
      <c r="B1508" s="8"/>
      <c r="C1508" s="8"/>
      <c r="D1508" s="8"/>
      <c r="E1508" s="8"/>
      <c r="F1508" s="8"/>
      <c r="G1508" s="8"/>
      <c r="H1508" s="8"/>
      <c r="I1508" s="10"/>
      <c r="J1508" s="10"/>
      <c r="K1508" s="18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</row>
    <row r="1509" ht="14.25" customHeight="1">
      <c r="A1509" s="9"/>
      <c r="B1509" s="8"/>
      <c r="C1509" s="8"/>
      <c r="D1509" s="8"/>
      <c r="E1509" s="8"/>
      <c r="F1509" s="8"/>
      <c r="G1509" s="8"/>
      <c r="H1509" s="8"/>
      <c r="I1509" s="10"/>
      <c r="J1509" s="10"/>
      <c r="K1509" s="18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</row>
    <row r="1510" ht="14.25" customHeight="1">
      <c r="A1510" s="9"/>
      <c r="B1510" s="8"/>
      <c r="C1510" s="8"/>
      <c r="D1510" s="8"/>
      <c r="E1510" s="8"/>
      <c r="F1510" s="8"/>
      <c r="G1510" s="8"/>
      <c r="H1510" s="8"/>
      <c r="I1510" s="10"/>
      <c r="J1510" s="10"/>
      <c r="K1510" s="18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</row>
    <row r="1511" ht="14.25" customHeight="1">
      <c r="A1511" s="9"/>
      <c r="B1511" s="8"/>
      <c r="C1511" s="8"/>
      <c r="D1511" s="8"/>
      <c r="E1511" s="8"/>
      <c r="F1511" s="8"/>
      <c r="G1511" s="8"/>
      <c r="H1511" s="8"/>
      <c r="I1511" s="10"/>
      <c r="J1511" s="10"/>
      <c r="K1511" s="18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</row>
    <row r="1512" ht="14.25" customHeight="1">
      <c r="A1512" s="9"/>
      <c r="B1512" s="8"/>
      <c r="C1512" s="8"/>
      <c r="D1512" s="8"/>
      <c r="E1512" s="8"/>
      <c r="F1512" s="8"/>
      <c r="G1512" s="8"/>
      <c r="H1512" s="8"/>
      <c r="I1512" s="10"/>
      <c r="J1512" s="10"/>
      <c r="K1512" s="18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</row>
    <row r="1513" ht="14.25" customHeight="1">
      <c r="A1513" s="9"/>
      <c r="B1513" s="8"/>
      <c r="C1513" s="8"/>
      <c r="D1513" s="8"/>
      <c r="E1513" s="8"/>
      <c r="F1513" s="8"/>
      <c r="G1513" s="8"/>
      <c r="H1513" s="8"/>
      <c r="I1513" s="10"/>
      <c r="J1513" s="10"/>
      <c r="K1513" s="18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</row>
    <row r="1514" ht="14.25" customHeight="1">
      <c r="A1514" s="9"/>
      <c r="B1514" s="8"/>
      <c r="C1514" s="8"/>
      <c r="D1514" s="8"/>
      <c r="E1514" s="8"/>
      <c r="F1514" s="8"/>
      <c r="G1514" s="8"/>
      <c r="H1514" s="8"/>
      <c r="I1514" s="10"/>
      <c r="J1514" s="10"/>
      <c r="K1514" s="18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</row>
    <row r="1515" ht="14.25" customHeight="1">
      <c r="A1515" s="9"/>
      <c r="B1515" s="8"/>
      <c r="C1515" s="8"/>
      <c r="D1515" s="8"/>
      <c r="E1515" s="8"/>
      <c r="F1515" s="8"/>
      <c r="G1515" s="8"/>
      <c r="H1515" s="8"/>
      <c r="I1515" s="10"/>
      <c r="J1515" s="10"/>
      <c r="K1515" s="18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</row>
    <row r="1516" ht="14.25" customHeight="1">
      <c r="A1516" s="9"/>
      <c r="B1516" s="8"/>
      <c r="C1516" s="8"/>
      <c r="D1516" s="8"/>
      <c r="E1516" s="8"/>
      <c r="F1516" s="8"/>
      <c r="G1516" s="8"/>
      <c r="H1516" s="8"/>
      <c r="I1516" s="10"/>
      <c r="J1516" s="10"/>
      <c r="K1516" s="18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</row>
    <row r="1517" ht="14.25" customHeight="1">
      <c r="A1517" s="9"/>
      <c r="B1517" s="8"/>
      <c r="C1517" s="8"/>
      <c r="D1517" s="8"/>
      <c r="E1517" s="8"/>
      <c r="F1517" s="8"/>
      <c r="G1517" s="8"/>
      <c r="H1517" s="8"/>
      <c r="I1517" s="10"/>
      <c r="J1517" s="10"/>
      <c r="K1517" s="18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</row>
    <row r="1518" ht="14.25" customHeight="1">
      <c r="A1518" s="9"/>
      <c r="B1518" s="8"/>
      <c r="C1518" s="8"/>
      <c r="D1518" s="8"/>
      <c r="E1518" s="8"/>
      <c r="F1518" s="8"/>
      <c r="G1518" s="8"/>
      <c r="H1518" s="8"/>
      <c r="I1518" s="10"/>
      <c r="J1518" s="10"/>
      <c r="K1518" s="18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</row>
    <row r="1519" ht="14.25" customHeight="1">
      <c r="A1519" s="9"/>
      <c r="B1519" s="8"/>
      <c r="C1519" s="8"/>
      <c r="D1519" s="8"/>
      <c r="E1519" s="8"/>
      <c r="F1519" s="8"/>
      <c r="G1519" s="8"/>
      <c r="H1519" s="8"/>
      <c r="I1519" s="10"/>
      <c r="J1519" s="10"/>
      <c r="K1519" s="18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</row>
    <row r="1520" ht="14.25" customHeight="1">
      <c r="A1520" s="9"/>
      <c r="B1520" s="8"/>
      <c r="C1520" s="8"/>
      <c r="D1520" s="8"/>
      <c r="E1520" s="8"/>
      <c r="F1520" s="8"/>
      <c r="G1520" s="8"/>
      <c r="H1520" s="8"/>
      <c r="I1520" s="10"/>
      <c r="J1520" s="10"/>
      <c r="K1520" s="18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</row>
    <row r="1521" ht="14.25" customHeight="1">
      <c r="A1521" s="9"/>
      <c r="B1521" s="8"/>
      <c r="C1521" s="8"/>
      <c r="D1521" s="8"/>
      <c r="E1521" s="8"/>
      <c r="F1521" s="8"/>
      <c r="G1521" s="8"/>
      <c r="H1521" s="8"/>
      <c r="I1521" s="10"/>
      <c r="J1521" s="10"/>
      <c r="K1521" s="18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</row>
    <row r="1522" ht="14.25" customHeight="1">
      <c r="A1522" s="9"/>
      <c r="B1522" s="8"/>
      <c r="C1522" s="8"/>
      <c r="D1522" s="8"/>
      <c r="E1522" s="8"/>
      <c r="F1522" s="8"/>
      <c r="G1522" s="8"/>
      <c r="H1522" s="8"/>
      <c r="I1522" s="10"/>
      <c r="J1522" s="10"/>
      <c r="K1522" s="18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</row>
    <row r="1523" ht="14.25" customHeight="1">
      <c r="A1523" s="9"/>
      <c r="B1523" s="8"/>
      <c r="C1523" s="8"/>
      <c r="D1523" s="8"/>
      <c r="E1523" s="8"/>
      <c r="F1523" s="8"/>
      <c r="G1523" s="8"/>
      <c r="H1523" s="8"/>
      <c r="I1523" s="10"/>
      <c r="J1523" s="10"/>
      <c r="K1523" s="18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</row>
    <row r="1524" ht="14.25" customHeight="1">
      <c r="A1524" s="9"/>
      <c r="B1524" s="8"/>
      <c r="C1524" s="8"/>
      <c r="D1524" s="8"/>
      <c r="E1524" s="8"/>
      <c r="F1524" s="8"/>
      <c r="G1524" s="8"/>
      <c r="H1524" s="8"/>
      <c r="I1524" s="10"/>
      <c r="J1524" s="10"/>
      <c r="K1524" s="18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</row>
    <row r="1525" ht="14.25" customHeight="1">
      <c r="A1525" s="9"/>
      <c r="B1525" s="8"/>
      <c r="C1525" s="8"/>
      <c r="D1525" s="8"/>
      <c r="E1525" s="8"/>
      <c r="F1525" s="8"/>
      <c r="G1525" s="8"/>
      <c r="H1525" s="8"/>
      <c r="I1525" s="10"/>
      <c r="J1525" s="10"/>
      <c r="K1525" s="18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</row>
    <row r="1526" ht="14.25" customHeight="1">
      <c r="A1526" s="9"/>
      <c r="B1526" s="8"/>
      <c r="C1526" s="8"/>
      <c r="D1526" s="8"/>
      <c r="E1526" s="8"/>
      <c r="F1526" s="8"/>
      <c r="G1526" s="8"/>
      <c r="H1526" s="8"/>
      <c r="I1526" s="10"/>
      <c r="J1526" s="10"/>
      <c r="K1526" s="18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</row>
    <row r="1527" ht="14.25" customHeight="1">
      <c r="A1527" s="9"/>
      <c r="B1527" s="8"/>
      <c r="C1527" s="8"/>
      <c r="D1527" s="8"/>
      <c r="E1527" s="8"/>
      <c r="F1527" s="8"/>
      <c r="G1527" s="8"/>
      <c r="H1527" s="8"/>
      <c r="I1527" s="10"/>
      <c r="J1527" s="10"/>
      <c r="K1527" s="18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</row>
    <row r="1528" ht="14.25" customHeight="1">
      <c r="A1528" s="9"/>
      <c r="B1528" s="8"/>
      <c r="C1528" s="8"/>
      <c r="D1528" s="8"/>
      <c r="E1528" s="8"/>
      <c r="F1528" s="8"/>
      <c r="G1528" s="8"/>
      <c r="H1528" s="8"/>
      <c r="I1528" s="10"/>
      <c r="J1528" s="10"/>
      <c r="K1528" s="18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</row>
    <row r="1529" ht="14.25" customHeight="1">
      <c r="A1529" s="9"/>
      <c r="B1529" s="8"/>
      <c r="C1529" s="8"/>
      <c r="D1529" s="8"/>
      <c r="E1529" s="8"/>
      <c r="F1529" s="8"/>
      <c r="G1529" s="8"/>
      <c r="H1529" s="8"/>
      <c r="I1529" s="10"/>
      <c r="J1529" s="10"/>
      <c r="K1529" s="18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</row>
    <row r="1530" ht="14.25" customHeight="1">
      <c r="A1530" s="9"/>
      <c r="B1530" s="8"/>
      <c r="C1530" s="8"/>
      <c r="D1530" s="8"/>
      <c r="E1530" s="8"/>
      <c r="F1530" s="8"/>
      <c r="G1530" s="8"/>
      <c r="H1530" s="8"/>
      <c r="I1530" s="10"/>
      <c r="J1530" s="10"/>
      <c r="K1530" s="18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</row>
    <row r="1531" ht="14.25" customHeight="1">
      <c r="A1531" s="9"/>
      <c r="B1531" s="8"/>
      <c r="C1531" s="8"/>
      <c r="D1531" s="8"/>
      <c r="E1531" s="8"/>
      <c r="F1531" s="8"/>
      <c r="G1531" s="8"/>
      <c r="H1531" s="8"/>
      <c r="I1531" s="10"/>
      <c r="J1531" s="10"/>
      <c r="K1531" s="18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</row>
    <row r="1532" ht="14.25" customHeight="1">
      <c r="A1532" s="9"/>
      <c r="B1532" s="8"/>
      <c r="C1532" s="8"/>
      <c r="D1532" s="8"/>
      <c r="E1532" s="8"/>
      <c r="F1532" s="8"/>
      <c r="G1532" s="8"/>
      <c r="H1532" s="8"/>
      <c r="I1532" s="10"/>
      <c r="J1532" s="10"/>
      <c r="K1532" s="18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</row>
    <row r="1533" ht="14.25" customHeight="1">
      <c r="A1533" s="9"/>
      <c r="B1533" s="8"/>
      <c r="C1533" s="8"/>
      <c r="D1533" s="8"/>
      <c r="E1533" s="8"/>
      <c r="F1533" s="8"/>
      <c r="G1533" s="8"/>
      <c r="H1533" s="8"/>
      <c r="I1533" s="10"/>
      <c r="J1533" s="10"/>
      <c r="K1533" s="18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</row>
    <row r="1534" ht="14.25" customHeight="1">
      <c r="A1534" s="9"/>
      <c r="B1534" s="8"/>
      <c r="C1534" s="8"/>
      <c r="D1534" s="8"/>
      <c r="E1534" s="8"/>
      <c r="F1534" s="8"/>
      <c r="G1534" s="8"/>
      <c r="H1534" s="8"/>
      <c r="I1534" s="10"/>
      <c r="J1534" s="10"/>
      <c r="K1534" s="18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</row>
    <row r="1535" ht="14.25" customHeight="1">
      <c r="A1535" s="9"/>
      <c r="B1535" s="8"/>
      <c r="C1535" s="8"/>
      <c r="D1535" s="8"/>
      <c r="E1535" s="8"/>
      <c r="F1535" s="8"/>
      <c r="G1535" s="8"/>
      <c r="H1535" s="8"/>
      <c r="I1535" s="10"/>
      <c r="J1535" s="10"/>
      <c r="K1535" s="18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</row>
    <row r="1536" ht="14.25" customHeight="1">
      <c r="A1536" s="9"/>
      <c r="B1536" s="8"/>
      <c r="C1536" s="8"/>
      <c r="D1536" s="8"/>
      <c r="E1536" s="8"/>
      <c r="F1536" s="8"/>
      <c r="G1536" s="8"/>
      <c r="H1536" s="8"/>
      <c r="I1536" s="10"/>
      <c r="J1536" s="10"/>
      <c r="K1536" s="18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</row>
    <row r="1537" ht="14.25" customHeight="1">
      <c r="A1537" s="9"/>
      <c r="B1537" s="8"/>
      <c r="C1537" s="8"/>
      <c r="D1537" s="8"/>
      <c r="E1537" s="8"/>
      <c r="F1537" s="8"/>
      <c r="G1537" s="8"/>
      <c r="H1537" s="8"/>
      <c r="I1537" s="10"/>
      <c r="J1537" s="10"/>
      <c r="K1537" s="18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</row>
    <row r="1538" ht="14.25" customHeight="1">
      <c r="A1538" s="9"/>
      <c r="B1538" s="8"/>
      <c r="C1538" s="8"/>
      <c r="D1538" s="8"/>
      <c r="E1538" s="8"/>
      <c r="F1538" s="8"/>
      <c r="G1538" s="8"/>
      <c r="H1538" s="8"/>
      <c r="I1538" s="10"/>
      <c r="J1538" s="10"/>
      <c r="K1538" s="18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</row>
    <row r="1539" ht="14.25" customHeight="1">
      <c r="A1539" s="9"/>
      <c r="B1539" s="8"/>
      <c r="C1539" s="8"/>
      <c r="D1539" s="8"/>
      <c r="E1539" s="8"/>
      <c r="F1539" s="8"/>
      <c r="G1539" s="8"/>
      <c r="H1539" s="8"/>
      <c r="I1539" s="10"/>
      <c r="J1539" s="10"/>
      <c r="K1539" s="18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</row>
    <row r="1540" ht="14.25" customHeight="1">
      <c r="A1540" s="9"/>
      <c r="B1540" s="8"/>
      <c r="C1540" s="8"/>
      <c r="D1540" s="8"/>
      <c r="E1540" s="8"/>
      <c r="F1540" s="8"/>
      <c r="G1540" s="8"/>
      <c r="H1540" s="8"/>
      <c r="I1540" s="10"/>
      <c r="J1540" s="10"/>
      <c r="K1540" s="18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</row>
    <row r="1541" ht="14.25" customHeight="1">
      <c r="A1541" s="9"/>
      <c r="B1541" s="8"/>
      <c r="C1541" s="8"/>
      <c r="D1541" s="8"/>
      <c r="E1541" s="8"/>
      <c r="F1541" s="8"/>
      <c r="G1541" s="8"/>
      <c r="H1541" s="8"/>
      <c r="I1541" s="10"/>
      <c r="J1541" s="10"/>
      <c r="K1541" s="18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</row>
    <row r="1542" ht="14.25" customHeight="1">
      <c r="A1542" s="9"/>
      <c r="B1542" s="8"/>
      <c r="C1542" s="8"/>
      <c r="D1542" s="8"/>
      <c r="E1542" s="8"/>
      <c r="F1542" s="8"/>
      <c r="G1542" s="8"/>
      <c r="H1542" s="8"/>
      <c r="I1542" s="10"/>
      <c r="J1542" s="10"/>
      <c r="K1542" s="18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</row>
    <row r="1543" ht="14.25" customHeight="1">
      <c r="A1543" s="9"/>
      <c r="B1543" s="8"/>
      <c r="C1543" s="8"/>
      <c r="D1543" s="8"/>
      <c r="E1543" s="8"/>
      <c r="F1543" s="8"/>
      <c r="G1543" s="8"/>
      <c r="H1543" s="8"/>
      <c r="I1543" s="10"/>
      <c r="J1543" s="10"/>
      <c r="K1543" s="18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</row>
    <row r="1544" ht="14.25" customHeight="1">
      <c r="A1544" s="9"/>
      <c r="B1544" s="8"/>
      <c r="C1544" s="8"/>
      <c r="D1544" s="8"/>
      <c r="E1544" s="8"/>
      <c r="F1544" s="8"/>
      <c r="G1544" s="8"/>
      <c r="H1544" s="8"/>
      <c r="I1544" s="10"/>
      <c r="J1544" s="10"/>
      <c r="K1544" s="18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</row>
    <row r="1545" ht="14.25" customHeight="1">
      <c r="A1545" s="9"/>
      <c r="B1545" s="8"/>
      <c r="C1545" s="8"/>
      <c r="D1545" s="8"/>
      <c r="E1545" s="8"/>
      <c r="F1545" s="8"/>
      <c r="G1545" s="8"/>
      <c r="H1545" s="8"/>
      <c r="I1545" s="10"/>
      <c r="J1545" s="10"/>
      <c r="K1545" s="18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</row>
    <row r="1546" ht="14.25" customHeight="1">
      <c r="A1546" s="9"/>
      <c r="B1546" s="8"/>
      <c r="C1546" s="8"/>
      <c r="D1546" s="8"/>
      <c r="E1546" s="8"/>
      <c r="F1546" s="8"/>
      <c r="G1546" s="8"/>
      <c r="H1546" s="8"/>
      <c r="I1546" s="10"/>
      <c r="J1546" s="10"/>
      <c r="K1546" s="18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</row>
    <row r="1547" ht="14.25" customHeight="1">
      <c r="A1547" s="9"/>
      <c r="B1547" s="8"/>
      <c r="C1547" s="8"/>
      <c r="D1547" s="8"/>
      <c r="E1547" s="8"/>
      <c r="F1547" s="8"/>
      <c r="G1547" s="8"/>
      <c r="H1547" s="8"/>
      <c r="I1547" s="10"/>
      <c r="J1547" s="10"/>
      <c r="K1547" s="18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</row>
    <row r="1548" ht="14.25" customHeight="1">
      <c r="A1548" s="9"/>
      <c r="B1548" s="8"/>
      <c r="C1548" s="8"/>
      <c r="D1548" s="8"/>
      <c r="E1548" s="8"/>
      <c r="F1548" s="8"/>
      <c r="G1548" s="8"/>
      <c r="H1548" s="8"/>
      <c r="I1548" s="10"/>
      <c r="J1548" s="10"/>
      <c r="K1548" s="18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</row>
    <row r="1549" ht="14.25" customHeight="1">
      <c r="A1549" s="9"/>
      <c r="B1549" s="8"/>
      <c r="C1549" s="8"/>
      <c r="D1549" s="8"/>
      <c r="E1549" s="8"/>
      <c r="F1549" s="8"/>
      <c r="G1549" s="8"/>
      <c r="H1549" s="8"/>
      <c r="I1549" s="10"/>
      <c r="J1549" s="10"/>
      <c r="K1549" s="18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</row>
    <row r="1550" ht="14.25" customHeight="1">
      <c r="A1550" s="9"/>
      <c r="B1550" s="8"/>
      <c r="C1550" s="8"/>
      <c r="D1550" s="8"/>
      <c r="E1550" s="8"/>
      <c r="F1550" s="8"/>
      <c r="G1550" s="8"/>
      <c r="H1550" s="8"/>
      <c r="I1550" s="10"/>
      <c r="J1550" s="10"/>
      <c r="K1550" s="18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</row>
    <row r="1551" ht="14.25" customHeight="1">
      <c r="A1551" s="9"/>
      <c r="B1551" s="8"/>
      <c r="C1551" s="8"/>
      <c r="D1551" s="8"/>
      <c r="E1551" s="8"/>
      <c r="F1551" s="8"/>
      <c r="G1551" s="8"/>
      <c r="H1551" s="8"/>
      <c r="I1551" s="10"/>
      <c r="J1551" s="10"/>
      <c r="K1551" s="18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</row>
    <row r="1552" ht="14.25" customHeight="1">
      <c r="A1552" s="9"/>
      <c r="B1552" s="8"/>
      <c r="C1552" s="8"/>
      <c r="D1552" s="8"/>
      <c r="E1552" s="8"/>
      <c r="F1552" s="8"/>
      <c r="G1552" s="8"/>
      <c r="H1552" s="8"/>
      <c r="I1552" s="10"/>
      <c r="J1552" s="10"/>
      <c r="K1552" s="18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</row>
    <row r="1553" ht="14.25" customHeight="1">
      <c r="A1553" s="9"/>
      <c r="B1553" s="8"/>
      <c r="C1553" s="8"/>
      <c r="D1553" s="8"/>
      <c r="E1553" s="8"/>
      <c r="F1553" s="8"/>
      <c r="G1553" s="8"/>
      <c r="H1553" s="8"/>
      <c r="I1553" s="10"/>
      <c r="J1553" s="10"/>
      <c r="K1553" s="18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</row>
    <row r="1554" ht="14.25" customHeight="1">
      <c r="A1554" s="9"/>
      <c r="B1554" s="8"/>
      <c r="C1554" s="8"/>
      <c r="D1554" s="8"/>
      <c r="E1554" s="8"/>
      <c r="F1554" s="8"/>
      <c r="G1554" s="8"/>
      <c r="H1554" s="8"/>
      <c r="I1554" s="10"/>
      <c r="J1554" s="10"/>
      <c r="K1554" s="18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</row>
    <row r="1555" ht="14.25" customHeight="1">
      <c r="A1555" s="9"/>
      <c r="B1555" s="8"/>
      <c r="C1555" s="8"/>
      <c r="D1555" s="8"/>
      <c r="E1555" s="8"/>
      <c r="F1555" s="8"/>
      <c r="G1555" s="8"/>
      <c r="H1555" s="8"/>
      <c r="I1555" s="10"/>
      <c r="J1555" s="10"/>
      <c r="K1555" s="18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</row>
    <row r="1556" ht="14.25" customHeight="1">
      <c r="A1556" s="9"/>
      <c r="B1556" s="8"/>
      <c r="C1556" s="8"/>
      <c r="D1556" s="8"/>
      <c r="E1556" s="8"/>
      <c r="F1556" s="8"/>
      <c r="G1556" s="8"/>
      <c r="H1556" s="8"/>
      <c r="I1556" s="10"/>
      <c r="J1556" s="10"/>
      <c r="K1556" s="18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</row>
    <row r="1557" ht="14.25" customHeight="1">
      <c r="A1557" s="9"/>
      <c r="B1557" s="8"/>
      <c r="C1557" s="8"/>
      <c r="D1557" s="8"/>
      <c r="E1557" s="8"/>
      <c r="F1557" s="8"/>
      <c r="G1557" s="8"/>
      <c r="H1557" s="8"/>
      <c r="I1557" s="10"/>
      <c r="J1557" s="10"/>
      <c r="K1557" s="18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</row>
    <row r="1558" ht="14.25" customHeight="1">
      <c r="A1558" s="9"/>
      <c r="B1558" s="8"/>
      <c r="C1558" s="8"/>
      <c r="D1558" s="8"/>
      <c r="E1558" s="8"/>
      <c r="F1558" s="8"/>
      <c r="G1558" s="8"/>
      <c r="H1558" s="8"/>
      <c r="I1558" s="10"/>
      <c r="J1558" s="10"/>
      <c r="K1558" s="18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</row>
    <row r="1559" ht="14.25" customHeight="1">
      <c r="A1559" s="9"/>
      <c r="B1559" s="8"/>
      <c r="C1559" s="8"/>
      <c r="D1559" s="8"/>
      <c r="E1559" s="8"/>
      <c r="F1559" s="8"/>
      <c r="G1559" s="8"/>
      <c r="H1559" s="8"/>
      <c r="I1559" s="10"/>
      <c r="J1559" s="10"/>
      <c r="K1559" s="18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</row>
    <row r="1560" ht="14.25" customHeight="1">
      <c r="A1560" s="9"/>
      <c r="B1560" s="8"/>
      <c r="C1560" s="8"/>
      <c r="D1560" s="8"/>
      <c r="E1560" s="8"/>
      <c r="F1560" s="8"/>
      <c r="G1560" s="8"/>
      <c r="H1560" s="8"/>
      <c r="I1560" s="10"/>
      <c r="J1560" s="10"/>
      <c r="K1560" s="18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</row>
    <row r="1561" ht="14.25" customHeight="1">
      <c r="A1561" s="9"/>
      <c r="B1561" s="8"/>
      <c r="C1561" s="8"/>
      <c r="D1561" s="8"/>
      <c r="E1561" s="8"/>
      <c r="F1561" s="8"/>
      <c r="G1561" s="8"/>
      <c r="H1561" s="8"/>
      <c r="I1561" s="10"/>
      <c r="J1561" s="10"/>
      <c r="K1561" s="18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</row>
    <row r="1562" ht="14.25" customHeight="1">
      <c r="A1562" s="9"/>
      <c r="B1562" s="8"/>
      <c r="C1562" s="8"/>
      <c r="D1562" s="8"/>
      <c r="E1562" s="8"/>
      <c r="F1562" s="8"/>
      <c r="G1562" s="8"/>
      <c r="H1562" s="8"/>
      <c r="I1562" s="10"/>
      <c r="J1562" s="10"/>
      <c r="K1562" s="18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</row>
    <row r="1563" ht="14.25" customHeight="1">
      <c r="A1563" s="9"/>
      <c r="B1563" s="8"/>
      <c r="C1563" s="8"/>
      <c r="D1563" s="8"/>
      <c r="E1563" s="8"/>
      <c r="F1563" s="8"/>
      <c r="G1563" s="8"/>
      <c r="H1563" s="8"/>
      <c r="I1563" s="10"/>
      <c r="J1563" s="10"/>
      <c r="K1563" s="18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</row>
    <row r="1564" ht="14.25" customHeight="1">
      <c r="A1564" s="9"/>
      <c r="B1564" s="8"/>
      <c r="C1564" s="8"/>
      <c r="D1564" s="8"/>
      <c r="E1564" s="8"/>
      <c r="F1564" s="8"/>
      <c r="G1564" s="8"/>
      <c r="H1564" s="8"/>
      <c r="I1564" s="10"/>
      <c r="J1564" s="10"/>
      <c r="K1564" s="18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</row>
    <row r="1565" ht="14.25" customHeight="1">
      <c r="A1565" s="9"/>
      <c r="B1565" s="8"/>
      <c r="C1565" s="8"/>
      <c r="D1565" s="8"/>
      <c r="E1565" s="8"/>
      <c r="F1565" s="8"/>
      <c r="G1565" s="8"/>
      <c r="H1565" s="8"/>
      <c r="I1565" s="10"/>
      <c r="J1565" s="10"/>
      <c r="K1565" s="18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</row>
    <row r="1566" ht="14.25" customHeight="1">
      <c r="A1566" s="9"/>
      <c r="B1566" s="8"/>
      <c r="C1566" s="8"/>
      <c r="D1566" s="8"/>
      <c r="E1566" s="8"/>
      <c r="F1566" s="8"/>
      <c r="G1566" s="8"/>
      <c r="H1566" s="8"/>
      <c r="I1566" s="10"/>
      <c r="J1566" s="10"/>
      <c r="K1566" s="18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</row>
    <row r="1567" ht="14.25" customHeight="1">
      <c r="A1567" s="9"/>
      <c r="B1567" s="8"/>
      <c r="C1567" s="8"/>
      <c r="D1567" s="8"/>
      <c r="E1567" s="8"/>
      <c r="F1567" s="8"/>
      <c r="G1567" s="8"/>
      <c r="H1567" s="8"/>
      <c r="I1567" s="10"/>
      <c r="J1567" s="10"/>
      <c r="K1567" s="18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</row>
    <row r="1568" ht="14.25" customHeight="1">
      <c r="A1568" s="9"/>
      <c r="B1568" s="8"/>
      <c r="C1568" s="8"/>
      <c r="D1568" s="8"/>
      <c r="E1568" s="8"/>
      <c r="F1568" s="8"/>
      <c r="G1568" s="8"/>
      <c r="H1568" s="8"/>
      <c r="I1568" s="10"/>
      <c r="J1568" s="10"/>
      <c r="K1568" s="18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</row>
    <row r="1569" ht="14.25" customHeight="1">
      <c r="A1569" s="9"/>
      <c r="B1569" s="8"/>
      <c r="C1569" s="8"/>
      <c r="D1569" s="8"/>
      <c r="E1569" s="8"/>
      <c r="F1569" s="8"/>
      <c r="G1569" s="8"/>
      <c r="H1569" s="8"/>
      <c r="I1569" s="10"/>
      <c r="J1569" s="10"/>
      <c r="K1569" s="18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</row>
    <row r="1570" ht="14.25" customHeight="1">
      <c r="A1570" s="9"/>
      <c r="B1570" s="8"/>
      <c r="C1570" s="8"/>
      <c r="D1570" s="8"/>
      <c r="E1570" s="8"/>
      <c r="F1570" s="8"/>
      <c r="G1570" s="8"/>
      <c r="H1570" s="8"/>
      <c r="I1570" s="10"/>
      <c r="J1570" s="10"/>
      <c r="K1570" s="18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</row>
    <row r="1571" ht="14.25" customHeight="1">
      <c r="A1571" s="9"/>
      <c r="B1571" s="8"/>
      <c r="C1571" s="8"/>
      <c r="D1571" s="8"/>
      <c r="E1571" s="8"/>
      <c r="F1571" s="8"/>
      <c r="G1571" s="8"/>
      <c r="H1571" s="8"/>
      <c r="I1571" s="10"/>
      <c r="J1571" s="10"/>
      <c r="K1571" s="18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</row>
    <row r="1572" ht="14.25" customHeight="1">
      <c r="A1572" s="9"/>
      <c r="B1572" s="8"/>
      <c r="C1572" s="8"/>
      <c r="D1572" s="8"/>
      <c r="E1572" s="8"/>
      <c r="F1572" s="8"/>
      <c r="G1572" s="8"/>
      <c r="H1572" s="8"/>
      <c r="I1572" s="10"/>
      <c r="J1572" s="10"/>
      <c r="K1572" s="18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</row>
    <row r="1573" ht="14.25" customHeight="1">
      <c r="A1573" s="9"/>
      <c r="B1573" s="8"/>
      <c r="C1573" s="8"/>
      <c r="D1573" s="8"/>
      <c r="E1573" s="8"/>
      <c r="F1573" s="8"/>
      <c r="G1573" s="8"/>
      <c r="H1573" s="8"/>
      <c r="I1573" s="10"/>
      <c r="J1573" s="10"/>
      <c r="K1573" s="18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</row>
    <row r="1574" ht="14.25" customHeight="1">
      <c r="A1574" s="9"/>
      <c r="B1574" s="8"/>
      <c r="C1574" s="8"/>
      <c r="D1574" s="8"/>
      <c r="E1574" s="8"/>
      <c r="F1574" s="8"/>
      <c r="G1574" s="8"/>
      <c r="H1574" s="8"/>
      <c r="I1574" s="10"/>
      <c r="J1574" s="10"/>
      <c r="K1574" s="18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</row>
    <row r="1575" ht="14.25" customHeight="1">
      <c r="A1575" s="9"/>
      <c r="B1575" s="8"/>
      <c r="C1575" s="8"/>
      <c r="D1575" s="8"/>
      <c r="E1575" s="8"/>
      <c r="F1575" s="8"/>
      <c r="G1575" s="8"/>
      <c r="H1575" s="8"/>
      <c r="I1575" s="10"/>
      <c r="J1575" s="10"/>
      <c r="K1575" s="18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</row>
    <row r="1576" ht="14.25" customHeight="1">
      <c r="A1576" s="9"/>
      <c r="B1576" s="8"/>
      <c r="C1576" s="8"/>
      <c r="D1576" s="8"/>
      <c r="E1576" s="8"/>
      <c r="F1576" s="8"/>
      <c r="G1576" s="8"/>
      <c r="H1576" s="8"/>
      <c r="I1576" s="10"/>
      <c r="J1576" s="10"/>
      <c r="K1576" s="18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</row>
    <row r="1577" ht="14.25" customHeight="1">
      <c r="A1577" s="9"/>
      <c r="B1577" s="8"/>
      <c r="C1577" s="8"/>
      <c r="D1577" s="8"/>
      <c r="E1577" s="8"/>
      <c r="F1577" s="8"/>
      <c r="G1577" s="8"/>
      <c r="H1577" s="8"/>
      <c r="I1577" s="10"/>
      <c r="J1577" s="10"/>
      <c r="K1577" s="18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</row>
    <row r="1578" ht="14.25" customHeight="1">
      <c r="A1578" s="9"/>
      <c r="B1578" s="8"/>
      <c r="C1578" s="8"/>
      <c r="D1578" s="8"/>
      <c r="E1578" s="8"/>
      <c r="F1578" s="8"/>
      <c r="G1578" s="8"/>
      <c r="H1578" s="8"/>
      <c r="I1578" s="10"/>
      <c r="J1578" s="10"/>
      <c r="K1578" s="18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</row>
    <row r="1579" ht="14.25" customHeight="1">
      <c r="A1579" s="9"/>
      <c r="B1579" s="8"/>
      <c r="C1579" s="8"/>
      <c r="D1579" s="8"/>
      <c r="E1579" s="8"/>
      <c r="F1579" s="8"/>
      <c r="G1579" s="8"/>
      <c r="H1579" s="8"/>
      <c r="I1579" s="10"/>
      <c r="J1579" s="10"/>
      <c r="K1579" s="18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</row>
    <row r="1580" ht="14.25" customHeight="1">
      <c r="A1580" s="9"/>
      <c r="B1580" s="8"/>
      <c r="C1580" s="8"/>
      <c r="D1580" s="8"/>
      <c r="E1580" s="8"/>
      <c r="F1580" s="8"/>
      <c r="G1580" s="8"/>
      <c r="H1580" s="8"/>
      <c r="I1580" s="10"/>
      <c r="J1580" s="10"/>
      <c r="K1580" s="18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</row>
    <row r="1581" ht="14.25" customHeight="1">
      <c r="A1581" s="9"/>
      <c r="B1581" s="8"/>
      <c r="C1581" s="8"/>
      <c r="D1581" s="8"/>
      <c r="E1581" s="8"/>
      <c r="F1581" s="8"/>
      <c r="G1581" s="8"/>
      <c r="H1581" s="8"/>
      <c r="I1581" s="10"/>
      <c r="J1581" s="10"/>
      <c r="K1581" s="18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</row>
    <row r="1582" ht="14.25" customHeight="1">
      <c r="A1582" s="9"/>
      <c r="B1582" s="8"/>
      <c r="C1582" s="8"/>
      <c r="D1582" s="8"/>
      <c r="E1582" s="8"/>
      <c r="F1582" s="8"/>
      <c r="G1582" s="8"/>
      <c r="H1582" s="8"/>
      <c r="I1582" s="10"/>
      <c r="J1582" s="10"/>
      <c r="K1582" s="18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</row>
    <row r="1583" ht="14.25" customHeight="1">
      <c r="A1583" s="9"/>
      <c r="B1583" s="8"/>
      <c r="C1583" s="8"/>
      <c r="D1583" s="8"/>
      <c r="E1583" s="8"/>
      <c r="F1583" s="8"/>
      <c r="G1583" s="8"/>
      <c r="H1583" s="8"/>
      <c r="I1583" s="10"/>
      <c r="J1583" s="10"/>
      <c r="K1583" s="18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</row>
    <row r="1584" ht="14.25" customHeight="1">
      <c r="A1584" s="9"/>
      <c r="B1584" s="8"/>
      <c r="C1584" s="8"/>
      <c r="D1584" s="8"/>
      <c r="E1584" s="8"/>
      <c r="F1584" s="8"/>
      <c r="G1584" s="8"/>
      <c r="H1584" s="8"/>
      <c r="I1584" s="10"/>
      <c r="J1584" s="10"/>
      <c r="K1584" s="18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</row>
    <row r="1585" ht="14.25" customHeight="1">
      <c r="A1585" s="9"/>
      <c r="B1585" s="8"/>
      <c r="C1585" s="8"/>
      <c r="D1585" s="8"/>
      <c r="E1585" s="8"/>
      <c r="F1585" s="8"/>
      <c r="G1585" s="8"/>
      <c r="H1585" s="8"/>
      <c r="I1585" s="10"/>
      <c r="J1585" s="10"/>
      <c r="K1585" s="18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</row>
    <row r="1586" ht="14.25" customHeight="1">
      <c r="A1586" s="9"/>
      <c r="B1586" s="8"/>
      <c r="C1586" s="8"/>
      <c r="D1586" s="8"/>
      <c r="E1586" s="8"/>
      <c r="F1586" s="8"/>
      <c r="G1586" s="8"/>
      <c r="H1586" s="8"/>
      <c r="I1586" s="10"/>
      <c r="J1586" s="10"/>
      <c r="K1586" s="18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</row>
    <row r="1587" ht="14.25" customHeight="1">
      <c r="A1587" s="9"/>
      <c r="B1587" s="8"/>
      <c r="C1587" s="8"/>
      <c r="D1587" s="8"/>
      <c r="E1587" s="8"/>
      <c r="F1587" s="8"/>
      <c r="G1587" s="8"/>
      <c r="H1587" s="8"/>
      <c r="I1587" s="10"/>
      <c r="J1587" s="10"/>
      <c r="K1587" s="18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</row>
    <row r="1588" ht="14.25" customHeight="1">
      <c r="A1588" s="9"/>
      <c r="B1588" s="8"/>
      <c r="C1588" s="8"/>
      <c r="D1588" s="8"/>
      <c r="E1588" s="8"/>
      <c r="F1588" s="8"/>
      <c r="G1588" s="8"/>
      <c r="H1588" s="8"/>
      <c r="I1588" s="10"/>
      <c r="J1588" s="10"/>
      <c r="K1588" s="18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</row>
    <row r="1589" ht="14.25" customHeight="1">
      <c r="A1589" s="9"/>
      <c r="B1589" s="8"/>
      <c r="C1589" s="8"/>
      <c r="D1589" s="8"/>
      <c r="E1589" s="8"/>
      <c r="F1589" s="8"/>
      <c r="G1589" s="8"/>
      <c r="H1589" s="8"/>
      <c r="I1589" s="10"/>
      <c r="J1589" s="10"/>
      <c r="K1589" s="18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</row>
    <row r="1590" ht="14.25" customHeight="1">
      <c r="A1590" s="9"/>
      <c r="B1590" s="8"/>
      <c r="C1590" s="8"/>
      <c r="D1590" s="8"/>
      <c r="E1590" s="8"/>
      <c r="F1590" s="8"/>
      <c r="G1590" s="8"/>
      <c r="H1590" s="8"/>
      <c r="I1590" s="10"/>
      <c r="J1590" s="10"/>
      <c r="K1590" s="18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</row>
    <row r="1591" ht="14.25" customHeight="1">
      <c r="A1591" s="9"/>
      <c r="B1591" s="8"/>
      <c r="C1591" s="8"/>
      <c r="D1591" s="8"/>
      <c r="E1591" s="8"/>
      <c r="F1591" s="8"/>
      <c r="G1591" s="8"/>
      <c r="H1591" s="8"/>
      <c r="I1591" s="10"/>
      <c r="J1591" s="10"/>
      <c r="K1591" s="18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</row>
    <row r="1592" ht="14.25" customHeight="1">
      <c r="A1592" s="9"/>
      <c r="B1592" s="8"/>
      <c r="C1592" s="8"/>
      <c r="D1592" s="8"/>
      <c r="E1592" s="8"/>
      <c r="F1592" s="8"/>
      <c r="G1592" s="8"/>
      <c r="H1592" s="8"/>
      <c r="I1592" s="10"/>
      <c r="J1592" s="10"/>
      <c r="K1592" s="18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</row>
    <row r="1593" ht="14.25" customHeight="1">
      <c r="A1593" s="9"/>
      <c r="B1593" s="8"/>
      <c r="C1593" s="8"/>
      <c r="D1593" s="8"/>
      <c r="E1593" s="8"/>
      <c r="F1593" s="8"/>
      <c r="G1593" s="8"/>
      <c r="H1593" s="8"/>
      <c r="I1593" s="10"/>
      <c r="J1593" s="10"/>
      <c r="K1593" s="18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</row>
    <row r="1594" ht="14.25" customHeight="1">
      <c r="A1594" s="9"/>
      <c r="B1594" s="8"/>
      <c r="C1594" s="8"/>
      <c r="D1594" s="8"/>
      <c r="E1594" s="8"/>
      <c r="F1594" s="8"/>
      <c r="G1594" s="8"/>
      <c r="H1594" s="8"/>
      <c r="I1594" s="10"/>
      <c r="J1594" s="10"/>
      <c r="K1594" s="18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</row>
    <row r="1595" ht="14.25" customHeight="1">
      <c r="A1595" s="9"/>
      <c r="B1595" s="8"/>
      <c r="C1595" s="8"/>
      <c r="D1595" s="8"/>
      <c r="E1595" s="8"/>
      <c r="F1595" s="8"/>
      <c r="G1595" s="8"/>
      <c r="H1595" s="8"/>
      <c r="I1595" s="10"/>
      <c r="J1595" s="10"/>
      <c r="K1595" s="18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</row>
    <row r="1596" ht="14.25" customHeight="1">
      <c r="A1596" s="9"/>
      <c r="B1596" s="8"/>
      <c r="C1596" s="8"/>
      <c r="D1596" s="8"/>
      <c r="E1596" s="8"/>
      <c r="F1596" s="8"/>
      <c r="G1596" s="8"/>
      <c r="H1596" s="8"/>
      <c r="I1596" s="10"/>
      <c r="J1596" s="10"/>
      <c r="K1596" s="18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</row>
    <row r="1597" ht="14.25" customHeight="1">
      <c r="A1597" s="9"/>
      <c r="B1597" s="8"/>
      <c r="C1597" s="8"/>
      <c r="D1597" s="8"/>
      <c r="E1597" s="8"/>
      <c r="F1597" s="8"/>
      <c r="G1597" s="8"/>
      <c r="H1597" s="8"/>
      <c r="I1597" s="10"/>
      <c r="J1597" s="10"/>
      <c r="K1597" s="18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</row>
    <row r="1598" ht="14.25" customHeight="1">
      <c r="A1598" s="9"/>
      <c r="B1598" s="8"/>
      <c r="C1598" s="8"/>
      <c r="D1598" s="8"/>
      <c r="E1598" s="8"/>
      <c r="F1598" s="8"/>
      <c r="G1598" s="8"/>
      <c r="H1598" s="8"/>
      <c r="I1598" s="10"/>
      <c r="J1598" s="10"/>
      <c r="K1598" s="18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</row>
    <row r="1599" ht="14.25" customHeight="1">
      <c r="A1599" s="9"/>
      <c r="B1599" s="8"/>
      <c r="C1599" s="8"/>
      <c r="D1599" s="8"/>
      <c r="E1599" s="8"/>
      <c r="F1599" s="8"/>
      <c r="G1599" s="8"/>
      <c r="H1599" s="8"/>
      <c r="I1599" s="10"/>
      <c r="J1599" s="10"/>
      <c r="K1599" s="18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</row>
    <row r="1600" ht="14.25" customHeight="1">
      <c r="A1600" s="9"/>
      <c r="B1600" s="8"/>
      <c r="C1600" s="8"/>
      <c r="D1600" s="8"/>
      <c r="E1600" s="8"/>
      <c r="F1600" s="8"/>
      <c r="G1600" s="8"/>
      <c r="H1600" s="8"/>
      <c r="I1600" s="10"/>
      <c r="J1600" s="10"/>
      <c r="K1600" s="18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</row>
    <row r="1601" ht="14.25" customHeight="1">
      <c r="A1601" s="9"/>
      <c r="B1601" s="8"/>
      <c r="C1601" s="8"/>
      <c r="D1601" s="8"/>
      <c r="E1601" s="8"/>
      <c r="F1601" s="8"/>
      <c r="G1601" s="8"/>
      <c r="H1601" s="8"/>
      <c r="I1601" s="10"/>
      <c r="J1601" s="10"/>
      <c r="K1601" s="18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</row>
    <row r="1602" ht="14.25" customHeight="1">
      <c r="A1602" s="9"/>
      <c r="B1602" s="8"/>
      <c r="C1602" s="8"/>
      <c r="D1602" s="8"/>
      <c r="E1602" s="8"/>
      <c r="F1602" s="8"/>
      <c r="G1602" s="8"/>
      <c r="H1602" s="8"/>
      <c r="I1602" s="10"/>
      <c r="J1602" s="10"/>
      <c r="K1602" s="18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</row>
    <row r="1603" ht="14.25" customHeight="1">
      <c r="A1603" s="9"/>
      <c r="B1603" s="8"/>
      <c r="C1603" s="8"/>
      <c r="D1603" s="8"/>
      <c r="E1603" s="8"/>
      <c r="F1603" s="8"/>
      <c r="G1603" s="8"/>
      <c r="H1603" s="8"/>
      <c r="I1603" s="10"/>
      <c r="J1603" s="10"/>
      <c r="K1603" s="18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</row>
    <row r="1604" ht="14.25" customHeight="1">
      <c r="A1604" s="9"/>
      <c r="B1604" s="8"/>
      <c r="C1604" s="8"/>
      <c r="D1604" s="8"/>
      <c r="E1604" s="8"/>
      <c r="F1604" s="8"/>
      <c r="G1604" s="8"/>
      <c r="H1604" s="8"/>
      <c r="I1604" s="10"/>
      <c r="J1604" s="10"/>
      <c r="K1604" s="18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</row>
    <row r="1605" ht="14.25" customHeight="1">
      <c r="A1605" s="9"/>
      <c r="B1605" s="8"/>
      <c r="C1605" s="8"/>
      <c r="D1605" s="8"/>
      <c r="E1605" s="8"/>
      <c r="F1605" s="8"/>
      <c r="G1605" s="8"/>
      <c r="H1605" s="8"/>
      <c r="I1605" s="10"/>
      <c r="J1605" s="10"/>
      <c r="K1605" s="18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</row>
    <row r="1606" ht="14.25" customHeight="1">
      <c r="A1606" s="9"/>
      <c r="B1606" s="8"/>
      <c r="C1606" s="8"/>
      <c r="D1606" s="8"/>
      <c r="E1606" s="8"/>
      <c r="F1606" s="8"/>
      <c r="G1606" s="8"/>
      <c r="H1606" s="8"/>
      <c r="I1606" s="10"/>
      <c r="J1606" s="10"/>
      <c r="K1606" s="18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</row>
    <row r="1607" ht="14.25" customHeight="1">
      <c r="A1607" s="9"/>
      <c r="B1607" s="8"/>
      <c r="C1607" s="8"/>
      <c r="D1607" s="8"/>
      <c r="E1607" s="8"/>
      <c r="F1607" s="8"/>
      <c r="G1607" s="8"/>
      <c r="H1607" s="8"/>
      <c r="I1607" s="10"/>
      <c r="J1607" s="10"/>
      <c r="K1607" s="18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</row>
    <row r="1608" ht="14.25" customHeight="1">
      <c r="A1608" s="9"/>
      <c r="B1608" s="8"/>
      <c r="C1608" s="8"/>
      <c r="D1608" s="8"/>
      <c r="E1608" s="8"/>
      <c r="F1608" s="8"/>
      <c r="G1608" s="8"/>
      <c r="H1608" s="8"/>
      <c r="I1608" s="10"/>
      <c r="J1608" s="10"/>
      <c r="K1608" s="18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</row>
    <row r="1609" ht="14.25" customHeight="1">
      <c r="A1609" s="9"/>
      <c r="B1609" s="8"/>
      <c r="C1609" s="8"/>
      <c r="D1609" s="8"/>
      <c r="E1609" s="8"/>
      <c r="F1609" s="8"/>
      <c r="G1609" s="8"/>
      <c r="H1609" s="8"/>
      <c r="I1609" s="10"/>
      <c r="J1609" s="10"/>
      <c r="K1609" s="18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</row>
    <row r="1610" ht="14.25" customHeight="1">
      <c r="A1610" s="9"/>
      <c r="B1610" s="8"/>
      <c r="C1610" s="8"/>
      <c r="D1610" s="8"/>
      <c r="E1610" s="8"/>
      <c r="F1610" s="8"/>
      <c r="G1610" s="8"/>
      <c r="H1610" s="8"/>
      <c r="I1610" s="10"/>
      <c r="J1610" s="10"/>
      <c r="K1610" s="18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</row>
    <row r="1611" ht="14.25" customHeight="1">
      <c r="A1611" s="9"/>
      <c r="B1611" s="8"/>
      <c r="C1611" s="8"/>
      <c r="D1611" s="8"/>
      <c r="E1611" s="8"/>
      <c r="F1611" s="8"/>
      <c r="G1611" s="8"/>
      <c r="H1611" s="8"/>
      <c r="I1611" s="10"/>
      <c r="J1611" s="10"/>
      <c r="K1611" s="18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</row>
    <row r="1612" ht="14.25" customHeight="1">
      <c r="A1612" s="9"/>
      <c r="B1612" s="8"/>
      <c r="C1612" s="8"/>
      <c r="D1612" s="8"/>
      <c r="E1612" s="8"/>
      <c r="F1612" s="8"/>
      <c r="G1612" s="8"/>
      <c r="H1612" s="8"/>
      <c r="I1612" s="10"/>
      <c r="J1612" s="10"/>
      <c r="K1612" s="18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</row>
    <row r="1613" ht="14.25" customHeight="1">
      <c r="A1613" s="9"/>
      <c r="B1613" s="8"/>
      <c r="C1613" s="8"/>
      <c r="D1613" s="8"/>
      <c r="E1613" s="8"/>
      <c r="F1613" s="8"/>
      <c r="G1613" s="8"/>
      <c r="H1613" s="8"/>
      <c r="I1613" s="10"/>
      <c r="J1613" s="10"/>
      <c r="K1613" s="18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</row>
    <row r="1614" ht="14.25" customHeight="1">
      <c r="A1614" s="9"/>
      <c r="B1614" s="8"/>
      <c r="C1614" s="8"/>
      <c r="D1614" s="8"/>
      <c r="E1614" s="8"/>
      <c r="F1614" s="8"/>
      <c r="G1614" s="8"/>
      <c r="H1614" s="8"/>
      <c r="I1614" s="10"/>
      <c r="J1614" s="10"/>
      <c r="K1614" s="18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</row>
    <row r="1615" ht="14.25" customHeight="1">
      <c r="A1615" s="9"/>
      <c r="B1615" s="8"/>
      <c r="C1615" s="8"/>
      <c r="D1615" s="8"/>
      <c r="E1615" s="8"/>
      <c r="F1615" s="8"/>
      <c r="G1615" s="8"/>
      <c r="H1615" s="8"/>
      <c r="I1615" s="10"/>
      <c r="J1615" s="10"/>
      <c r="K1615" s="18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</row>
    <row r="1616" ht="14.25" customHeight="1">
      <c r="A1616" s="9"/>
      <c r="B1616" s="8"/>
      <c r="C1616" s="8"/>
      <c r="D1616" s="8"/>
      <c r="E1616" s="8"/>
      <c r="F1616" s="8"/>
      <c r="G1616" s="8"/>
      <c r="H1616" s="8"/>
      <c r="I1616" s="10"/>
      <c r="J1616" s="10"/>
      <c r="K1616" s="18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</row>
    <row r="1617" ht="14.25" customHeight="1">
      <c r="A1617" s="9"/>
      <c r="B1617" s="8"/>
      <c r="C1617" s="8"/>
      <c r="D1617" s="8"/>
      <c r="E1617" s="8"/>
      <c r="F1617" s="8"/>
      <c r="G1617" s="8"/>
      <c r="H1617" s="8"/>
      <c r="I1617" s="10"/>
      <c r="J1617" s="10"/>
      <c r="K1617" s="18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</row>
    <row r="1618" ht="14.25" customHeight="1">
      <c r="A1618" s="9"/>
      <c r="B1618" s="8"/>
      <c r="C1618" s="8"/>
      <c r="D1618" s="8"/>
      <c r="E1618" s="8"/>
      <c r="F1618" s="8"/>
      <c r="G1618" s="8"/>
      <c r="H1618" s="8"/>
      <c r="I1618" s="10"/>
      <c r="J1618" s="10"/>
      <c r="K1618" s="18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</row>
    <row r="1619" ht="14.25" customHeight="1">
      <c r="A1619" s="9"/>
      <c r="B1619" s="8"/>
      <c r="C1619" s="8"/>
      <c r="D1619" s="8"/>
      <c r="E1619" s="8"/>
      <c r="F1619" s="8"/>
      <c r="G1619" s="8"/>
      <c r="H1619" s="8"/>
      <c r="I1619" s="10"/>
      <c r="J1619" s="10"/>
      <c r="K1619" s="18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</row>
    <row r="1620" ht="14.25" customHeight="1">
      <c r="A1620" s="9"/>
      <c r="B1620" s="8"/>
      <c r="C1620" s="8"/>
      <c r="D1620" s="8"/>
      <c r="E1620" s="8"/>
      <c r="F1620" s="8"/>
      <c r="G1620" s="8"/>
      <c r="H1620" s="8"/>
      <c r="I1620" s="10"/>
      <c r="J1620" s="10"/>
      <c r="K1620" s="18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</row>
    <row r="1621" ht="14.25" customHeight="1">
      <c r="A1621" s="9"/>
      <c r="B1621" s="8"/>
      <c r="C1621" s="8"/>
      <c r="D1621" s="8"/>
      <c r="E1621" s="8"/>
      <c r="F1621" s="8"/>
      <c r="G1621" s="8"/>
      <c r="H1621" s="8"/>
      <c r="I1621" s="10"/>
      <c r="J1621" s="10"/>
      <c r="K1621" s="18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</row>
    <row r="1622" ht="14.25" customHeight="1">
      <c r="A1622" s="9"/>
      <c r="B1622" s="8"/>
      <c r="C1622" s="8"/>
      <c r="D1622" s="8"/>
      <c r="E1622" s="8"/>
      <c r="F1622" s="8"/>
      <c r="G1622" s="8"/>
      <c r="H1622" s="8"/>
      <c r="I1622" s="10"/>
      <c r="J1622" s="10"/>
      <c r="K1622" s="18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</row>
    <row r="1623" ht="14.25" customHeight="1">
      <c r="A1623" s="9"/>
      <c r="B1623" s="8"/>
      <c r="C1623" s="8"/>
      <c r="D1623" s="8"/>
      <c r="E1623" s="8"/>
      <c r="F1623" s="8"/>
      <c r="G1623" s="8"/>
      <c r="H1623" s="8"/>
      <c r="I1623" s="10"/>
      <c r="J1623" s="10"/>
      <c r="K1623" s="18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</row>
    <row r="1624" ht="14.25" customHeight="1">
      <c r="A1624" s="9"/>
      <c r="B1624" s="8"/>
      <c r="C1624" s="8"/>
      <c r="D1624" s="8"/>
      <c r="E1624" s="8"/>
      <c r="F1624" s="8"/>
      <c r="G1624" s="8"/>
      <c r="H1624" s="8"/>
      <c r="I1624" s="10"/>
      <c r="J1624" s="10"/>
      <c r="K1624" s="18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</row>
    <row r="1625" ht="14.25" customHeight="1">
      <c r="A1625" s="9"/>
      <c r="B1625" s="8"/>
      <c r="C1625" s="8"/>
      <c r="D1625" s="8"/>
      <c r="E1625" s="8"/>
      <c r="F1625" s="8"/>
      <c r="G1625" s="8"/>
      <c r="H1625" s="8"/>
      <c r="I1625" s="10"/>
      <c r="J1625" s="10"/>
      <c r="K1625" s="18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</row>
    <row r="1626" ht="14.25" customHeight="1">
      <c r="A1626" s="9"/>
      <c r="B1626" s="8"/>
      <c r="C1626" s="8"/>
      <c r="D1626" s="8"/>
      <c r="E1626" s="8"/>
      <c r="F1626" s="8"/>
      <c r="G1626" s="8"/>
      <c r="H1626" s="8"/>
      <c r="I1626" s="10"/>
      <c r="J1626" s="10"/>
      <c r="K1626" s="18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</row>
    <row r="1627" ht="14.25" customHeight="1">
      <c r="A1627" s="9"/>
      <c r="B1627" s="8"/>
      <c r="C1627" s="8"/>
      <c r="D1627" s="8"/>
      <c r="E1627" s="8"/>
      <c r="F1627" s="8"/>
      <c r="G1627" s="8"/>
      <c r="H1627" s="8"/>
      <c r="I1627" s="10"/>
      <c r="J1627" s="10"/>
      <c r="K1627" s="18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</row>
    <row r="1628" ht="14.25" customHeight="1">
      <c r="A1628" s="9"/>
      <c r="B1628" s="8"/>
      <c r="C1628" s="8"/>
      <c r="D1628" s="8"/>
      <c r="E1628" s="8"/>
      <c r="F1628" s="8"/>
      <c r="G1628" s="8"/>
      <c r="H1628" s="8"/>
      <c r="I1628" s="10"/>
      <c r="J1628" s="10"/>
      <c r="K1628" s="18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</row>
    <row r="1629" ht="14.25" customHeight="1">
      <c r="A1629" s="9"/>
      <c r="B1629" s="8"/>
      <c r="C1629" s="8"/>
      <c r="D1629" s="8"/>
      <c r="E1629" s="8"/>
      <c r="F1629" s="8"/>
      <c r="G1629" s="8"/>
      <c r="H1629" s="8"/>
      <c r="I1629" s="10"/>
      <c r="J1629" s="10"/>
      <c r="K1629" s="18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</row>
    <row r="1630" ht="14.25" customHeight="1">
      <c r="A1630" s="9"/>
      <c r="B1630" s="8"/>
      <c r="C1630" s="8"/>
      <c r="D1630" s="8"/>
      <c r="E1630" s="8"/>
      <c r="F1630" s="8"/>
      <c r="G1630" s="8"/>
      <c r="H1630" s="8"/>
      <c r="I1630" s="10"/>
      <c r="J1630" s="10"/>
      <c r="K1630" s="18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</row>
    <row r="1631" ht="14.25" customHeight="1">
      <c r="A1631" s="9"/>
      <c r="B1631" s="8"/>
      <c r="C1631" s="8"/>
      <c r="D1631" s="8"/>
      <c r="E1631" s="8"/>
      <c r="F1631" s="8"/>
      <c r="G1631" s="8"/>
      <c r="H1631" s="8"/>
      <c r="I1631" s="10"/>
      <c r="J1631" s="10"/>
      <c r="K1631" s="18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</row>
    <row r="1632" ht="14.25" customHeight="1">
      <c r="A1632" s="9"/>
      <c r="B1632" s="8"/>
      <c r="C1632" s="8"/>
      <c r="D1632" s="8"/>
      <c r="E1632" s="8"/>
      <c r="F1632" s="8"/>
      <c r="G1632" s="8"/>
      <c r="H1632" s="8"/>
      <c r="I1632" s="10"/>
      <c r="J1632" s="10"/>
      <c r="K1632" s="18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</row>
    <row r="1633" ht="14.25" customHeight="1">
      <c r="A1633" s="9"/>
      <c r="B1633" s="8"/>
      <c r="C1633" s="8"/>
      <c r="D1633" s="8"/>
      <c r="E1633" s="8"/>
      <c r="F1633" s="8"/>
      <c r="G1633" s="8"/>
      <c r="H1633" s="8"/>
      <c r="I1633" s="10"/>
      <c r="J1633" s="10"/>
      <c r="K1633" s="18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</row>
    <row r="1634" ht="14.25" customHeight="1">
      <c r="A1634" s="9"/>
      <c r="B1634" s="8"/>
      <c r="C1634" s="8"/>
      <c r="D1634" s="8"/>
      <c r="E1634" s="8"/>
      <c r="F1634" s="8"/>
      <c r="G1634" s="8"/>
      <c r="H1634" s="8"/>
      <c r="I1634" s="10"/>
      <c r="J1634" s="10"/>
      <c r="K1634" s="18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</row>
    <row r="1635" ht="14.25" customHeight="1">
      <c r="A1635" s="9"/>
      <c r="B1635" s="8"/>
      <c r="C1635" s="8"/>
      <c r="D1635" s="8"/>
      <c r="E1635" s="8"/>
      <c r="F1635" s="8"/>
      <c r="G1635" s="8"/>
      <c r="H1635" s="8"/>
      <c r="I1635" s="10"/>
      <c r="J1635" s="10"/>
      <c r="K1635" s="18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</row>
    <row r="1636" ht="14.25" customHeight="1">
      <c r="A1636" s="9"/>
      <c r="B1636" s="8"/>
      <c r="C1636" s="8"/>
      <c r="D1636" s="8"/>
      <c r="E1636" s="8"/>
      <c r="F1636" s="8"/>
      <c r="G1636" s="8"/>
      <c r="H1636" s="8"/>
      <c r="I1636" s="10"/>
      <c r="J1636" s="10"/>
      <c r="K1636" s="18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</row>
    <row r="1637" ht="14.25" customHeight="1">
      <c r="A1637" s="9"/>
      <c r="B1637" s="8"/>
      <c r="C1637" s="8"/>
      <c r="D1637" s="8"/>
      <c r="E1637" s="8"/>
      <c r="F1637" s="8"/>
      <c r="G1637" s="8"/>
      <c r="H1637" s="8"/>
      <c r="I1637" s="10"/>
      <c r="J1637" s="10"/>
      <c r="K1637" s="18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</row>
    <row r="1638" ht="14.25" customHeight="1">
      <c r="A1638" s="9"/>
      <c r="B1638" s="8"/>
      <c r="C1638" s="8"/>
      <c r="D1638" s="8"/>
      <c r="E1638" s="8"/>
      <c r="F1638" s="8"/>
      <c r="G1638" s="8"/>
      <c r="H1638" s="8"/>
      <c r="I1638" s="10"/>
      <c r="J1638" s="10"/>
      <c r="K1638" s="18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</row>
    <row r="1639" ht="14.25" customHeight="1">
      <c r="A1639" s="9"/>
      <c r="B1639" s="8"/>
      <c r="C1639" s="8"/>
      <c r="D1639" s="8"/>
      <c r="E1639" s="8"/>
      <c r="F1639" s="8"/>
      <c r="G1639" s="8"/>
      <c r="H1639" s="8"/>
      <c r="I1639" s="10"/>
      <c r="J1639" s="10"/>
      <c r="K1639" s="18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</row>
    <row r="1640" ht="14.25" customHeight="1">
      <c r="A1640" s="9"/>
      <c r="B1640" s="8"/>
      <c r="C1640" s="8"/>
      <c r="D1640" s="8"/>
      <c r="E1640" s="8"/>
      <c r="F1640" s="8"/>
      <c r="G1640" s="8"/>
      <c r="H1640" s="8"/>
      <c r="I1640" s="10"/>
      <c r="J1640" s="10"/>
      <c r="K1640" s="18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</row>
    <row r="1641" ht="14.25" customHeight="1">
      <c r="A1641" s="9"/>
      <c r="B1641" s="8"/>
      <c r="C1641" s="8"/>
      <c r="D1641" s="8"/>
      <c r="E1641" s="8"/>
      <c r="F1641" s="8"/>
      <c r="G1641" s="8"/>
      <c r="H1641" s="8"/>
      <c r="I1641" s="10"/>
      <c r="J1641" s="10"/>
      <c r="K1641" s="18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</row>
    <row r="1642" ht="14.25" customHeight="1">
      <c r="A1642" s="9"/>
      <c r="B1642" s="8"/>
      <c r="C1642" s="8"/>
      <c r="D1642" s="8"/>
      <c r="E1642" s="8"/>
      <c r="F1642" s="8"/>
      <c r="G1642" s="8"/>
      <c r="H1642" s="8"/>
      <c r="I1642" s="10"/>
      <c r="J1642" s="10"/>
      <c r="K1642" s="18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</row>
    <row r="1643" ht="14.25" customHeight="1">
      <c r="A1643" s="9"/>
      <c r="B1643" s="8"/>
      <c r="C1643" s="8"/>
      <c r="D1643" s="8"/>
      <c r="E1643" s="8"/>
      <c r="F1643" s="8"/>
      <c r="G1643" s="8"/>
      <c r="H1643" s="8"/>
      <c r="I1643" s="10"/>
      <c r="J1643" s="10"/>
      <c r="K1643" s="18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</row>
    <row r="1644" ht="14.25" customHeight="1">
      <c r="A1644" s="9"/>
      <c r="B1644" s="8"/>
      <c r="C1644" s="8"/>
      <c r="D1644" s="8"/>
      <c r="E1644" s="8"/>
      <c r="F1644" s="8"/>
      <c r="G1644" s="8"/>
      <c r="H1644" s="8"/>
      <c r="I1644" s="10"/>
      <c r="J1644" s="10"/>
      <c r="K1644" s="18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</row>
    <row r="1645" ht="14.25" customHeight="1">
      <c r="A1645" s="9"/>
      <c r="B1645" s="8"/>
      <c r="C1645" s="8"/>
      <c r="D1645" s="8"/>
      <c r="E1645" s="8"/>
      <c r="F1645" s="8"/>
      <c r="G1645" s="8"/>
      <c r="H1645" s="8"/>
      <c r="I1645" s="10"/>
      <c r="J1645" s="10"/>
      <c r="K1645" s="18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</row>
    <row r="1646" ht="14.25" customHeight="1">
      <c r="A1646" s="9"/>
      <c r="B1646" s="8"/>
      <c r="C1646" s="8"/>
      <c r="D1646" s="8"/>
      <c r="E1646" s="8"/>
      <c r="F1646" s="8"/>
      <c r="G1646" s="8"/>
      <c r="H1646" s="8"/>
      <c r="I1646" s="10"/>
      <c r="J1646" s="10"/>
      <c r="K1646" s="18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</row>
    <row r="1647" ht="14.25" customHeight="1">
      <c r="A1647" s="9"/>
      <c r="B1647" s="8"/>
      <c r="C1647" s="8"/>
      <c r="D1647" s="8"/>
      <c r="E1647" s="8"/>
      <c r="F1647" s="8"/>
      <c r="G1647" s="8"/>
      <c r="H1647" s="8"/>
      <c r="I1647" s="10"/>
      <c r="J1647" s="10"/>
      <c r="K1647" s="18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</row>
    <row r="1648" ht="14.25" customHeight="1">
      <c r="A1648" s="9"/>
      <c r="B1648" s="8"/>
      <c r="C1648" s="8"/>
      <c r="D1648" s="8"/>
      <c r="E1648" s="8"/>
      <c r="F1648" s="8"/>
      <c r="G1648" s="8"/>
      <c r="H1648" s="8"/>
      <c r="I1648" s="10"/>
      <c r="J1648" s="10"/>
      <c r="K1648" s="18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</row>
    <row r="1649" ht="14.25" customHeight="1">
      <c r="A1649" s="9"/>
      <c r="B1649" s="8"/>
      <c r="C1649" s="8"/>
      <c r="D1649" s="8"/>
      <c r="E1649" s="8"/>
      <c r="F1649" s="8"/>
      <c r="G1649" s="8"/>
      <c r="H1649" s="8"/>
      <c r="I1649" s="10"/>
      <c r="J1649" s="10"/>
      <c r="K1649" s="18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</row>
    <row r="1650" ht="14.25" customHeight="1">
      <c r="A1650" s="9"/>
      <c r="B1650" s="8"/>
      <c r="C1650" s="8"/>
      <c r="D1650" s="8"/>
      <c r="E1650" s="8"/>
      <c r="F1650" s="8"/>
      <c r="G1650" s="8"/>
      <c r="H1650" s="8"/>
      <c r="I1650" s="10"/>
      <c r="J1650" s="10"/>
      <c r="K1650" s="18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</row>
    <row r="1651" ht="14.25" customHeight="1">
      <c r="A1651" s="9"/>
      <c r="B1651" s="8"/>
      <c r="C1651" s="8"/>
      <c r="D1651" s="8"/>
      <c r="E1651" s="8"/>
      <c r="F1651" s="8"/>
      <c r="G1651" s="8"/>
      <c r="H1651" s="8"/>
      <c r="I1651" s="10"/>
      <c r="J1651" s="10"/>
      <c r="K1651" s="18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</row>
    <row r="1652" ht="14.25" customHeight="1">
      <c r="A1652" s="9"/>
      <c r="B1652" s="8"/>
      <c r="C1652" s="8"/>
      <c r="D1652" s="8"/>
      <c r="E1652" s="8"/>
      <c r="F1652" s="8"/>
      <c r="G1652" s="8"/>
      <c r="H1652" s="8"/>
      <c r="I1652" s="10"/>
      <c r="J1652" s="10"/>
      <c r="K1652" s="18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</row>
    <row r="1653" ht="14.25" customHeight="1">
      <c r="A1653" s="9"/>
      <c r="B1653" s="8"/>
      <c r="C1653" s="8"/>
      <c r="D1653" s="8"/>
      <c r="E1653" s="8"/>
      <c r="F1653" s="8"/>
      <c r="G1653" s="8"/>
      <c r="H1653" s="8"/>
      <c r="I1653" s="10"/>
      <c r="J1653" s="10"/>
      <c r="K1653" s="18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</row>
    <row r="1654" ht="14.25" customHeight="1">
      <c r="A1654" s="9"/>
      <c r="B1654" s="8"/>
      <c r="C1654" s="8"/>
      <c r="D1654" s="8"/>
      <c r="E1654" s="8"/>
      <c r="F1654" s="8"/>
      <c r="G1654" s="8"/>
      <c r="H1654" s="8"/>
      <c r="I1654" s="10"/>
      <c r="J1654" s="10"/>
      <c r="K1654" s="18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</row>
    <row r="1655" ht="14.25" customHeight="1">
      <c r="A1655" s="9"/>
      <c r="B1655" s="8"/>
      <c r="C1655" s="8"/>
      <c r="D1655" s="8"/>
      <c r="E1655" s="8"/>
      <c r="F1655" s="8"/>
      <c r="G1655" s="8"/>
      <c r="H1655" s="8"/>
      <c r="I1655" s="10"/>
      <c r="J1655" s="10"/>
      <c r="K1655" s="18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</row>
    <row r="1656" ht="14.25" customHeight="1">
      <c r="A1656" s="9"/>
      <c r="B1656" s="8"/>
      <c r="C1656" s="8"/>
      <c r="D1656" s="8"/>
      <c r="E1656" s="8"/>
      <c r="F1656" s="8"/>
      <c r="G1656" s="8"/>
      <c r="H1656" s="8"/>
      <c r="I1656" s="10"/>
      <c r="J1656" s="10"/>
      <c r="K1656" s="18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</row>
    <row r="1657" ht="14.25" customHeight="1">
      <c r="A1657" s="9"/>
      <c r="B1657" s="8"/>
      <c r="C1657" s="8"/>
      <c r="D1657" s="8"/>
      <c r="E1657" s="8"/>
      <c r="F1657" s="8"/>
      <c r="G1657" s="8"/>
      <c r="H1657" s="8"/>
      <c r="I1657" s="10"/>
      <c r="J1657" s="10"/>
      <c r="K1657" s="18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</row>
    <row r="1658" ht="14.25" customHeight="1">
      <c r="A1658" s="9"/>
      <c r="B1658" s="8"/>
      <c r="C1658" s="8"/>
      <c r="D1658" s="8"/>
      <c r="E1658" s="8"/>
      <c r="F1658" s="8"/>
      <c r="G1658" s="8"/>
      <c r="H1658" s="8"/>
      <c r="I1658" s="10"/>
      <c r="J1658" s="10"/>
      <c r="K1658" s="18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</row>
    <row r="1659" ht="14.25" customHeight="1">
      <c r="A1659" s="9"/>
      <c r="B1659" s="8"/>
      <c r="C1659" s="8"/>
      <c r="D1659" s="8"/>
      <c r="E1659" s="8"/>
      <c r="F1659" s="8"/>
      <c r="G1659" s="8"/>
      <c r="H1659" s="8"/>
      <c r="I1659" s="10"/>
      <c r="J1659" s="10"/>
      <c r="K1659" s="18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</row>
    <row r="1660" ht="14.25" customHeight="1">
      <c r="A1660" s="9"/>
      <c r="B1660" s="8"/>
      <c r="C1660" s="8"/>
      <c r="D1660" s="8"/>
      <c r="E1660" s="8"/>
      <c r="F1660" s="8"/>
      <c r="G1660" s="8"/>
      <c r="H1660" s="8"/>
      <c r="I1660" s="10"/>
      <c r="J1660" s="10"/>
      <c r="K1660" s="18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</row>
    <row r="1661" ht="14.25" customHeight="1">
      <c r="A1661" s="9"/>
      <c r="B1661" s="8"/>
      <c r="C1661" s="8"/>
      <c r="D1661" s="8"/>
      <c r="E1661" s="8"/>
      <c r="F1661" s="8"/>
      <c r="G1661" s="8"/>
      <c r="H1661" s="8"/>
      <c r="I1661" s="10"/>
      <c r="J1661" s="10"/>
      <c r="K1661" s="18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</row>
    <row r="1662" ht="14.25" customHeight="1">
      <c r="A1662" s="9"/>
      <c r="B1662" s="8"/>
      <c r="C1662" s="8"/>
      <c r="D1662" s="8"/>
      <c r="E1662" s="8"/>
      <c r="F1662" s="8"/>
      <c r="G1662" s="8"/>
      <c r="H1662" s="8"/>
      <c r="I1662" s="10"/>
      <c r="J1662" s="10"/>
      <c r="K1662" s="18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</row>
    <row r="1663" ht="14.25" customHeight="1">
      <c r="A1663" s="9"/>
      <c r="B1663" s="8"/>
      <c r="C1663" s="8"/>
      <c r="D1663" s="8"/>
      <c r="E1663" s="8"/>
      <c r="F1663" s="8"/>
      <c r="G1663" s="8"/>
      <c r="H1663" s="8"/>
      <c r="I1663" s="10"/>
      <c r="J1663" s="10"/>
      <c r="K1663" s="18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</row>
    <row r="1664" ht="14.25" customHeight="1">
      <c r="A1664" s="9"/>
      <c r="B1664" s="8"/>
      <c r="C1664" s="8"/>
      <c r="D1664" s="8"/>
      <c r="E1664" s="8"/>
      <c r="F1664" s="8"/>
      <c r="G1664" s="8"/>
      <c r="H1664" s="8"/>
      <c r="I1664" s="10"/>
      <c r="J1664" s="10"/>
      <c r="K1664" s="18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</row>
    <row r="1665" ht="14.25" customHeight="1">
      <c r="A1665" s="9"/>
      <c r="B1665" s="8"/>
      <c r="C1665" s="8"/>
      <c r="D1665" s="8"/>
      <c r="E1665" s="8"/>
      <c r="F1665" s="8"/>
      <c r="G1665" s="8"/>
      <c r="H1665" s="8"/>
      <c r="I1665" s="10"/>
      <c r="J1665" s="10"/>
      <c r="K1665" s="18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</row>
    <row r="1666" ht="14.25" customHeight="1">
      <c r="A1666" s="9"/>
      <c r="B1666" s="8"/>
      <c r="C1666" s="8"/>
      <c r="D1666" s="8"/>
      <c r="E1666" s="8"/>
      <c r="F1666" s="8"/>
      <c r="G1666" s="8"/>
      <c r="H1666" s="8"/>
      <c r="I1666" s="10"/>
      <c r="J1666" s="10"/>
      <c r="K1666" s="18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</row>
    <row r="1667" ht="14.25" customHeight="1">
      <c r="A1667" s="9"/>
      <c r="B1667" s="8"/>
      <c r="C1667" s="8"/>
      <c r="D1667" s="8"/>
      <c r="E1667" s="8"/>
      <c r="F1667" s="8"/>
      <c r="G1667" s="8"/>
      <c r="H1667" s="8"/>
      <c r="I1667" s="10"/>
      <c r="J1667" s="10"/>
      <c r="K1667" s="18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</row>
    <row r="1668" ht="14.25" customHeight="1">
      <c r="A1668" s="9"/>
      <c r="B1668" s="8"/>
      <c r="C1668" s="8"/>
      <c r="D1668" s="8"/>
      <c r="E1668" s="8"/>
      <c r="F1668" s="8"/>
      <c r="G1668" s="8"/>
      <c r="H1668" s="8"/>
      <c r="I1668" s="10"/>
      <c r="J1668" s="10"/>
      <c r="K1668" s="18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</row>
    <row r="1669" ht="14.25" customHeight="1">
      <c r="A1669" s="9"/>
      <c r="B1669" s="8"/>
      <c r="C1669" s="8"/>
      <c r="D1669" s="8"/>
      <c r="E1669" s="8"/>
      <c r="F1669" s="8"/>
      <c r="G1669" s="8"/>
      <c r="H1669" s="8"/>
      <c r="I1669" s="10"/>
      <c r="J1669" s="10"/>
      <c r="K1669" s="18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</row>
    <row r="1670" ht="14.25" customHeight="1">
      <c r="A1670" s="9"/>
      <c r="B1670" s="8"/>
      <c r="C1670" s="8"/>
      <c r="D1670" s="8"/>
      <c r="E1670" s="8"/>
      <c r="F1670" s="8"/>
      <c r="G1670" s="8"/>
      <c r="H1670" s="8"/>
      <c r="I1670" s="10"/>
      <c r="J1670" s="10"/>
      <c r="K1670" s="18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</row>
    <row r="1671" ht="14.25" customHeight="1">
      <c r="A1671" s="9"/>
      <c r="B1671" s="8"/>
      <c r="C1671" s="8"/>
      <c r="D1671" s="8"/>
      <c r="E1671" s="8"/>
      <c r="F1671" s="8"/>
      <c r="G1671" s="8"/>
      <c r="H1671" s="8"/>
      <c r="I1671" s="10"/>
      <c r="J1671" s="10"/>
      <c r="K1671" s="18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</row>
    <row r="1672" ht="14.25" customHeight="1">
      <c r="A1672" s="9"/>
      <c r="B1672" s="8"/>
      <c r="C1672" s="8"/>
      <c r="D1672" s="8"/>
      <c r="E1672" s="8"/>
      <c r="F1672" s="8"/>
      <c r="G1672" s="8"/>
      <c r="H1672" s="8"/>
      <c r="I1672" s="10"/>
      <c r="J1672" s="10"/>
      <c r="K1672" s="18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</row>
    <row r="1673" ht="14.25" customHeight="1">
      <c r="A1673" s="9"/>
      <c r="B1673" s="8"/>
      <c r="C1673" s="8"/>
      <c r="D1673" s="8"/>
      <c r="E1673" s="8"/>
      <c r="F1673" s="8"/>
      <c r="G1673" s="8"/>
      <c r="H1673" s="8"/>
      <c r="I1673" s="10"/>
      <c r="J1673" s="10"/>
      <c r="K1673" s="18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</row>
    <row r="1674" ht="14.25" customHeight="1">
      <c r="A1674" s="9"/>
      <c r="B1674" s="8"/>
      <c r="C1674" s="8"/>
      <c r="D1674" s="8"/>
      <c r="E1674" s="8"/>
      <c r="F1674" s="8"/>
      <c r="G1674" s="8"/>
      <c r="H1674" s="8"/>
      <c r="I1674" s="10"/>
      <c r="J1674" s="10"/>
      <c r="K1674" s="18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</row>
    <row r="1675" ht="14.25" customHeight="1">
      <c r="A1675" s="9"/>
      <c r="B1675" s="8"/>
      <c r="C1675" s="8"/>
      <c r="D1675" s="8"/>
      <c r="E1675" s="8"/>
      <c r="F1675" s="8"/>
      <c r="G1675" s="8"/>
      <c r="H1675" s="8"/>
      <c r="I1675" s="10"/>
      <c r="J1675" s="10"/>
      <c r="K1675" s="18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</row>
    <row r="1676" ht="14.25" customHeight="1">
      <c r="A1676" s="9"/>
      <c r="B1676" s="8"/>
      <c r="C1676" s="8"/>
      <c r="D1676" s="8"/>
      <c r="E1676" s="8"/>
      <c r="F1676" s="8"/>
      <c r="G1676" s="8"/>
      <c r="H1676" s="8"/>
      <c r="I1676" s="10"/>
      <c r="J1676" s="10"/>
      <c r="K1676" s="18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</row>
    <row r="1677" ht="14.25" customHeight="1">
      <c r="A1677" s="9"/>
      <c r="B1677" s="8"/>
      <c r="C1677" s="8"/>
      <c r="D1677" s="8"/>
      <c r="E1677" s="8"/>
      <c r="F1677" s="8"/>
      <c r="G1677" s="8"/>
      <c r="H1677" s="8"/>
      <c r="I1677" s="10"/>
      <c r="J1677" s="10"/>
      <c r="K1677" s="18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</row>
    <row r="1678" ht="14.25" customHeight="1">
      <c r="A1678" s="9"/>
      <c r="B1678" s="8"/>
      <c r="C1678" s="8"/>
      <c r="D1678" s="8"/>
      <c r="E1678" s="8"/>
      <c r="F1678" s="8"/>
      <c r="G1678" s="8"/>
      <c r="H1678" s="8"/>
      <c r="I1678" s="10"/>
      <c r="J1678" s="10"/>
      <c r="K1678" s="18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</row>
    <row r="1679" ht="14.25" customHeight="1">
      <c r="A1679" s="9"/>
      <c r="B1679" s="8"/>
      <c r="C1679" s="8"/>
      <c r="D1679" s="8"/>
      <c r="E1679" s="8"/>
      <c r="F1679" s="8"/>
      <c r="G1679" s="8"/>
      <c r="H1679" s="8"/>
      <c r="I1679" s="10"/>
      <c r="J1679" s="10"/>
      <c r="K1679" s="18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</row>
    <row r="1680" ht="14.25" customHeight="1">
      <c r="A1680" s="9"/>
      <c r="B1680" s="8"/>
      <c r="C1680" s="8"/>
      <c r="D1680" s="8"/>
      <c r="E1680" s="8"/>
      <c r="F1680" s="8"/>
      <c r="G1680" s="8"/>
      <c r="H1680" s="8"/>
      <c r="I1680" s="10"/>
      <c r="J1680" s="10"/>
      <c r="K1680" s="18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</row>
    <row r="1681" ht="14.25" customHeight="1">
      <c r="A1681" s="9"/>
      <c r="B1681" s="8"/>
      <c r="C1681" s="8"/>
      <c r="D1681" s="8"/>
      <c r="E1681" s="8"/>
      <c r="F1681" s="8"/>
      <c r="G1681" s="8"/>
      <c r="H1681" s="8"/>
      <c r="I1681" s="10"/>
      <c r="J1681" s="10"/>
      <c r="K1681" s="18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</row>
    <row r="1682" ht="14.25" customHeight="1">
      <c r="A1682" s="9"/>
      <c r="B1682" s="8"/>
      <c r="C1682" s="8"/>
      <c r="D1682" s="8"/>
      <c r="E1682" s="8"/>
      <c r="F1682" s="8"/>
      <c r="G1682" s="8"/>
      <c r="H1682" s="8"/>
      <c r="I1682" s="10"/>
      <c r="J1682" s="10"/>
      <c r="K1682" s="18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</row>
    <row r="1683" ht="14.25" customHeight="1">
      <c r="A1683" s="9"/>
      <c r="B1683" s="8"/>
      <c r="C1683" s="8"/>
      <c r="D1683" s="8"/>
      <c r="E1683" s="8"/>
      <c r="F1683" s="8"/>
      <c r="G1683" s="8"/>
      <c r="H1683" s="8"/>
      <c r="I1683" s="10"/>
      <c r="J1683" s="10"/>
      <c r="K1683" s="18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</row>
    <row r="1684" ht="14.25" customHeight="1">
      <c r="A1684" s="9"/>
      <c r="B1684" s="8"/>
      <c r="C1684" s="8"/>
      <c r="D1684" s="8"/>
      <c r="E1684" s="8"/>
      <c r="F1684" s="8"/>
      <c r="G1684" s="8"/>
      <c r="H1684" s="8"/>
      <c r="I1684" s="10"/>
      <c r="J1684" s="10"/>
      <c r="K1684" s="18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</row>
    <row r="1685" ht="14.25" customHeight="1">
      <c r="A1685" s="9"/>
      <c r="B1685" s="8"/>
      <c r="C1685" s="8"/>
      <c r="D1685" s="8"/>
      <c r="E1685" s="8"/>
      <c r="F1685" s="8"/>
      <c r="G1685" s="8"/>
      <c r="H1685" s="8"/>
      <c r="I1685" s="10"/>
      <c r="J1685" s="10"/>
      <c r="K1685" s="18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</row>
    <row r="1686" ht="14.25" customHeight="1">
      <c r="A1686" s="9"/>
      <c r="B1686" s="8"/>
      <c r="C1686" s="8"/>
      <c r="D1686" s="8"/>
      <c r="E1686" s="8"/>
      <c r="F1686" s="8"/>
      <c r="G1686" s="8"/>
      <c r="H1686" s="8"/>
      <c r="I1686" s="10"/>
      <c r="J1686" s="10"/>
      <c r="K1686" s="18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</row>
    <row r="1687" ht="14.25" customHeight="1">
      <c r="A1687" s="9"/>
      <c r="B1687" s="8"/>
      <c r="C1687" s="8"/>
      <c r="D1687" s="8"/>
      <c r="E1687" s="8"/>
      <c r="F1687" s="8"/>
      <c r="G1687" s="8"/>
      <c r="H1687" s="8"/>
      <c r="I1687" s="10"/>
      <c r="J1687" s="10"/>
      <c r="K1687" s="18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</row>
    <row r="1688" ht="14.25" customHeight="1">
      <c r="A1688" s="9"/>
      <c r="B1688" s="8"/>
      <c r="C1688" s="8"/>
      <c r="D1688" s="8"/>
      <c r="E1688" s="8"/>
      <c r="F1688" s="8"/>
      <c r="G1688" s="8"/>
      <c r="H1688" s="8"/>
      <c r="I1688" s="10"/>
      <c r="J1688" s="10"/>
      <c r="K1688" s="18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</row>
    <row r="1689" ht="14.25" customHeight="1">
      <c r="A1689" s="9"/>
      <c r="B1689" s="8"/>
      <c r="C1689" s="8"/>
      <c r="D1689" s="8"/>
      <c r="E1689" s="8"/>
      <c r="F1689" s="8"/>
      <c r="G1689" s="8"/>
      <c r="H1689" s="8"/>
      <c r="I1689" s="10"/>
      <c r="J1689" s="10"/>
      <c r="K1689" s="18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</row>
    <row r="1690" ht="14.25" customHeight="1">
      <c r="A1690" s="9"/>
      <c r="B1690" s="8"/>
      <c r="C1690" s="8"/>
      <c r="D1690" s="8"/>
      <c r="E1690" s="8"/>
      <c r="F1690" s="8"/>
      <c r="G1690" s="8"/>
      <c r="H1690" s="8"/>
      <c r="I1690" s="10"/>
      <c r="J1690" s="10"/>
      <c r="K1690" s="18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</row>
    <row r="1691" ht="14.25" customHeight="1">
      <c r="A1691" s="9"/>
      <c r="B1691" s="8"/>
      <c r="C1691" s="8"/>
      <c r="D1691" s="8"/>
      <c r="E1691" s="8"/>
      <c r="F1691" s="8"/>
      <c r="G1691" s="8"/>
      <c r="H1691" s="8"/>
      <c r="I1691" s="10"/>
      <c r="J1691" s="10"/>
      <c r="K1691" s="18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</row>
    <row r="1692" ht="14.25" customHeight="1">
      <c r="A1692" s="9"/>
      <c r="B1692" s="8"/>
      <c r="C1692" s="8"/>
      <c r="D1692" s="8"/>
      <c r="E1692" s="8"/>
      <c r="F1692" s="8"/>
      <c r="G1692" s="8"/>
      <c r="H1692" s="8"/>
      <c r="I1692" s="10"/>
      <c r="J1692" s="10"/>
      <c r="K1692" s="18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</row>
    <row r="1693" ht="14.25" customHeight="1">
      <c r="A1693" s="9"/>
      <c r="B1693" s="8"/>
      <c r="C1693" s="8"/>
      <c r="D1693" s="8"/>
      <c r="E1693" s="8"/>
      <c r="F1693" s="8"/>
      <c r="G1693" s="8"/>
      <c r="H1693" s="8"/>
      <c r="I1693" s="10"/>
      <c r="J1693" s="10"/>
      <c r="K1693" s="18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</row>
    <row r="1694" ht="14.25" customHeight="1">
      <c r="A1694" s="9"/>
      <c r="B1694" s="8"/>
      <c r="C1694" s="8"/>
      <c r="D1694" s="8"/>
      <c r="E1694" s="8"/>
      <c r="F1694" s="8"/>
      <c r="G1694" s="8"/>
      <c r="H1694" s="8"/>
      <c r="I1694" s="10"/>
      <c r="J1694" s="10"/>
      <c r="K1694" s="18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</row>
    <row r="1695" ht="14.25" customHeight="1">
      <c r="A1695" s="9"/>
      <c r="B1695" s="8"/>
      <c r="C1695" s="8"/>
      <c r="D1695" s="8"/>
      <c r="E1695" s="8"/>
      <c r="F1695" s="8"/>
      <c r="G1695" s="8"/>
      <c r="H1695" s="8"/>
      <c r="I1695" s="10"/>
      <c r="J1695" s="10"/>
      <c r="K1695" s="18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</row>
    <row r="1696" ht="14.25" customHeight="1">
      <c r="A1696" s="9"/>
      <c r="B1696" s="8"/>
      <c r="C1696" s="8"/>
      <c r="D1696" s="8"/>
      <c r="E1696" s="8"/>
      <c r="F1696" s="8"/>
      <c r="G1696" s="8"/>
      <c r="H1696" s="8"/>
      <c r="I1696" s="10"/>
      <c r="J1696" s="10"/>
      <c r="K1696" s="18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</row>
    <row r="1697" ht="14.25" customHeight="1">
      <c r="A1697" s="9"/>
      <c r="B1697" s="8"/>
      <c r="C1697" s="8"/>
      <c r="D1697" s="8"/>
      <c r="E1697" s="8"/>
      <c r="F1697" s="8"/>
      <c r="G1697" s="8"/>
      <c r="H1697" s="8"/>
      <c r="I1697" s="10"/>
      <c r="J1697" s="10"/>
      <c r="K1697" s="18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</row>
    <row r="1698" ht="14.25" customHeight="1">
      <c r="A1698" s="9"/>
      <c r="B1698" s="8"/>
      <c r="C1698" s="8"/>
      <c r="D1698" s="8"/>
      <c r="E1698" s="8"/>
      <c r="F1698" s="8"/>
      <c r="G1698" s="8"/>
      <c r="H1698" s="8"/>
      <c r="I1698" s="10"/>
      <c r="J1698" s="10"/>
      <c r="K1698" s="18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</row>
    <row r="1699" ht="14.25" customHeight="1">
      <c r="A1699" s="9"/>
      <c r="B1699" s="8"/>
      <c r="C1699" s="8"/>
      <c r="D1699" s="8"/>
      <c r="E1699" s="8"/>
      <c r="F1699" s="8"/>
      <c r="G1699" s="8"/>
      <c r="H1699" s="8"/>
      <c r="I1699" s="10"/>
      <c r="J1699" s="10"/>
      <c r="K1699" s="18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</row>
    <row r="1700" ht="14.25" customHeight="1">
      <c r="A1700" s="9"/>
      <c r="B1700" s="8"/>
      <c r="C1700" s="8"/>
      <c r="D1700" s="8"/>
      <c r="E1700" s="8"/>
      <c r="F1700" s="8"/>
      <c r="G1700" s="8"/>
      <c r="H1700" s="8"/>
      <c r="I1700" s="10"/>
      <c r="J1700" s="10"/>
      <c r="K1700" s="18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</row>
    <row r="1701" ht="14.25" customHeight="1">
      <c r="A1701" s="9"/>
      <c r="B1701" s="8"/>
      <c r="C1701" s="8"/>
      <c r="D1701" s="8"/>
      <c r="E1701" s="8"/>
      <c r="F1701" s="8"/>
      <c r="G1701" s="8"/>
      <c r="H1701" s="8"/>
      <c r="I1701" s="10"/>
      <c r="J1701" s="10"/>
      <c r="K1701" s="18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</row>
    <row r="1702" ht="14.25" customHeight="1">
      <c r="A1702" s="9"/>
      <c r="B1702" s="8"/>
      <c r="C1702" s="8"/>
      <c r="D1702" s="8"/>
      <c r="E1702" s="8"/>
      <c r="F1702" s="8"/>
      <c r="G1702" s="8"/>
      <c r="H1702" s="8"/>
      <c r="I1702" s="10"/>
      <c r="J1702" s="10"/>
      <c r="K1702" s="18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</row>
    <row r="1703" ht="14.25" customHeight="1">
      <c r="A1703" s="9"/>
      <c r="B1703" s="8"/>
      <c r="C1703" s="8"/>
      <c r="D1703" s="8"/>
      <c r="E1703" s="8"/>
      <c r="F1703" s="8"/>
      <c r="G1703" s="8"/>
      <c r="H1703" s="8"/>
      <c r="I1703" s="10"/>
      <c r="J1703" s="10"/>
      <c r="K1703" s="18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</row>
    <row r="1704" ht="14.25" customHeight="1">
      <c r="A1704" s="9"/>
      <c r="B1704" s="8"/>
      <c r="C1704" s="8"/>
      <c r="D1704" s="8"/>
      <c r="E1704" s="8"/>
      <c r="F1704" s="8"/>
      <c r="G1704" s="8"/>
      <c r="H1704" s="8"/>
      <c r="I1704" s="10"/>
      <c r="J1704" s="10"/>
      <c r="K1704" s="18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</row>
    <row r="1705" ht="14.25" customHeight="1">
      <c r="A1705" s="9"/>
      <c r="B1705" s="8"/>
      <c r="C1705" s="8"/>
      <c r="D1705" s="8"/>
      <c r="E1705" s="8"/>
      <c r="F1705" s="8"/>
      <c r="G1705" s="8"/>
      <c r="H1705" s="8"/>
      <c r="I1705" s="10"/>
      <c r="J1705" s="10"/>
      <c r="K1705" s="18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</row>
    <row r="1706" ht="14.25" customHeight="1">
      <c r="A1706" s="9"/>
      <c r="B1706" s="8"/>
      <c r="C1706" s="8"/>
      <c r="D1706" s="8"/>
      <c r="E1706" s="8"/>
      <c r="F1706" s="8"/>
      <c r="G1706" s="8"/>
      <c r="H1706" s="8"/>
      <c r="I1706" s="10"/>
      <c r="J1706" s="10"/>
      <c r="K1706" s="18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</row>
    <row r="1707" ht="14.25" customHeight="1">
      <c r="A1707" s="9"/>
      <c r="B1707" s="8"/>
      <c r="C1707" s="8"/>
      <c r="D1707" s="8"/>
      <c r="E1707" s="8"/>
      <c r="F1707" s="8"/>
      <c r="G1707" s="8"/>
      <c r="H1707" s="8"/>
      <c r="I1707" s="10"/>
      <c r="J1707" s="10"/>
      <c r="K1707" s="18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</row>
    <row r="1708" ht="14.25" customHeight="1">
      <c r="A1708" s="9"/>
      <c r="B1708" s="8"/>
      <c r="C1708" s="8"/>
      <c r="D1708" s="8"/>
      <c r="E1708" s="8"/>
      <c r="F1708" s="8"/>
      <c r="G1708" s="8"/>
      <c r="H1708" s="8"/>
      <c r="I1708" s="10"/>
      <c r="J1708" s="10"/>
      <c r="K1708" s="18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</row>
    <row r="1709" ht="14.25" customHeight="1">
      <c r="A1709" s="9"/>
      <c r="B1709" s="8"/>
      <c r="C1709" s="8"/>
      <c r="D1709" s="8"/>
      <c r="E1709" s="8"/>
      <c r="F1709" s="8"/>
      <c r="G1709" s="8"/>
      <c r="H1709" s="8"/>
      <c r="I1709" s="10"/>
      <c r="J1709" s="10"/>
      <c r="K1709" s="18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</row>
    <row r="1710" ht="14.25" customHeight="1">
      <c r="A1710" s="9"/>
      <c r="B1710" s="8"/>
      <c r="C1710" s="8"/>
      <c r="D1710" s="8"/>
      <c r="E1710" s="8"/>
      <c r="F1710" s="8"/>
      <c r="G1710" s="8"/>
      <c r="H1710" s="8"/>
      <c r="I1710" s="10"/>
      <c r="J1710" s="10"/>
      <c r="K1710" s="18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</row>
    <row r="1711" ht="14.25" customHeight="1">
      <c r="A1711" s="9"/>
      <c r="B1711" s="8"/>
      <c r="C1711" s="8"/>
      <c r="D1711" s="8"/>
      <c r="E1711" s="8"/>
      <c r="F1711" s="8"/>
      <c r="G1711" s="8"/>
      <c r="H1711" s="8"/>
      <c r="I1711" s="10"/>
      <c r="J1711" s="10"/>
      <c r="K1711" s="18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</row>
    <row r="1712" ht="14.25" customHeight="1">
      <c r="A1712" s="9"/>
      <c r="B1712" s="8"/>
      <c r="C1712" s="8"/>
      <c r="D1712" s="8"/>
      <c r="E1712" s="8"/>
      <c r="F1712" s="8"/>
      <c r="G1712" s="8"/>
      <c r="H1712" s="8"/>
      <c r="I1712" s="10"/>
      <c r="J1712" s="10"/>
      <c r="K1712" s="18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</row>
    <row r="1713" ht="14.25" customHeight="1">
      <c r="A1713" s="9"/>
      <c r="B1713" s="8"/>
      <c r="C1713" s="8"/>
      <c r="D1713" s="8"/>
      <c r="E1713" s="8"/>
      <c r="F1713" s="8"/>
      <c r="G1713" s="8"/>
      <c r="H1713" s="8"/>
      <c r="I1713" s="10"/>
      <c r="J1713" s="10"/>
      <c r="K1713" s="18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</row>
    <row r="1714" ht="14.25" customHeight="1">
      <c r="A1714" s="9"/>
      <c r="B1714" s="8"/>
      <c r="C1714" s="8"/>
      <c r="D1714" s="8"/>
      <c r="E1714" s="8"/>
      <c r="F1714" s="8"/>
      <c r="G1714" s="8"/>
      <c r="H1714" s="8"/>
      <c r="I1714" s="10"/>
      <c r="J1714" s="10"/>
      <c r="K1714" s="18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</row>
    <row r="1715" ht="14.25" customHeight="1">
      <c r="A1715" s="9"/>
      <c r="B1715" s="8"/>
      <c r="C1715" s="8"/>
      <c r="D1715" s="8"/>
      <c r="E1715" s="8"/>
      <c r="F1715" s="8"/>
      <c r="G1715" s="8"/>
      <c r="H1715" s="8"/>
      <c r="I1715" s="10"/>
      <c r="J1715" s="10"/>
      <c r="K1715" s="18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</row>
    <row r="1716" ht="14.25" customHeight="1">
      <c r="A1716" s="9"/>
      <c r="B1716" s="8"/>
      <c r="C1716" s="8"/>
      <c r="D1716" s="8"/>
      <c r="E1716" s="8"/>
      <c r="F1716" s="8"/>
      <c r="G1716" s="8"/>
      <c r="H1716" s="8"/>
      <c r="I1716" s="10"/>
      <c r="J1716" s="10"/>
      <c r="K1716" s="18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</row>
    <row r="1717" ht="14.25" customHeight="1">
      <c r="A1717" s="9"/>
      <c r="B1717" s="8"/>
      <c r="C1717" s="8"/>
      <c r="D1717" s="8"/>
      <c r="E1717" s="8"/>
      <c r="F1717" s="8"/>
      <c r="G1717" s="8"/>
      <c r="H1717" s="8"/>
      <c r="I1717" s="10"/>
      <c r="J1717" s="10"/>
      <c r="K1717" s="18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</row>
    <row r="1718" ht="14.25" customHeight="1">
      <c r="A1718" s="9"/>
      <c r="B1718" s="8"/>
      <c r="C1718" s="8"/>
      <c r="D1718" s="8"/>
      <c r="E1718" s="8"/>
      <c r="F1718" s="8"/>
      <c r="G1718" s="8"/>
      <c r="H1718" s="8"/>
      <c r="I1718" s="10"/>
      <c r="J1718" s="10"/>
      <c r="K1718" s="18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</row>
    <row r="1719" ht="14.25" customHeight="1">
      <c r="A1719" s="9"/>
      <c r="B1719" s="8"/>
      <c r="C1719" s="8"/>
      <c r="D1719" s="8"/>
      <c r="E1719" s="8"/>
      <c r="F1719" s="8"/>
      <c r="G1719" s="8"/>
      <c r="H1719" s="8"/>
      <c r="I1719" s="10"/>
      <c r="J1719" s="10"/>
      <c r="K1719" s="18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</row>
    <row r="1720" ht="14.25" customHeight="1">
      <c r="A1720" s="9"/>
      <c r="B1720" s="8"/>
      <c r="C1720" s="8"/>
      <c r="D1720" s="8"/>
      <c r="E1720" s="8"/>
      <c r="F1720" s="8"/>
      <c r="G1720" s="8"/>
      <c r="H1720" s="8"/>
      <c r="I1720" s="10"/>
      <c r="J1720" s="10"/>
      <c r="K1720" s="18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</row>
    <row r="1721" ht="14.25" customHeight="1">
      <c r="A1721" s="9"/>
      <c r="B1721" s="8"/>
      <c r="C1721" s="8"/>
      <c r="D1721" s="8"/>
      <c r="E1721" s="8"/>
      <c r="F1721" s="8"/>
      <c r="G1721" s="8"/>
      <c r="H1721" s="8"/>
      <c r="I1721" s="10"/>
      <c r="J1721" s="10"/>
      <c r="K1721" s="18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</row>
    <row r="1722" ht="14.25" customHeight="1">
      <c r="A1722" s="9"/>
      <c r="B1722" s="8"/>
      <c r="C1722" s="8"/>
      <c r="D1722" s="8"/>
      <c r="E1722" s="8"/>
      <c r="F1722" s="8"/>
      <c r="G1722" s="8"/>
      <c r="H1722" s="8"/>
      <c r="I1722" s="10"/>
      <c r="J1722" s="10"/>
      <c r="K1722" s="18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</row>
    <row r="1723" ht="14.25" customHeight="1">
      <c r="A1723" s="9"/>
      <c r="B1723" s="8"/>
      <c r="C1723" s="8"/>
      <c r="D1723" s="8"/>
      <c r="E1723" s="8"/>
      <c r="F1723" s="8"/>
      <c r="G1723" s="8"/>
      <c r="H1723" s="8"/>
      <c r="I1723" s="10"/>
      <c r="J1723" s="10"/>
      <c r="K1723" s="18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</row>
    <row r="1724" ht="14.25" customHeight="1">
      <c r="A1724" s="9"/>
      <c r="B1724" s="8"/>
      <c r="C1724" s="8"/>
      <c r="D1724" s="8"/>
      <c r="E1724" s="8"/>
      <c r="F1724" s="8"/>
      <c r="G1724" s="8"/>
      <c r="H1724" s="8"/>
      <c r="I1724" s="10"/>
      <c r="J1724" s="10"/>
      <c r="K1724" s="18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</row>
    <row r="1725" ht="14.25" customHeight="1">
      <c r="A1725" s="9"/>
      <c r="B1725" s="8"/>
      <c r="C1725" s="8"/>
      <c r="D1725" s="8"/>
      <c r="E1725" s="8"/>
      <c r="F1725" s="8"/>
      <c r="G1725" s="8"/>
      <c r="H1725" s="8"/>
      <c r="I1725" s="10"/>
      <c r="J1725" s="10"/>
      <c r="K1725" s="18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</row>
    <row r="1726" ht="14.25" customHeight="1">
      <c r="A1726" s="9"/>
      <c r="B1726" s="8"/>
      <c r="C1726" s="8"/>
      <c r="D1726" s="8"/>
      <c r="E1726" s="8"/>
      <c r="F1726" s="8"/>
      <c r="G1726" s="8"/>
      <c r="H1726" s="8"/>
      <c r="I1726" s="10"/>
      <c r="J1726" s="10"/>
      <c r="K1726" s="18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</row>
    <row r="1727" ht="14.25" customHeight="1">
      <c r="A1727" s="9"/>
      <c r="B1727" s="8"/>
      <c r="C1727" s="8"/>
      <c r="D1727" s="8"/>
      <c r="E1727" s="8"/>
      <c r="F1727" s="8"/>
      <c r="G1727" s="8"/>
      <c r="H1727" s="8"/>
      <c r="I1727" s="10"/>
      <c r="J1727" s="10"/>
      <c r="K1727" s="18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</row>
    <row r="1728" ht="14.25" customHeight="1">
      <c r="A1728" s="9"/>
      <c r="B1728" s="8"/>
      <c r="C1728" s="8"/>
      <c r="D1728" s="8"/>
      <c r="E1728" s="8"/>
      <c r="F1728" s="8"/>
      <c r="G1728" s="8"/>
      <c r="H1728" s="8"/>
      <c r="I1728" s="10"/>
      <c r="J1728" s="10"/>
      <c r="K1728" s="18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</row>
    <row r="1729" ht="14.25" customHeight="1">
      <c r="A1729" s="9"/>
      <c r="B1729" s="8"/>
      <c r="C1729" s="8"/>
      <c r="D1729" s="8"/>
      <c r="E1729" s="8"/>
      <c r="F1729" s="8"/>
      <c r="G1729" s="8"/>
      <c r="H1729" s="8"/>
      <c r="I1729" s="10"/>
      <c r="J1729" s="10"/>
      <c r="K1729" s="18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</row>
    <row r="1730" ht="14.25" customHeight="1">
      <c r="A1730" s="9"/>
      <c r="B1730" s="8"/>
      <c r="C1730" s="8"/>
      <c r="D1730" s="8"/>
      <c r="E1730" s="8"/>
      <c r="F1730" s="8"/>
      <c r="G1730" s="8"/>
      <c r="H1730" s="8"/>
      <c r="I1730" s="10"/>
      <c r="J1730" s="10"/>
      <c r="K1730" s="18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</row>
    <row r="1731" ht="14.25" customHeight="1">
      <c r="A1731" s="9"/>
      <c r="B1731" s="8"/>
      <c r="C1731" s="8"/>
      <c r="D1731" s="8"/>
      <c r="E1731" s="8"/>
      <c r="F1731" s="8"/>
      <c r="G1731" s="8"/>
      <c r="H1731" s="8"/>
      <c r="I1731" s="10"/>
      <c r="J1731" s="10"/>
      <c r="K1731" s="18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</row>
    <row r="1732" ht="14.25" customHeight="1">
      <c r="A1732" s="9"/>
      <c r="B1732" s="8"/>
      <c r="C1732" s="8"/>
      <c r="D1732" s="8"/>
      <c r="E1732" s="8"/>
      <c r="F1732" s="8"/>
      <c r="G1732" s="8"/>
      <c r="H1732" s="8"/>
      <c r="I1732" s="10"/>
      <c r="J1732" s="10"/>
      <c r="K1732" s="18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</row>
    <row r="1733" ht="14.25" customHeight="1">
      <c r="A1733" s="9"/>
      <c r="B1733" s="8"/>
      <c r="C1733" s="8"/>
      <c r="D1733" s="8"/>
      <c r="E1733" s="8"/>
      <c r="F1733" s="8"/>
      <c r="G1733" s="8"/>
      <c r="H1733" s="8"/>
      <c r="I1733" s="10"/>
      <c r="J1733" s="10"/>
      <c r="K1733" s="18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</row>
    <row r="1734" ht="14.25" customHeight="1">
      <c r="A1734" s="9"/>
      <c r="B1734" s="8"/>
      <c r="C1734" s="8"/>
      <c r="D1734" s="8"/>
      <c r="E1734" s="8"/>
      <c r="F1734" s="8"/>
      <c r="G1734" s="8"/>
      <c r="H1734" s="8"/>
      <c r="I1734" s="10"/>
      <c r="J1734" s="10"/>
      <c r="K1734" s="18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</row>
    <row r="1735" ht="14.25" customHeight="1">
      <c r="A1735" s="9"/>
      <c r="B1735" s="8"/>
      <c r="C1735" s="8"/>
      <c r="D1735" s="8"/>
      <c r="E1735" s="8"/>
      <c r="F1735" s="8"/>
      <c r="G1735" s="8"/>
      <c r="H1735" s="8"/>
      <c r="I1735" s="10"/>
      <c r="J1735" s="10"/>
      <c r="K1735" s="18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</row>
    <row r="1736" ht="14.25" customHeight="1">
      <c r="A1736" s="9"/>
      <c r="B1736" s="8"/>
      <c r="C1736" s="8"/>
      <c r="D1736" s="8"/>
      <c r="E1736" s="8"/>
      <c r="F1736" s="8"/>
      <c r="G1736" s="8"/>
      <c r="H1736" s="8"/>
      <c r="I1736" s="10"/>
      <c r="J1736" s="10"/>
      <c r="K1736" s="18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</row>
    <row r="1737" ht="14.25" customHeight="1">
      <c r="A1737" s="9"/>
      <c r="B1737" s="8"/>
      <c r="C1737" s="8"/>
      <c r="D1737" s="8"/>
      <c r="E1737" s="8"/>
      <c r="F1737" s="8"/>
      <c r="G1737" s="8"/>
      <c r="H1737" s="8"/>
      <c r="I1737" s="10"/>
      <c r="J1737" s="10"/>
      <c r="K1737" s="18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</row>
    <row r="1738" ht="14.25" customHeight="1">
      <c r="A1738" s="9"/>
      <c r="B1738" s="8"/>
      <c r="C1738" s="8"/>
      <c r="D1738" s="8"/>
      <c r="E1738" s="8"/>
      <c r="F1738" s="8"/>
      <c r="G1738" s="8"/>
      <c r="H1738" s="8"/>
      <c r="I1738" s="10"/>
      <c r="J1738" s="10"/>
      <c r="K1738" s="18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</row>
    <row r="1739" ht="14.25" customHeight="1">
      <c r="A1739" s="9"/>
      <c r="B1739" s="8"/>
      <c r="C1739" s="8"/>
      <c r="D1739" s="8"/>
      <c r="E1739" s="8"/>
      <c r="F1739" s="8"/>
      <c r="G1739" s="8"/>
      <c r="H1739" s="8"/>
      <c r="I1739" s="10"/>
      <c r="J1739" s="10"/>
      <c r="K1739" s="18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</row>
    <row r="1740" ht="14.25" customHeight="1">
      <c r="A1740" s="9"/>
      <c r="B1740" s="8"/>
      <c r="C1740" s="8"/>
      <c r="D1740" s="8"/>
      <c r="E1740" s="8"/>
      <c r="F1740" s="8"/>
      <c r="G1740" s="8"/>
      <c r="H1740" s="8"/>
      <c r="I1740" s="10"/>
      <c r="J1740" s="10"/>
      <c r="K1740" s="18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</row>
    <row r="1741" ht="14.25" customHeight="1">
      <c r="A1741" s="9"/>
      <c r="B1741" s="8"/>
      <c r="C1741" s="8"/>
      <c r="D1741" s="8"/>
      <c r="E1741" s="8"/>
      <c r="F1741" s="8"/>
      <c r="G1741" s="8"/>
      <c r="H1741" s="8"/>
      <c r="I1741" s="10"/>
      <c r="J1741" s="10"/>
      <c r="K1741" s="18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</row>
    <row r="1742" ht="14.25" customHeight="1">
      <c r="A1742" s="9"/>
      <c r="B1742" s="8"/>
      <c r="C1742" s="8"/>
      <c r="D1742" s="8"/>
      <c r="E1742" s="8"/>
      <c r="F1742" s="8"/>
      <c r="G1742" s="8"/>
      <c r="H1742" s="8"/>
      <c r="I1742" s="10"/>
      <c r="J1742" s="10"/>
      <c r="K1742" s="18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</row>
    <row r="1743" ht="14.25" customHeight="1">
      <c r="A1743" s="9"/>
      <c r="B1743" s="8"/>
      <c r="C1743" s="8"/>
      <c r="D1743" s="8"/>
      <c r="E1743" s="8"/>
      <c r="F1743" s="8"/>
      <c r="G1743" s="8"/>
      <c r="H1743" s="8"/>
      <c r="I1743" s="10"/>
      <c r="J1743" s="10"/>
      <c r="K1743" s="18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</row>
    <row r="1744" ht="14.25" customHeight="1">
      <c r="A1744" s="9"/>
      <c r="B1744" s="8"/>
      <c r="C1744" s="8"/>
      <c r="D1744" s="8"/>
      <c r="E1744" s="8"/>
      <c r="F1744" s="8"/>
      <c r="G1744" s="8"/>
      <c r="H1744" s="8"/>
      <c r="I1744" s="10"/>
      <c r="J1744" s="10"/>
      <c r="K1744" s="18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</row>
    <row r="1745" ht="14.25" customHeight="1">
      <c r="A1745" s="9"/>
      <c r="B1745" s="8"/>
      <c r="C1745" s="8"/>
      <c r="D1745" s="8"/>
      <c r="E1745" s="8"/>
      <c r="F1745" s="8"/>
      <c r="G1745" s="8"/>
      <c r="H1745" s="8"/>
      <c r="I1745" s="10"/>
      <c r="J1745" s="10"/>
      <c r="K1745" s="18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</row>
    <row r="1746" ht="14.25" customHeight="1">
      <c r="A1746" s="9"/>
      <c r="B1746" s="8"/>
      <c r="C1746" s="8"/>
      <c r="D1746" s="8"/>
      <c r="E1746" s="8"/>
      <c r="F1746" s="8"/>
      <c r="G1746" s="8"/>
      <c r="H1746" s="8"/>
      <c r="I1746" s="10"/>
      <c r="J1746" s="10"/>
      <c r="K1746" s="18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</row>
    <row r="1747" ht="14.25" customHeight="1">
      <c r="A1747" s="9"/>
      <c r="B1747" s="8"/>
      <c r="C1747" s="8"/>
      <c r="D1747" s="8"/>
      <c r="E1747" s="8"/>
      <c r="F1747" s="8"/>
      <c r="G1747" s="8"/>
      <c r="H1747" s="8"/>
      <c r="I1747" s="10"/>
      <c r="J1747" s="10"/>
      <c r="K1747" s="18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</row>
    <row r="1748" ht="14.25" customHeight="1">
      <c r="A1748" s="9"/>
      <c r="B1748" s="8"/>
      <c r="C1748" s="8"/>
      <c r="D1748" s="8"/>
      <c r="E1748" s="8"/>
      <c r="F1748" s="8"/>
      <c r="G1748" s="8"/>
      <c r="H1748" s="8"/>
      <c r="I1748" s="10"/>
      <c r="J1748" s="10"/>
      <c r="K1748" s="18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</row>
    <row r="1749" ht="14.25" customHeight="1">
      <c r="A1749" s="9"/>
      <c r="B1749" s="8"/>
      <c r="C1749" s="8"/>
      <c r="D1749" s="8"/>
      <c r="E1749" s="8"/>
      <c r="F1749" s="8"/>
      <c r="G1749" s="8"/>
      <c r="H1749" s="8"/>
      <c r="I1749" s="10"/>
      <c r="J1749" s="10"/>
      <c r="K1749" s="18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</row>
    <row r="1750" ht="14.25" customHeight="1">
      <c r="A1750" s="9"/>
      <c r="B1750" s="8"/>
      <c r="C1750" s="8"/>
      <c r="D1750" s="8"/>
      <c r="E1750" s="8"/>
      <c r="F1750" s="8"/>
      <c r="G1750" s="8"/>
      <c r="H1750" s="8"/>
      <c r="I1750" s="10"/>
      <c r="J1750" s="10"/>
      <c r="K1750" s="18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</row>
    <row r="1751" ht="14.25" customHeight="1">
      <c r="A1751" s="9"/>
      <c r="B1751" s="8"/>
      <c r="C1751" s="8"/>
      <c r="D1751" s="8"/>
      <c r="E1751" s="8"/>
      <c r="F1751" s="8"/>
      <c r="G1751" s="8"/>
      <c r="H1751" s="8"/>
      <c r="I1751" s="10"/>
      <c r="J1751" s="10"/>
      <c r="K1751" s="18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</row>
    <row r="1752" ht="14.25" customHeight="1">
      <c r="A1752" s="9"/>
      <c r="B1752" s="8"/>
      <c r="C1752" s="8"/>
      <c r="D1752" s="8"/>
      <c r="E1752" s="8"/>
      <c r="F1752" s="8"/>
      <c r="G1752" s="8"/>
      <c r="H1752" s="8"/>
      <c r="I1752" s="10"/>
      <c r="J1752" s="10"/>
      <c r="K1752" s="18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</row>
    <row r="1753" ht="14.25" customHeight="1">
      <c r="A1753" s="9"/>
      <c r="B1753" s="8"/>
      <c r="C1753" s="8"/>
      <c r="D1753" s="8"/>
      <c r="E1753" s="8"/>
      <c r="F1753" s="8"/>
      <c r="G1753" s="8"/>
      <c r="H1753" s="8"/>
      <c r="I1753" s="10"/>
      <c r="J1753" s="10"/>
      <c r="K1753" s="18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</row>
    <row r="1754" ht="14.25" customHeight="1">
      <c r="A1754" s="9"/>
      <c r="B1754" s="8"/>
      <c r="C1754" s="8"/>
      <c r="D1754" s="8"/>
      <c r="E1754" s="8"/>
      <c r="F1754" s="8"/>
      <c r="G1754" s="8"/>
      <c r="H1754" s="8"/>
      <c r="I1754" s="10"/>
      <c r="J1754" s="10"/>
      <c r="K1754" s="18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</row>
    <row r="1755" ht="14.25" customHeight="1">
      <c r="A1755" s="9"/>
      <c r="B1755" s="8"/>
      <c r="C1755" s="8"/>
      <c r="D1755" s="8"/>
      <c r="E1755" s="8"/>
      <c r="F1755" s="8"/>
      <c r="G1755" s="8"/>
      <c r="H1755" s="8"/>
      <c r="I1755" s="10"/>
      <c r="J1755" s="10"/>
      <c r="K1755" s="18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</row>
    <row r="1756" ht="14.25" customHeight="1">
      <c r="A1756" s="9"/>
      <c r="B1756" s="8"/>
      <c r="C1756" s="8"/>
      <c r="D1756" s="8"/>
      <c r="E1756" s="8"/>
      <c r="F1756" s="8"/>
      <c r="G1756" s="8"/>
      <c r="H1756" s="8"/>
      <c r="I1756" s="10"/>
      <c r="J1756" s="10"/>
      <c r="K1756" s="18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</row>
    <row r="1757" ht="14.25" customHeight="1">
      <c r="A1757" s="9"/>
      <c r="B1757" s="8"/>
      <c r="C1757" s="8"/>
      <c r="D1757" s="8"/>
      <c r="E1757" s="8"/>
      <c r="F1757" s="8"/>
      <c r="G1757" s="8"/>
      <c r="H1757" s="8"/>
      <c r="I1757" s="10"/>
      <c r="J1757" s="10"/>
      <c r="K1757" s="18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</row>
    <row r="1758" ht="14.25" customHeight="1">
      <c r="A1758" s="9"/>
      <c r="B1758" s="8"/>
      <c r="C1758" s="8"/>
      <c r="D1758" s="8"/>
      <c r="E1758" s="8"/>
      <c r="F1758" s="8"/>
      <c r="G1758" s="8"/>
      <c r="H1758" s="8"/>
      <c r="I1758" s="10"/>
      <c r="J1758" s="10"/>
      <c r="K1758" s="18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</row>
    <row r="1759" ht="14.25" customHeight="1">
      <c r="A1759" s="9"/>
      <c r="B1759" s="8"/>
      <c r="C1759" s="8"/>
      <c r="D1759" s="8"/>
      <c r="E1759" s="8"/>
      <c r="F1759" s="8"/>
      <c r="G1759" s="8"/>
      <c r="H1759" s="8"/>
      <c r="I1759" s="10"/>
      <c r="J1759" s="10"/>
      <c r="K1759" s="18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</row>
    <row r="1760" ht="14.25" customHeight="1">
      <c r="A1760" s="9"/>
      <c r="B1760" s="8"/>
      <c r="C1760" s="8"/>
      <c r="D1760" s="8"/>
      <c r="E1760" s="8"/>
      <c r="F1760" s="8"/>
      <c r="G1760" s="8"/>
      <c r="H1760" s="8"/>
      <c r="I1760" s="10"/>
      <c r="J1760" s="10"/>
      <c r="K1760" s="18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</row>
    <row r="1761" ht="14.25" customHeight="1">
      <c r="A1761" s="9"/>
      <c r="B1761" s="8"/>
      <c r="C1761" s="8"/>
      <c r="D1761" s="8"/>
      <c r="E1761" s="8"/>
      <c r="F1761" s="8"/>
      <c r="G1761" s="8"/>
      <c r="H1761" s="8"/>
      <c r="I1761" s="10"/>
      <c r="J1761" s="10"/>
      <c r="K1761" s="18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</row>
    <row r="1762" ht="14.25" customHeight="1">
      <c r="A1762" s="9"/>
      <c r="B1762" s="8"/>
      <c r="C1762" s="8"/>
      <c r="D1762" s="8"/>
      <c r="E1762" s="8"/>
      <c r="F1762" s="8"/>
      <c r="G1762" s="8"/>
      <c r="H1762" s="8"/>
      <c r="I1762" s="10"/>
      <c r="J1762" s="10"/>
      <c r="K1762" s="18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</row>
    <row r="1763" ht="14.25" customHeight="1">
      <c r="A1763" s="9"/>
      <c r="B1763" s="8"/>
      <c r="C1763" s="8"/>
      <c r="D1763" s="8"/>
      <c r="E1763" s="8"/>
      <c r="F1763" s="8"/>
      <c r="G1763" s="8"/>
      <c r="H1763" s="8"/>
      <c r="I1763" s="10"/>
      <c r="J1763" s="10"/>
      <c r="K1763" s="18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</row>
    <row r="1764" ht="14.25" customHeight="1">
      <c r="A1764" s="9"/>
      <c r="B1764" s="8"/>
      <c r="C1764" s="8"/>
      <c r="D1764" s="8"/>
      <c r="E1764" s="8"/>
      <c r="F1764" s="8"/>
      <c r="G1764" s="8"/>
      <c r="H1764" s="8"/>
      <c r="I1764" s="10"/>
      <c r="J1764" s="10"/>
      <c r="K1764" s="18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</row>
    <row r="1765" ht="14.25" customHeight="1">
      <c r="A1765" s="9"/>
      <c r="B1765" s="8"/>
      <c r="C1765" s="8"/>
      <c r="D1765" s="8"/>
      <c r="E1765" s="8"/>
      <c r="F1765" s="8"/>
      <c r="G1765" s="8"/>
      <c r="H1765" s="8"/>
      <c r="I1765" s="10"/>
      <c r="J1765" s="10"/>
      <c r="K1765" s="18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</row>
    <row r="1766" ht="14.25" customHeight="1">
      <c r="A1766" s="9"/>
      <c r="B1766" s="8"/>
      <c r="C1766" s="8"/>
      <c r="D1766" s="8"/>
      <c r="E1766" s="8"/>
      <c r="F1766" s="8"/>
      <c r="G1766" s="8"/>
      <c r="H1766" s="8"/>
      <c r="I1766" s="10"/>
      <c r="J1766" s="10"/>
      <c r="K1766" s="18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</row>
    <row r="1767" ht="14.25" customHeight="1">
      <c r="A1767" s="9"/>
      <c r="B1767" s="8"/>
      <c r="C1767" s="8"/>
      <c r="D1767" s="8"/>
      <c r="E1767" s="8"/>
      <c r="F1767" s="8"/>
      <c r="G1767" s="8"/>
      <c r="H1767" s="8"/>
      <c r="I1767" s="10"/>
      <c r="J1767" s="10"/>
      <c r="K1767" s="18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</row>
    <row r="1768" ht="14.25" customHeight="1">
      <c r="A1768" s="9"/>
      <c r="B1768" s="8"/>
      <c r="C1768" s="8"/>
      <c r="D1768" s="8"/>
      <c r="E1768" s="8"/>
      <c r="F1768" s="8"/>
      <c r="G1768" s="8"/>
      <c r="H1768" s="8"/>
      <c r="I1768" s="10"/>
      <c r="J1768" s="10"/>
      <c r="K1768" s="18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</row>
    <row r="1769" ht="14.25" customHeight="1">
      <c r="A1769" s="9"/>
      <c r="B1769" s="8"/>
      <c r="C1769" s="8"/>
      <c r="D1769" s="8"/>
      <c r="E1769" s="8"/>
      <c r="F1769" s="8"/>
      <c r="G1769" s="8"/>
      <c r="H1769" s="8"/>
      <c r="I1769" s="10"/>
      <c r="J1769" s="10"/>
      <c r="K1769" s="18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</row>
    <row r="1770" ht="14.25" customHeight="1">
      <c r="A1770" s="9"/>
      <c r="B1770" s="8"/>
      <c r="C1770" s="8"/>
      <c r="D1770" s="8"/>
      <c r="E1770" s="8"/>
      <c r="F1770" s="8"/>
      <c r="G1770" s="8"/>
      <c r="H1770" s="8"/>
      <c r="I1770" s="10"/>
      <c r="J1770" s="10"/>
      <c r="K1770" s="18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</row>
    <row r="1771" ht="14.25" customHeight="1">
      <c r="A1771" s="9"/>
      <c r="B1771" s="8"/>
      <c r="C1771" s="8"/>
      <c r="D1771" s="8"/>
      <c r="E1771" s="8"/>
      <c r="F1771" s="8"/>
      <c r="G1771" s="8"/>
      <c r="H1771" s="8"/>
      <c r="I1771" s="10"/>
      <c r="J1771" s="10"/>
      <c r="K1771" s="18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</row>
    <row r="1772" ht="14.25" customHeight="1">
      <c r="A1772" s="9"/>
      <c r="B1772" s="8"/>
      <c r="C1772" s="8"/>
      <c r="D1772" s="8"/>
      <c r="E1772" s="8"/>
      <c r="F1772" s="8"/>
      <c r="G1772" s="8"/>
      <c r="H1772" s="8"/>
      <c r="I1772" s="10"/>
      <c r="J1772" s="10"/>
      <c r="K1772" s="18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</row>
    <row r="1773" ht="14.25" customHeight="1">
      <c r="A1773" s="9"/>
      <c r="B1773" s="8"/>
      <c r="C1773" s="8"/>
      <c r="D1773" s="8"/>
      <c r="E1773" s="8"/>
      <c r="F1773" s="8"/>
      <c r="G1773" s="8"/>
      <c r="H1773" s="8"/>
      <c r="I1773" s="10"/>
      <c r="J1773" s="10"/>
      <c r="K1773" s="18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</row>
    <row r="1774" ht="14.25" customHeight="1">
      <c r="A1774" s="9"/>
      <c r="B1774" s="8"/>
      <c r="C1774" s="8"/>
      <c r="D1774" s="8"/>
      <c r="E1774" s="8"/>
      <c r="F1774" s="8"/>
      <c r="G1774" s="8"/>
      <c r="H1774" s="8"/>
      <c r="I1774" s="10"/>
      <c r="J1774" s="10"/>
      <c r="K1774" s="18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</row>
    <row r="1775" ht="14.25" customHeight="1">
      <c r="A1775" s="9"/>
      <c r="B1775" s="8"/>
      <c r="C1775" s="8"/>
      <c r="D1775" s="8"/>
      <c r="E1775" s="8"/>
      <c r="F1775" s="8"/>
      <c r="G1775" s="8"/>
      <c r="H1775" s="8"/>
      <c r="I1775" s="10"/>
      <c r="J1775" s="10"/>
      <c r="K1775" s="18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</row>
    <row r="1776" ht="14.25" customHeight="1">
      <c r="A1776" s="9"/>
      <c r="B1776" s="8"/>
      <c r="C1776" s="8"/>
      <c r="D1776" s="8"/>
      <c r="E1776" s="8"/>
      <c r="F1776" s="8"/>
      <c r="G1776" s="8"/>
      <c r="H1776" s="8"/>
      <c r="I1776" s="10"/>
      <c r="J1776" s="10"/>
      <c r="K1776" s="18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</row>
    <row r="1777" ht="14.25" customHeight="1">
      <c r="A1777" s="9"/>
      <c r="B1777" s="8"/>
      <c r="C1777" s="8"/>
      <c r="D1777" s="8"/>
      <c r="E1777" s="8"/>
      <c r="F1777" s="8"/>
      <c r="G1777" s="8"/>
      <c r="H1777" s="8"/>
      <c r="I1777" s="10"/>
      <c r="J1777" s="10"/>
      <c r="K1777" s="18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</row>
    <row r="1778" ht="14.25" customHeight="1">
      <c r="A1778" s="9"/>
      <c r="B1778" s="8"/>
      <c r="C1778" s="8"/>
      <c r="D1778" s="8"/>
      <c r="E1778" s="8"/>
      <c r="F1778" s="8"/>
      <c r="G1778" s="8"/>
      <c r="H1778" s="8"/>
      <c r="I1778" s="10"/>
      <c r="J1778" s="10"/>
      <c r="K1778" s="18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</row>
    <row r="1779" ht="14.25" customHeight="1">
      <c r="A1779" s="9"/>
      <c r="B1779" s="8"/>
      <c r="C1779" s="8"/>
      <c r="D1779" s="8"/>
      <c r="E1779" s="8"/>
      <c r="F1779" s="8"/>
      <c r="G1779" s="8"/>
      <c r="H1779" s="8"/>
      <c r="I1779" s="10"/>
      <c r="J1779" s="10"/>
      <c r="K1779" s="18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</row>
    <row r="1780" ht="14.25" customHeight="1">
      <c r="A1780" s="9"/>
      <c r="B1780" s="8"/>
      <c r="C1780" s="8"/>
      <c r="D1780" s="8"/>
      <c r="E1780" s="8"/>
      <c r="F1780" s="8"/>
      <c r="G1780" s="8"/>
      <c r="H1780" s="8"/>
      <c r="I1780" s="10"/>
      <c r="J1780" s="10"/>
      <c r="K1780" s="18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</row>
    <row r="1781" ht="14.25" customHeight="1">
      <c r="A1781" s="9"/>
      <c r="B1781" s="8"/>
      <c r="C1781" s="8"/>
      <c r="D1781" s="8"/>
      <c r="E1781" s="8"/>
      <c r="F1781" s="8"/>
      <c r="G1781" s="8"/>
      <c r="H1781" s="8"/>
      <c r="I1781" s="10"/>
      <c r="J1781" s="10"/>
      <c r="K1781" s="18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</row>
    <row r="1782" ht="14.25" customHeight="1">
      <c r="A1782" s="9"/>
      <c r="B1782" s="8"/>
      <c r="C1782" s="8"/>
      <c r="D1782" s="8"/>
      <c r="E1782" s="8"/>
      <c r="F1782" s="8"/>
      <c r="G1782" s="8"/>
      <c r="H1782" s="8"/>
      <c r="I1782" s="10"/>
      <c r="J1782" s="10"/>
      <c r="K1782" s="18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</row>
    <row r="1783" ht="14.25" customHeight="1">
      <c r="A1783" s="9"/>
      <c r="B1783" s="8"/>
      <c r="C1783" s="8"/>
      <c r="D1783" s="8"/>
      <c r="E1783" s="8"/>
      <c r="F1783" s="8"/>
      <c r="G1783" s="8"/>
      <c r="H1783" s="8"/>
      <c r="I1783" s="10"/>
      <c r="J1783" s="10"/>
      <c r="K1783" s="18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</row>
    <row r="1784" ht="14.25" customHeight="1">
      <c r="A1784" s="9"/>
      <c r="B1784" s="8"/>
      <c r="C1784" s="8"/>
      <c r="D1784" s="8"/>
      <c r="E1784" s="8"/>
      <c r="F1784" s="8"/>
      <c r="G1784" s="8"/>
      <c r="H1784" s="8"/>
      <c r="I1784" s="10"/>
      <c r="J1784" s="10"/>
      <c r="K1784" s="18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</row>
    <row r="1785" ht="14.25" customHeight="1">
      <c r="A1785" s="9"/>
      <c r="B1785" s="8"/>
      <c r="C1785" s="8"/>
      <c r="D1785" s="8"/>
      <c r="E1785" s="8"/>
      <c r="F1785" s="8"/>
      <c r="G1785" s="8"/>
      <c r="H1785" s="8"/>
      <c r="I1785" s="10"/>
      <c r="J1785" s="10"/>
      <c r="K1785" s="18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</row>
    <row r="1786" ht="14.25" customHeight="1">
      <c r="A1786" s="9"/>
      <c r="B1786" s="8"/>
      <c r="C1786" s="8"/>
      <c r="D1786" s="8"/>
      <c r="E1786" s="8"/>
      <c r="F1786" s="8"/>
      <c r="G1786" s="8"/>
      <c r="H1786" s="8"/>
      <c r="I1786" s="10"/>
      <c r="J1786" s="10"/>
      <c r="K1786" s="18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</row>
    <row r="1787" ht="14.25" customHeight="1">
      <c r="A1787" s="9"/>
      <c r="B1787" s="8"/>
      <c r="C1787" s="8"/>
      <c r="D1787" s="8"/>
      <c r="E1787" s="8"/>
      <c r="F1787" s="8"/>
      <c r="G1787" s="8"/>
      <c r="H1787" s="8"/>
      <c r="I1787" s="10"/>
      <c r="J1787" s="10"/>
      <c r="K1787" s="18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</row>
    <row r="1788" ht="14.25" customHeight="1">
      <c r="A1788" s="9"/>
      <c r="B1788" s="8"/>
      <c r="C1788" s="8"/>
      <c r="D1788" s="8"/>
      <c r="E1788" s="8"/>
      <c r="F1788" s="8"/>
      <c r="G1788" s="8"/>
      <c r="H1788" s="8"/>
      <c r="I1788" s="10"/>
      <c r="J1788" s="10"/>
      <c r="K1788" s="18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</row>
    <row r="1789" ht="14.25" customHeight="1">
      <c r="A1789" s="9"/>
      <c r="B1789" s="8"/>
      <c r="C1789" s="8"/>
      <c r="D1789" s="8"/>
      <c r="E1789" s="8"/>
      <c r="F1789" s="8"/>
      <c r="G1789" s="8"/>
      <c r="H1789" s="8"/>
      <c r="I1789" s="10"/>
      <c r="J1789" s="10"/>
      <c r="K1789" s="18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</row>
    <row r="1790" ht="14.25" customHeight="1">
      <c r="A1790" s="9"/>
      <c r="B1790" s="8"/>
      <c r="C1790" s="8"/>
      <c r="D1790" s="8"/>
      <c r="E1790" s="8"/>
      <c r="F1790" s="8"/>
      <c r="G1790" s="8"/>
      <c r="H1790" s="8"/>
      <c r="I1790" s="10"/>
      <c r="J1790" s="10"/>
      <c r="K1790" s="18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</row>
    <row r="1791" ht="14.25" customHeight="1">
      <c r="A1791" s="9"/>
      <c r="B1791" s="8"/>
      <c r="C1791" s="8"/>
      <c r="D1791" s="8"/>
      <c r="E1791" s="8"/>
      <c r="F1791" s="8"/>
      <c r="G1791" s="8"/>
      <c r="H1791" s="8"/>
      <c r="I1791" s="10"/>
      <c r="J1791" s="10"/>
      <c r="K1791" s="18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</row>
    <row r="1792" ht="14.25" customHeight="1">
      <c r="A1792" s="9"/>
      <c r="B1792" s="8"/>
      <c r="C1792" s="8"/>
      <c r="D1792" s="8"/>
      <c r="E1792" s="8"/>
      <c r="F1792" s="8"/>
      <c r="G1792" s="8"/>
      <c r="H1792" s="8"/>
      <c r="I1792" s="10"/>
      <c r="J1792" s="10"/>
      <c r="K1792" s="18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</row>
    <row r="1793" ht="14.25" customHeight="1">
      <c r="A1793" s="9"/>
      <c r="B1793" s="8"/>
      <c r="C1793" s="8"/>
      <c r="D1793" s="8"/>
      <c r="E1793" s="8"/>
      <c r="F1793" s="8"/>
      <c r="G1793" s="8"/>
      <c r="H1793" s="8"/>
      <c r="I1793" s="10"/>
      <c r="J1793" s="10"/>
      <c r="K1793" s="18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</row>
    <row r="1794" ht="14.25" customHeight="1">
      <c r="A1794" s="9"/>
      <c r="B1794" s="8"/>
      <c r="C1794" s="8"/>
      <c r="D1794" s="8"/>
      <c r="E1794" s="8"/>
      <c r="F1794" s="8"/>
      <c r="G1794" s="8"/>
      <c r="H1794" s="8"/>
      <c r="I1794" s="10"/>
      <c r="J1794" s="10"/>
      <c r="K1794" s="18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</row>
    <row r="1795" ht="14.25" customHeight="1">
      <c r="A1795" s="9"/>
      <c r="B1795" s="8"/>
      <c r="C1795" s="8"/>
      <c r="D1795" s="8"/>
      <c r="E1795" s="8"/>
      <c r="F1795" s="8"/>
      <c r="G1795" s="8"/>
      <c r="H1795" s="8"/>
      <c r="I1795" s="10"/>
      <c r="J1795" s="10"/>
      <c r="K1795" s="18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</row>
    <row r="1796" ht="14.25" customHeight="1">
      <c r="A1796" s="9"/>
      <c r="B1796" s="8"/>
      <c r="C1796" s="8"/>
      <c r="D1796" s="8"/>
      <c r="E1796" s="8"/>
      <c r="F1796" s="8"/>
      <c r="G1796" s="8"/>
      <c r="H1796" s="8"/>
      <c r="I1796" s="10"/>
      <c r="J1796" s="10"/>
      <c r="K1796" s="18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</row>
    <row r="1797" ht="14.25" customHeight="1">
      <c r="A1797" s="9"/>
      <c r="B1797" s="8"/>
      <c r="C1797" s="8"/>
      <c r="D1797" s="8"/>
      <c r="E1797" s="8"/>
      <c r="F1797" s="8"/>
      <c r="G1797" s="8"/>
      <c r="H1797" s="8"/>
      <c r="I1797" s="10"/>
      <c r="J1797" s="10"/>
      <c r="K1797" s="18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</row>
    <row r="1798" ht="14.25" customHeight="1">
      <c r="A1798" s="9"/>
      <c r="B1798" s="8"/>
      <c r="C1798" s="8"/>
      <c r="D1798" s="8"/>
      <c r="E1798" s="8"/>
      <c r="F1798" s="8"/>
      <c r="G1798" s="8"/>
      <c r="H1798" s="8"/>
      <c r="I1798" s="10"/>
      <c r="J1798" s="10"/>
      <c r="K1798" s="18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</row>
    <row r="1799" ht="14.25" customHeight="1">
      <c r="A1799" s="9"/>
      <c r="B1799" s="8"/>
      <c r="C1799" s="8"/>
      <c r="D1799" s="8"/>
      <c r="E1799" s="8"/>
      <c r="F1799" s="8"/>
      <c r="G1799" s="8"/>
      <c r="H1799" s="8"/>
      <c r="I1799" s="10"/>
      <c r="J1799" s="10"/>
      <c r="K1799" s="18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</row>
    <row r="1800" ht="14.25" customHeight="1">
      <c r="A1800" s="9"/>
      <c r="B1800" s="8"/>
      <c r="C1800" s="8"/>
      <c r="D1800" s="8"/>
      <c r="E1800" s="8"/>
      <c r="F1800" s="8"/>
      <c r="G1800" s="8"/>
      <c r="H1800" s="8"/>
      <c r="I1800" s="10"/>
      <c r="J1800" s="10"/>
      <c r="K1800" s="18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</row>
    <row r="1801" ht="14.25" customHeight="1">
      <c r="A1801" s="9"/>
      <c r="B1801" s="8"/>
      <c r="C1801" s="8"/>
      <c r="D1801" s="8"/>
      <c r="E1801" s="8"/>
      <c r="F1801" s="8"/>
      <c r="G1801" s="8"/>
      <c r="H1801" s="8"/>
      <c r="I1801" s="10"/>
      <c r="J1801" s="10"/>
      <c r="K1801" s="18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</row>
    <row r="1802" ht="14.25" customHeight="1">
      <c r="A1802" s="9"/>
      <c r="B1802" s="8"/>
      <c r="C1802" s="8"/>
      <c r="D1802" s="8"/>
      <c r="E1802" s="8"/>
      <c r="F1802" s="8"/>
      <c r="G1802" s="8"/>
      <c r="H1802" s="8"/>
      <c r="I1802" s="10"/>
      <c r="J1802" s="10"/>
      <c r="K1802" s="18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</row>
    <row r="1803" ht="14.25" customHeight="1">
      <c r="A1803" s="9"/>
      <c r="B1803" s="8"/>
      <c r="C1803" s="8"/>
      <c r="D1803" s="8"/>
      <c r="E1803" s="8"/>
      <c r="F1803" s="8"/>
      <c r="G1803" s="8"/>
      <c r="H1803" s="8"/>
      <c r="I1803" s="10"/>
      <c r="J1803" s="10"/>
      <c r="K1803" s="18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</row>
    <row r="1804" ht="14.25" customHeight="1">
      <c r="A1804" s="9"/>
      <c r="B1804" s="8"/>
      <c r="C1804" s="8"/>
      <c r="D1804" s="8"/>
      <c r="E1804" s="8"/>
      <c r="F1804" s="8"/>
      <c r="G1804" s="8"/>
      <c r="H1804" s="8"/>
      <c r="I1804" s="10"/>
      <c r="J1804" s="10"/>
      <c r="K1804" s="18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</row>
    <row r="1805" ht="14.25" customHeight="1">
      <c r="A1805" s="9"/>
      <c r="B1805" s="8"/>
      <c r="C1805" s="8"/>
      <c r="D1805" s="8"/>
      <c r="E1805" s="8"/>
      <c r="F1805" s="8"/>
      <c r="G1805" s="8"/>
      <c r="H1805" s="8"/>
      <c r="I1805" s="10"/>
      <c r="J1805" s="10"/>
      <c r="K1805" s="18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</row>
    <row r="1806" ht="14.25" customHeight="1">
      <c r="A1806" s="9"/>
      <c r="B1806" s="8"/>
      <c r="C1806" s="8"/>
      <c r="D1806" s="8"/>
      <c r="E1806" s="8"/>
      <c r="F1806" s="8"/>
      <c r="G1806" s="8"/>
      <c r="H1806" s="8"/>
      <c r="I1806" s="10"/>
      <c r="J1806" s="10"/>
      <c r="K1806" s="18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</row>
    <row r="1807" ht="14.25" customHeight="1">
      <c r="A1807" s="9"/>
      <c r="B1807" s="8"/>
      <c r="C1807" s="8"/>
      <c r="D1807" s="8"/>
      <c r="E1807" s="8"/>
      <c r="F1807" s="8"/>
      <c r="G1807" s="8"/>
      <c r="H1807" s="8"/>
      <c r="I1807" s="10"/>
      <c r="J1807" s="10"/>
      <c r="K1807" s="18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</row>
    <row r="1808" ht="14.25" customHeight="1">
      <c r="A1808" s="9"/>
      <c r="B1808" s="8"/>
      <c r="C1808" s="8"/>
      <c r="D1808" s="8"/>
      <c r="E1808" s="8"/>
      <c r="F1808" s="8"/>
      <c r="G1808" s="8"/>
      <c r="H1808" s="8"/>
      <c r="I1808" s="10"/>
      <c r="J1808" s="10"/>
      <c r="K1808" s="18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</row>
    <row r="1809" ht="14.25" customHeight="1">
      <c r="A1809" s="9"/>
      <c r="B1809" s="8"/>
      <c r="C1809" s="8"/>
      <c r="D1809" s="8"/>
      <c r="E1809" s="8"/>
      <c r="F1809" s="8"/>
      <c r="G1809" s="8"/>
      <c r="H1809" s="8"/>
      <c r="I1809" s="10"/>
      <c r="J1809" s="10"/>
      <c r="K1809" s="18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</row>
    <row r="1810" ht="14.25" customHeight="1">
      <c r="A1810" s="9"/>
      <c r="B1810" s="8"/>
      <c r="C1810" s="8"/>
      <c r="D1810" s="8"/>
      <c r="E1810" s="8"/>
      <c r="F1810" s="8"/>
      <c r="G1810" s="8"/>
      <c r="H1810" s="8"/>
      <c r="I1810" s="10"/>
      <c r="J1810" s="10"/>
      <c r="K1810" s="18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</row>
    <row r="1811" ht="14.25" customHeight="1">
      <c r="A1811" s="9"/>
      <c r="B1811" s="8"/>
      <c r="C1811" s="8"/>
      <c r="D1811" s="8"/>
      <c r="E1811" s="8"/>
      <c r="F1811" s="8"/>
      <c r="G1811" s="8"/>
      <c r="H1811" s="8"/>
      <c r="I1811" s="10"/>
      <c r="J1811" s="10"/>
      <c r="K1811" s="18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</row>
    <row r="1812" ht="14.25" customHeight="1">
      <c r="A1812" s="9"/>
      <c r="B1812" s="8"/>
      <c r="C1812" s="8"/>
      <c r="D1812" s="8"/>
      <c r="E1812" s="8"/>
      <c r="F1812" s="8"/>
      <c r="G1812" s="8"/>
      <c r="H1812" s="8"/>
      <c r="I1812" s="10"/>
      <c r="J1812" s="10"/>
      <c r="K1812" s="18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</row>
    <row r="1813" ht="14.25" customHeight="1">
      <c r="A1813" s="9"/>
      <c r="B1813" s="8"/>
      <c r="C1813" s="8"/>
      <c r="D1813" s="8"/>
      <c r="E1813" s="8"/>
      <c r="F1813" s="8"/>
      <c r="G1813" s="8"/>
      <c r="H1813" s="8"/>
      <c r="I1813" s="10"/>
      <c r="J1813" s="10"/>
      <c r="K1813" s="18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</row>
    <row r="1814" ht="14.25" customHeight="1">
      <c r="A1814" s="9"/>
      <c r="B1814" s="8"/>
      <c r="C1814" s="8"/>
      <c r="D1814" s="8"/>
      <c r="E1814" s="8"/>
      <c r="F1814" s="8"/>
      <c r="G1814" s="8"/>
      <c r="H1814" s="8"/>
      <c r="I1814" s="10"/>
      <c r="J1814" s="10"/>
      <c r="K1814" s="18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</row>
    <row r="1815" ht="14.25" customHeight="1">
      <c r="A1815" s="9"/>
      <c r="B1815" s="8"/>
      <c r="C1815" s="8"/>
      <c r="D1815" s="8"/>
      <c r="E1815" s="8"/>
      <c r="F1815" s="8"/>
      <c r="G1815" s="8"/>
      <c r="H1815" s="8"/>
      <c r="I1815" s="10"/>
      <c r="J1815" s="10"/>
      <c r="K1815" s="18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</row>
    <row r="1816" ht="14.25" customHeight="1">
      <c r="A1816" s="9"/>
      <c r="B1816" s="8"/>
      <c r="C1816" s="8"/>
      <c r="D1816" s="8"/>
      <c r="E1816" s="8"/>
      <c r="F1816" s="8"/>
      <c r="G1816" s="8"/>
      <c r="H1816" s="8"/>
      <c r="I1816" s="10"/>
      <c r="J1816" s="10"/>
      <c r="K1816" s="18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</row>
    <row r="1817" ht="14.25" customHeight="1">
      <c r="A1817" s="9"/>
      <c r="B1817" s="8"/>
      <c r="C1817" s="8"/>
      <c r="D1817" s="8"/>
      <c r="E1817" s="8"/>
      <c r="F1817" s="8"/>
      <c r="G1817" s="8"/>
      <c r="H1817" s="8"/>
      <c r="I1817" s="10"/>
      <c r="J1817" s="10"/>
      <c r="K1817" s="18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</row>
    <row r="1818" ht="14.25" customHeight="1">
      <c r="A1818" s="9"/>
      <c r="B1818" s="8"/>
      <c r="C1818" s="8"/>
      <c r="D1818" s="8"/>
      <c r="E1818" s="8"/>
      <c r="F1818" s="8"/>
      <c r="G1818" s="8"/>
      <c r="H1818" s="8"/>
      <c r="I1818" s="10"/>
      <c r="J1818" s="10"/>
      <c r="K1818" s="18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</row>
    <row r="1819" ht="14.25" customHeight="1">
      <c r="A1819" s="9"/>
      <c r="B1819" s="8"/>
      <c r="C1819" s="8"/>
      <c r="D1819" s="8"/>
      <c r="E1819" s="8"/>
      <c r="F1819" s="8"/>
      <c r="G1819" s="8"/>
      <c r="H1819" s="8"/>
      <c r="I1819" s="10"/>
      <c r="J1819" s="10"/>
      <c r="K1819" s="18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</row>
    <row r="1820" ht="14.25" customHeight="1">
      <c r="A1820" s="9"/>
      <c r="B1820" s="8"/>
      <c r="C1820" s="8"/>
      <c r="D1820" s="8"/>
      <c r="E1820" s="8"/>
      <c r="F1820" s="8"/>
      <c r="G1820" s="8"/>
      <c r="H1820" s="8"/>
      <c r="I1820" s="10"/>
      <c r="J1820" s="10"/>
      <c r="K1820" s="18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</row>
    <row r="1821" ht="14.25" customHeight="1">
      <c r="A1821" s="9"/>
      <c r="B1821" s="8"/>
      <c r="C1821" s="8"/>
      <c r="D1821" s="8"/>
      <c r="E1821" s="8"/>
      <c r="F1821" s="8"/>
      <c r="G1821" s="8"/>
      <c r="H1821" s="8"/>
      <c r="I1821" s="10"/>
      <c r="J1821" s="10"/>
      <c r="K1821" s="18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</row>
    <row r="1822" ht="14.25" customHeight="1">
      <c r="A1822" s="9"/>
      <c r="B1822" s="8"/>
      <c r="C1822" s="8"/>
      <c r="D1822" s="8"/>
      <c r="E1822" s="8"/>
      <c r="F1822" s="8"/>
      <c r="G1822" s="8"/>
      <c r="H1822" s="8"/>
      <c r="I1822" s="10"/>
      <c r="J1822" s="10"/>
      <c r="K1822" s="18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</row>
    <row r="1823" ht="14.25" customHeight="1">
      <c r="A1823" s="9"/>
      <c r="B1823" s="8"/>
      <c r="C1823" s="8"/>
      <c r="D1823" s="8"/>
      <c r="E1823" s="8"/>
      <c r="F1823" s="8"/>
      <c r="G1823" s="8"/>
      <c r="H1823" s="8"/>
      <c r="I1823" s="10"/>
      <c r="J1823" s="10"/>
      <c r="K1823" s="18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</row>
    <row r="1824" ht="14.25" customHeight="1">
      <c r="A1824" s="9"/>
      <c r="B1824" s="8"/>
      <c r="C1824" s="8"/>
      <c r="D1824" s="8"/>
      <c r="E1824" s="8"/>
      <c r="F1824" s="8"/>
      <c r="G1824" s="8"/>
      <c r="H1824" s="8"/>
      <c r="I1824" s="10"/>
      <c r="J1824" s="10"/>
      <c r="K1824" s="18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</row>
    <row r="1825" ht="14.25" customHeight="1">
      <c r="A1825" s="9"/>
      <c r="B1825" s="8"/>
      <c r="C1825" s="8"/>
      <c r="D1825" s="8"/>
      <c r="E1825" s="8"/>
      <c r="F1825" s="8"/>
      <c r="G1825" s="8"/>
      <c r="H1825" s="8"/>
      <c r="I1825" s="10"/>
      <c r="J1825" s="10"/>
      <c r="K1825" s="18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</row>
    <row r="1826" ht="14.25" customHeight="1">
      <c r="A1826" s="9"/>
      <c r="B1826" s="8"/>
      <c r="C1826" s="8"/>
      <c r="D1826" s="8"/>
      <c r="E1826" s="8"/>
      <c r="F1826" s="8"/>
      <c r="G1826" s="8"/>
      <c r="H1826" s="8"/>
      <c r="I1826" s="10"/>
      <c r="J1826" s="10"/>
      <c r="K1826" s="18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</row>
    <row r="1827" ht="14.25" customHeight="1">
      <c r="A1827" s="9"/>
      <c r="B1827" s="8"/>
      <c r="C1827" s="8"/>
      <c r="D1827" s="8"/>
      <c r="E1827" s="8"/>
      <c r="F1827" s="8"/>
      <c r="G1827" s="8"/>
      <c r="H1827" s="8"/>
      <c r="I1827" s="10"/>
      <c r="J1827" s="10"/>
      <c r="K1827" s="18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</row>
    <row r="1828" ht="14.25" customHeight="1">
      <c r="A1828" s="9"/>
      <c r="B1828" s="8"/>
      <c r="C1828" s="8"/>
      <c r="D1828" s="8"/>
      <c r="E1828" s="8"/>
      <c r="F1828" s="8"/>
      <c r="G1828" s="8"/>
      <c r="H1828" s="8"/>
      <c r="I1828" s="10"/>
      <c r="J1828" s="10"/>
      <c r="K1828" s="18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</row>
    <row r="1829" ht="14.25" customHeight="1">
      <c r="A1829" s="9"/>
      <c r="B1829" s="8"/>
      <c r="C1829" s="8"/>
      <c r="D1829" s="8"/>
      <c r="E1829" s="8"/>
      <c r="F1829" s="8"/>
      <c r="G1829" s="8"/>
      <c r="H1829" s="8"/>
      <c r="I1829" s="10"/>
      <c r="J1829" s="10"/>
      <c r="K1829" s="18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</row>
    <row r="1830" ht="14.25" customHeight="1">
      <c r="A1830" s="9"/>
      <c r="B1830" s="8"/>
      <c r="C1830" s="8"/>
      <c r="D1830" s="8"/>
      <c r="E1830" s="8"/>
      <c r="F1830" s="8"/>
      <c r="G1830" s="8"/>
      <c r="H1830" s="8"/>
      <c r="I1830" s="10"/>
      <c r="J1830" s="10"/>
      <c r="K1830" s="18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</row>
    <row r="1831" ht="14.25" customHeight="1">
      <c r="A1831" s="9"/>
      <c r="B1831" s="8"/>
      <c r="C1831" s="8"/>
      <c r="D1831" s="8"/>
      <c r="E1831" s="8"/>
      <c r="F1831" s="8"/>
      <c r="G1831" s="8"/>
      <c r="H1831" s="8"/>
      <c r="I1831" s="10"/>
      <c r="J1831" s="10"/>
      <c r="K1831" s="18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</row>
    <row r="1832" ht="14.25" customHeight="1">
      <c r="A1832" s="9"/>
      <c r="B1832" s="8"/>
      <c r="C1832" s="8"/>
      <c r="D1832" s="8"/>
      <c r="E1832" s="8"/>
      <c r="F1832" s="8"/>
      <c r="G1832" s="8"/>
      <c r="H1832" s="8"/>
      <c r="I1832" s="10"/>
      <c r="J1832" s="10"/>
      <c r="K1832" s="18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</row>
    <row r="1833" ht="14.25" customHeight="1">
      <c r="A1833" s="9"/>
      <c r="B1833" s="8"/>
      <c r="C1833" s="8"/>
      <c r="D1833" s="8"/>
      <c r="E1833" s="8"/>
      <c r="F1833" s="8"/>
      <c r="G1833" s="8"/>
      <c r="H1833" s="8"/>
      <c r="I1833" s="10"/>
      <c r="J1833" s="10"/>
      <c r="K1833" s="18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</row>
    <row r="1834" ht="14.25" customHeight="1">
      <c r="A1834" s="9"/>
      <c r="B1834" s="8"/>
      <c r="C1834" s="8"/>
      <c r="D1834" s="8"/>
      <c r="E1834" s="8"/>
      <c r="F1834" s="8"/>
      <c r="G1834" s="8"/>
      <c r="H1834" s="8"/>
      <c r="I1834" s="10"/>
      <c r="J1834" s="10"/>
      <c r="K1834" s="18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</row>
    <row r="1835" ht="14.25" customHeight="1">
      <c r="A1835" s="9"/>
      <c r="B1835" s="8"/>
      <c r="C1835" s="8"/>
      <c r="D1835" s="8"/>
      <c r="E1835" s="8"/>
      <c r="F1835" s="8"/>
      <c r="G1835" s="8"/>
      <c r="H1835" s="8"/>
      <c r="I1835" s="10"/>
      <c r="J1835" s="10"/>
      <c r="K1835" s="18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</row>
    <row r="1836" ht="14.25" customHeight="1">
      <c r="A1836" s="9"/>
      <c r="B1836" s="8"/>
      <c r="C1836" s="8"/>
      <c r="D1836" s="8"/>
      <c r="E1836" s="8"/>
      <c r="F1836" s="8"/>
      <c r="G1836" s="8"/>
      <c r="H1836" s="8"/>
      <c r="I1836" s="10"/>
      <c r="J1836" s="10"/>
      <c r="K1836" s="18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</row>
    <row r="1837" ht="14.25" customHeight="1">
      <c r="A1837" s="9"/>
      <c r="B1837" s="8"/>
      <c r="C1837" s="8"/>
      <c r="D1837" s="8"/>
      <c r="E1837" s="8"/>
      <c r="F1837" s="8"/>
      <c r="G1837" s="8"/>
      <c r="H1837" s="8"/>
      <c r="I1837" s="10"/>
      <c r="J1837" s="10"/>
      <c r="K1837" s="18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</row>
    <row r="1838" ht="14.25" customHeight="1">
      <c r="A1838" s="9"/>
      <c r="B1838" s="8"/>
      <c r="C1838" s="8"/>
      <c r="D1838" s="8"/>
      <c r="E1838" s="8"/>
      <c r="F1838" s="8"/>
      <c r="G1838" s="8"/>
      <c r="H1838" s="8"/>
      <c r="I1838" s="10"/>
      <c r="J1838" s="10"/>
      <c r="K1838" s="18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</row>
    <row r="1839" ht="14.25" customHeight="1">
      <c r="A1839" s="9"/>
      <c r="B1839" s="8"/>
      <c r="C1839" s="8"/>
      <c r="D1839" s="8"/>
      <c r="E1839" s="8"/>
      <c r="F1839" s="8"/>
      <c r="G1839" s="8"/>
      <c r="H1839" s="8"/>
      <c r="I1839" s="10"/>
      <c r="J1839" s="10"/>
      <c r="K1839" s="18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</row>
    <row r="1840" ht="14.25" customHeight="1">
      <c r="A1840" s="9"/>
      <c r="B1840" s="8"/>
      <c r="C1840" s="8"/>
      <c r="D1840" s="8"/>
      <c r="E1840" s="8"/>
      <c r="F1840" s="8"/>
      <c r="G1840" s="8"/>
      <c r="H1840" s="8"/>
      <c r="I1840" s="10"/>
      <c r="J1840" s="10"/>
      <c r="K1840" s="18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</row>
    <row r="1841" ht="14.25" customHeight="1">
      <c r="A1841" s="9"/>
      <c r="B1841" s="8"/>
      <c r="C1841" s="8"/>
      <c r="D1841" s="8"/>
      <c r="E1841" s="8"/>
      <c r="F1841" s="8"/>
      <c r="G1841" s="8"/>
      <c r="H1841" s="8"/>
      <c r="I1841" s="10"/>
      <c r="J1841" s="10"/>
      <c r="K1841" s="18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</row>
    <row r="1842" ht="14.25" customHeight="1">
      <c r="A1842" s="9"/>
      <c r="B1842" s="8"/>
      <c r="C1842" s="8"/>
      <c r="D1842" s="8"/>
      <c r="E1842" s="8"/>
      <c r="F1842" s="8"/>
      <c r="G1842" s="8"/>
      <c r="H1842" s="8"/>
      <c r="I1842" s="10"/>
      <c r="J1842" s="10"/>
      <c r="K1842" s="18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</row>
    <row r="1843" ht="14.25" customHeight="1">
      <c r="A1843" s="9"/>
      <c r="B1843" s="8"/>
      <c r="C1843" s="8"/>
      <c r="D1843" s="8"/>
      <c r="E1843" s="8"/>
      <c r="F1843" s="8"/>
      <c r="G1843" s="8"/>
      <c r="H1843" s="8"/>
      <c r="I1843" s="10"/>
      <c r="J1843" s="10"/>
      <c r="K1843" s="18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</row>
    <row r="1844" ht="14.25" customHeight="1">
      <c r="A1844" s="9"/>
      <c r="B1844" s="8"/>
      <c r="C1844" s="8"/>
      <c r="D1844" s="8"/>
      <c r="E1844" s="8"/>
      <c r="F1844" s="8"/>
      <c r="G1844" s="8"/>
      <c r="H1844" s="8"/>
      <c r="I1844" s="10"/>
      <c r="J1844" s="10"/>
      <c r="K1844" s="18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</row>
    <row r="1845" ht="14.25" customHeight="1">
      <c r="A1845" s="9"/>
      <c r="B1845" s="8"/>
      <c r="C1845" s="8"/>
      <c r="D1845" s="8"/>
      <c r="E1845" s="8"/>
      <c r="F1845" s="8"/>
      <c r="G1845" s="8"/>
      <c r="H1845" s="8"/>
      <c r="I1845" s="10"/>
      <c r="J1845" s="10"/>
      <c r="K1845" s="18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</row>
    <row r="1846" ht="14.25" customHeight="1">
      <c r="A1846" s="9"/>
      <c r="B1846" s="8"/>
      <c r="C1846" s="8"/>
      <c r="D1846" s="8"/>
      <c r="E1846" s="8"/>
      <c r="F1846" s="8"/>
      <c r="G1846" s="8"/>
      <c r="H1846" s="8"/>
      <c r="I1846" s="10"/>
      <c r="J1846" s="10"/>
      <c r="K1846" s="18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</row>
    <row r="1847" ht="14.25" customHeight="1">
      <c r="A1847" s="9"/>
      <c r="B1847" s="8"/>
      <c r="C1847" s="8"/>
      <c r="D1847" s="8"/>
      <c r="E1847" s="8"/>
      <c r="F1847" s="8"/>
      <c r="G1847" s="8"/>
      <c r="H1847" s="8"/>
      <c r="I1847" s="10"/>
      <c r="J1847" s="10"/>
      <c r="K1847" s="18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</row>
    <row r="1848" ht="14.25" customHeight="1">
      <c r="A1848" s="9"/>
      <c r="B1848" s="8"/>
      <c r="C1848" s="8"/>
      <c r="D1848" s="8"/>
      <c r="E1848" s="8"/>
      <c r="F1848" s="8"/>
      <c r="G1848" s="8"/>
      <c r="H1848" s="8"/>
      <c r="I1848" s="10"/>
      <c r="J1848" s="10"/>
      <c r="K1848" s="18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</row>
    <row r="1849" ht="14.25" customHeight="1">
      <c r="A1849" s="9"/>
      <c r="B1849" s="8"/>
      <c r="C1849" s="8"/>
      <c r="D1849" s="8"/>
      <c r="E1849" s="8"/>
      <c r="F1849" s="8"/>
      <c r="G1849" s="8"/>
      <c r="H1849" s="8"/>
      <c r="I1849" s="10"/>
      <c r="J1849" s="10"/>
      <c r="K1849" s="18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</row>
    <row r="1850" ht="14.25" customHeight="1">
      <c r="A1850" s="9"/>
      <c r="B1850" s="8"/>
      <c r="C1850" s="8"/>
      <c r="D1850" s="8"/>
      <c r="E1850" s="8"/>
      <c r="F1850" s="8"/>
      <c r="G1850" s="8"/>
      <c r="H1850" s="8"/>
      <c r="I1850" s="10"/>
      <c r="J1850" s="10"/>
      <c r="K1850" s="18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</row>
    <row r="1851" ht="14.25" customHeight="1">
      <c r="A1851" s="9"/>
      <c r="B1851" s="8"/>
      <c r="C1851" s="8"/>
      <c r="D1851" s="8"/>
      <c r="E1851" s="8"/>
      <c r="F1851" s="8"/>
      <c r="G1851" s="8"/>
      <c r="H1851" s="8"/>
      <c r="I1851" s="10"/>
      <c r="J1851" s="10"/>
      <c r="K1851" s="18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</row>
    <row r="1852" ht="14.25" customHeight="1">
      <c r="A1852" s="9"/>
      <c r="B1852" s="8"/>
      <c r="C1852" s="8"/>
      <c r="D1852" s="8"/>
      <c r="E1852" s="8"/>
      <c r="F1852" s="8"/>
      <c r="G1852" s="8"/>
      <c r="H1852" s="8"/>
      <c r="I1852" s="10"/>
      <c r="J1852" s="10"/>
      <c r="K1852" s="18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</row>
    <row r="1853" ht="14.25" customHeight="1">
      <c r="A1853" s="9"/>
      <c r="B1853" s="8"/>
      <c r="C1853" s="8"/>
      <c r="D1853" s="8"/>
      <c r="E1853" s="8"/>
      <c r="F1853" s="8"/>
      <c r="G1853" s="8"/>
      <c r="H1853" s="8"/>
      <c r="I1853" s="10"/>
      <c r="J1853" s="10"/>
      <c r="K1853" s="18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</row>
    <row r="1854" ht="14.25" customHeight="1">
      <c r="A1854" s="9"/>
      <c r="B1854" s="8"/>
      <c r="C1854" s="8"/>
      <c r="D1854" s="8"/>
      <c r="E1854" s="8"/>
      <c r="F1854" s="8"/>
      <c r="G1854" s="8"/>
      <c r="H1854" s="8"/>
      <c r="I1854" s="10"/>
      <c r="J1854" s="10"/>
      <c r="K1854" s="18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</row>
    <row r="1855" ht="14.25" customHeight="1">
      <c r="A1855" s="9"/>
      <c r="B1855" s="8"/>
      <c r="C1855" s="8"/>
      <c r="D1855" s="8"/>
      <c r="E1855" s="8"/>
      <c r="F1855" s="8"/>
      <c r="G1855" s="8"/>
      <c r="H1855" s="8"/>
      <c r="I1855" s="10"/>
      <c r="J1855" s="10"/>
      <c r="K1855" s="18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</row>
    <row r="1856" ht="14.25" customHeight="1">
      <c r="A1856" s="9"/>
      <c r="B1856" s="8"/>
      <c r="C1856" s="8"/>
      <c r="D1856" s="8"/>
      <c r="E1856" s="8"/>
      <c r="F1856" s="8"/>
      <c r="G1856" s="8"/>
      <c r="H1856" s="8"/>
      <c r="I1856" s="10"/>
      <c r="J1856" s="10"/>
      <c r="K1856" s="18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</row>
    <row r="1857" ht="14.25" customHeight="1">
      <c r="A1857" s="9"/>
      <c r="B1857" s="8"/>
      <c r="C1857" s="8"/>
      <c r="D1857" s="8"/>
      <c r="E1857" s="8"/>
      <c r="F1857" s="8"/>
      <c r="G1857" s="8"/>
      <c r="H1857" s="8"/>
      <c r="I1857" s="10"/>
      <c r="J1857" s="10"/>
      <c r="K1857" s="18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</row>
    <row r="1858" ht="14.25" customHeight="1">
      <c r="A1858" s="9"/>
      <c r="B1858" s="8"/>
      <c r="C1858" s="8"/>
      <c r="D1858" s="8"/>
      <c r="E1858" s="8"/>
      <c r="F1858" s="8"/>
      <c r="G1858" s="8"/>
      <c r="H1858" s="8"/>
      <c r="I1858" s="10"/>
      <c r="J1858" s="10"/>
      <c r="K1858" s="18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</row>
    <row r="1859" ht="14.25" customHeight="1">
      <c r="A1859" s="9"/>
      <c r="B1859" s="8"/>
      <c r="C1859" s="8"/>
      <c r="D1859" s="8"/>
      <c r="E1859" s="8"/>
      <c r="F1859" s="8"/>
      <c r="G1859" s="8"/>
      <c r="H1859" s="8"/>
      <c r="I1859" s="10"/>
      <c r="J1859" s="10"/>
      <c r="K1859" s="18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</row>
    <row r="1860" ht="14.25" customHeight="1">
      <c r="A1860" s="9"/>
      <c r="B1860" s="8"/>
      <c r="C1860" s="8"/>
      <c r="D1860" s="8"/>
      <c r="E1860" s="8"/>
      <c r="F1860" s="8"/>
      <c r="G1860" s="8"/>
      <c r="H1860" s="8"/>
      <c r="I1860" s="10"/>
      <c r="J1860" s="10"/>
      <c r="K1860" s="18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</row>
    <row r="1861" ht="14.25" customHeight="1">
      <c r="A1861" s="9"/>
      <c r="B1861" s="8"/>
      <c r="C1861" s="8"/>
      <c r="D1861" s="8"/>
      <c r="E1861" s="8"/>
      <c r="F1861" s="8"/>
      <c r="G1861" s="8"/>
      <c r="H1861" s="8"/>
      <c r="I1861" s="10"/>
      <c r="J1861" s="10"/>
      <c r="K1861" s="18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</row>
    <row r="1862" ht="14.25" customHeight="1">
      <c r="A1862" s="9"/>
      <c r="B1862" s="8"/>
      <c r="C1862" s="8"/>
      <c r="D1862" s="8"/>
      <c r="E1862" s="8"/>
      <c r="F1862" s="8"/>
      <c r="G1862" s="8"/>
      <c r="H1862" s="8"/>
      <c r="I1862" s="10"/>
      <c r="J1862" s="10"/>
      <c r="K1862" s="18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</row>
    <row r="1863" ht="14.25" customHeight="1">
      <c r="A1863" s="9"/>
      <c r="B1863" s="8"/>
      <c r="C1863" s="8"/>
      <c r="D1863" s="8"/>
      <c r="E1863" s="8"/>
      <c r="F1863" s="8"/>
      <c r="G1863" s="8"/>
      <c r="H1863" s="8"/>
      <c r="I1863" s="10"/>
      <c r="J1863" s="10"/>
      <c r="K1863" s="18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</row>
    <row r="1864" ht="14.25" customHeight="1">
      <c r="A1864" s="9"/>
      <c r="B1864" s="8"/>
      <c r="C1864" s="8"/>
      <c r="D1864" s="8"/>
      <c r="E1864" s="8"/>
      <c r="F1864" s="8"/>
      <c r="G1864" s="8"/>
      <c r="H1864" s="8"/>
      <c r="I1864" s="10"/>
      <c r="J1864" s="10"/>
      <c r="K1864" s="18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</row>
    <row r="1865" ht="14.25" customHeight="1">
      <c r="A1865" s="9"/>
      <c r="B1865" s="8"/>
      <c r="C1865" s="8"/>
      <c r="D1865" s="8"/>
      <c r="E1865" s="8"/>
      <c r="F1865" s="8"/>
      <c r="G1865" s="8"/>
      <c r="H1865" s="8"/>
      <c r="I1865" s="10"/>
      <c r="J1865" s="10"/>
      <c r="K1865" s="18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</row>
    <row r="1866" ht="14.25" customHeight="1">
      <c r="A1866" s="9"/>
      <c r="B1866" s="8"/>
      <c r="C1866" s="8"/>
      <c r="D1866" s="8"/>
      <c r="E1866" s="8"/>
      <c r="F1866" s="8"/>
      <c r="G1866" s="8"/>
      <c r="H1866" s="8"/>
      <c r="I1866" s="10"/>
      <c r="J1866" s="10"/>
      <c r="K1866" s="18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</row>
    <row r="1867" ht="14.25" customHeight="1">
      <c r="A1867" s="9"/>
      <c r="B1867" s="8"/>
      <c r="C1867" s="8"/>
      <c r="D1867" s="8"/>
      <c r="E1867" s="8"/>
      <c r="F1867" s="8"/>
      <c r="G1867" s="8"/>
      <c r="H1867" s="8"/>
      <c r="I1867" s="10"/>
      <c r="J1867" s="10"/>
      <c r="K1867" s="18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</row>
    <row r="1868" ht="14.25" customHeight="1">
      <c r="A1868" s="9"/>
      <c r="B1868" s="8"/>
      <c r="C1868" s="8"/>
      <c r="D1868" s="8"/>
      <c r="E1868" s="8"/>
      <c r="F1868" s="8"/>
      <c r="G1868" s="8"/>
      <c r="H1868" s="8"/>
      <c r="I1868" s="10"/>
      <c r="J1868" s="10"/>
      <c r="K1868" s="18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</row>
    <row r="1869" ht="14.25" customHeight="1">
      <c r="A1869" s="9"/>
      <c r="B1869" s="8"/>
      <c r="C1869" s="8"/>
      <c r="D1869" s="8"/>
      <c r="E1869" s="8"/>
      <c r="F1869" s="8"/>
      <c r="G1869" s="8"/>
      <c r="H1869" s="8"/>
      <c r="I1869" s="10"/>
      <c r="J1869" s="10"/>
      <c r="K1869" s="18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</row>
    <row r="1870" ht="14.25" customHeight="1">
      <c r="A1870" s="9"/>
      <c r="B1870" s="8"/>
      <c r="C1870" s="8"/>
      <c r="D1870" s="8"/>
      <c r="E1870" s="8"/>
      <c r="F1870" s="8"/>
      <c r="G1870" s="8"/>
      <c r="H1870" s="8"/>
      <c r="I1870" s="10"/>
      <c r="J1870" s="10"/>
      <c r="K1870" s="18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</row>
    <row r="1871" ht="14.25" customHeight="1">
      <c r="A1871" s="9"/>
      <c r="B1871" s="8"/>
      <c r="C1871" s="8"/>
      <c r="D1871" s="8"/>
      <c r="E1871" s="8"/>
      <c r="F1871" s="8"/>
      <c r="G1871" s="8"/>
      <c r="H1871" s="8"/>
      <c r="I1871" s="10"/>
      <c r="J1871" s="10"/>
      <c r="K1871" s="18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</row>
    <row r="1872" ht="14.25" customHeight="1">
      <c r="A1872" s="9"/>
      <c r="B1872" s="8"/>
      <c r="C1872" s="8"/>
      <c r="D1872" s="8"/>
      <c r="E1872" s="8"/>
      <c r="F1872" s="8"/>
      <c r="G1872" s="8"/>
      <c r="H1872" s="8"/>
      <c r="I1872" s="10"/>
      <c r="J1872" s="10"/>
      <c r="K1872" s="18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</row>
    <row r="1873" ht="14.25" customHeight="1">
      <c r="A1873" s="9"/>
      <c r="B1873" s="8"/>
      <c r="C1873" s="8"/>
      <c r="D1873" s="8"/>
      <c r="E1873" s="8"/>
      <c r="F1873" s="8"/>
      <c r="G1873" s="8"/>
      <c r="H1873" s="8"/>
      <c r="I1873" s="10"/>
      <c r="J1873" s="10"/>
      <c r="K1873" s="18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</row>
    <row r="1874" ht="14.25" customHeight="1">
      <c r="A1874" s="9"/>
      <c r="B1874" s="8"/>
      <c r="C1874" s="8"/>
      <c r="D1874" s="8"/>
      <c r="E1874" s="8"/>
      <c r="F1874" s="8"/>
      <c r="G1874" s="8"/>
      <c r="H1874" s="8"/>
      <c r="I1874" s="10"/>
      <c r="J1874" s="10"/>
      <c r="K1874" s="18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</row>
    <row r="1875" ht="14.25" customHeight="1">
      <c r="A1875" s="9"/>
      <c r="B1875" s="8"/>
      <c r="C1875" s="8"/>
      <c r="D1875" s="8"/>
      <c r="E1875" s="8"/>
      <c r="F1875" s="8"/>
      <c r="G1875" s="8"/>
      <c r="H1875" s="8"/>
      <c r="I1875" s="10"/>
      <c r="J1875" s="10"/>
      <c r="K1875" s="18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</row>
    <row r="1876" ht="14.25" customHeight="1">
      <c r="A1876" s="9"/>
      <c r="B1876" s="8"/>
      <c r="C1876" s="8"/>
      <c r="D1876" s="8"/>
      <c r="E1876" s="8"/>
      <c r="F1876" s="8"/>
      <c r="G1876" s="8"/>
      <c r="H1876" s="8"/>
      <c r="I1876" s="10"/>
      <c r="J1876" s="10"/>
      <c r="K1876" s="18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</row>
    <row r="1877" ht="14.25" customHeight="1">
      <c r="A1877" s="9"/>
      <c r="B1877" s="8"/>
      <c r="C1877" s="8"/>
      <c r="D1877" s="8"/>
      <c r="E1877" s="8"/>
      <c r="F1877" s="8"/>
      <c r="G1877" s="8"/>
      <c r="H1877" s="8"/>
      <c r="I1877" s="10"/>
      <c r="J1877" s="10"/>
      <c r="K1877" s="18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</row>
    <row r="1878" ht="14.25" customHeight="1">
      <c r="A1878" s="9"/>
      <c r="B1878" s="8"/>
      <c r="C1878" s="8"/>
      <c r="D1878" s="8"/>
      <c r="E1878" s="8"/>
      <c r="F1878" s="8"/>
      <c r="G1878" s="8"/>
      <c r="H1878" s="8"/>
      <c r="I1878" s="10"/>
      <c r="J1878" s="10"/>
      <c r="K1878" s="18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</row>
    <row r="1879" ht="14.25" customHeight="1">
      <c r="A1879" s="9"/>
      <c r="B1879" s="8"/>
      <c r="C1879" s="8"/>
      <c r="D1879" s="8"/>
      <c r="E1879" s="8"/>
      <c r="F1879" s="8"/>
      <c r="G1879" s="8"/>
      <c r="H1879" s="8"/>
      <c r="I1879" s="10"/>
      <c r="J1879" s="10"/>
      <c r="K1879" s="18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</row>
    <row r="1880" ht="14.25" customHeight="1">
      <c r="A1880" s="9"/>
      <c r="B1880" s="8"/>
      <c r="C1880" s="8"/>
      <c r="D1880" s="8"/>
      <c r="E1880" s="8"/>
      <c r="F1880" s="8"/>
      <c r="G1880" s="8"/>
      <c r="H1880" s="8"/>
      <c r="I1880" s="10"/>
      <c r="J1880" s="10"/>
      <c r="K1880" s="18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</row>
    <row r="1881" ht="14.25" customHeight="1">
      <c r="A1881" s="9"/>
      <c r="B1881" s="8"/>
      <c r="C1881" s="8"/>
      <c r="D1881" s="8"/>
      <c r="E1881" s="8"/>
      <c r="F1881" s="8"/>
      <c r="G1881" s="8"/>
      <c r="H1881" s="8"/>
      <c r="I1881" s="10"/>
      <c r="J1881" s="10"/>
      <c r="K1881" s="18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</row>
    <row r="1882" ht="14.25" customHeight="1">
      <c r="A1882" s="9"/>
      <c r="B1882" s="8"/>
      <c r="C1882" s="8"/>
      <c r="D1882" s="8"/>
      <c r="E1882" s="8"/>
      <c r="F1882" s="8"/>
      <c r="G1882" s="8"/>
      <c r="H1882" s="8"/>
      <c r="I1882" s="10"/>
      <c r="J1882" s="10"/>
      <c r="K1882" s="18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</row>
    <row r="1883" ht="14.25" customHeight="1">
      <c r="A1883" s="9"/>
      <c r="B1883" s="8"/>
      <c r="C1883" s="8"/>
      <c r="D1883" s="8"/>
      <c r="E1883" s="8"/>
      <c r="F1883" s="8"/>
      <c r="G1883" s="8"/>
      <c r="H1883" s="8"/>
      <c r="I1883" s="10"/>
      <c r="J1883" s="10"/>
      <c r="K1883" s="18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</row>
    <row r="1884" ht="14.25" customHeight="1">
      <c r="A1884" s="9"/>
      <c r="B1884" s="8"/>
      <c r="C1884" s="8"/>
      <c r="D1884" s="8"/>
      <c r="E1884" s="8"/>
      <c r="F1884" s="8"/>
      <c r="G1884" s="8"/>
      <c r="H1884" s="8"/>
      <c r="I1884" s="10"/>
      <c r="J1884" s="10"/>
      <c r="K1884" s="18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</row>
    <row r="1885" ht="14.25" customHeight="1">
      <c r="A1885" s="9"/>
      <c r="B1885" s="8"/>
      <c r="C1885" s="8"/>
      <c r="D1885" s="8"/>
      <c r="E1885" s="8"/>
      <c r="F1885" s="8"/>
      <c r="G1885" s="8"/>
      <c r="H1885" s="8"/>
      <c r="I1885" s="10"/>
      <c r="J1885" s="10"/>
      <c r="K1885" s="18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</row>
    <row r="1886" ht="14.25" customHeight="1">
      <c r="A1886" s="9"/>
      <c r="B1886" s="8"/>
      <c r="C1886" s="8"/>
      <c r="D1886" s="8"/>
      <c r="E1886" s="8"/>
      <c r="F1886" s="8"/>
      <c r="G1886" s="8"/>
      <c r="H1886" s="8"/>
      <c r="I1886" s="10"/>
      <c r="J1886" s="10"/>
      <c r="K1886" s="18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</row>
    <row r="1887" ht="14.25" customHeight="1">
      <c r="A1887" s="9"/>
      <c r="B1887" s="8"/>
      <c r="C1887" s="8"/>
      <c r="D1887" s="8"/>
      <c r="E1887" s="8"/>
      <c r="F1887" s="8"/>
      <c r="G1887" s="8"/>
      <c r="H1887" s="8"/>
      <c r="I1887" s="10"/>
      <c r="J1887" s="10"/>
      <c r="K1887" s="18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</row>
    <row r="1888" ht="14.25" customHeight="1">
      <c r="A1888" s="9"/>
      <c r="B1888" s="8"/>
      <c r="C1888" s="8"/>
      <c r="D1888" s="8"/>
      <c r="E1888" s="8"/>
      <c r="F1888" s="8"/>
      <c r="G1888" s="8"/>
      <c r="H1888" s="8"/>
      <c r="I1888" s="10"/>
      <c r="J1888" s="10"/>
      <c r="K1888" s="18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</row>
    <row r="1889" ht="14.25" customHeight="1">
      <c r="A1889" s="9"/>
      <c r="B1889" s="8"/>
      <c r="C1889" s="8"/>
      <c r="D1889" s="8"/>
      <c r="E1889" s="8"/>
      <c r="F1889" s="8"/>
      <c r="G1889" s="8"/>
      <c r="H1889" s="8"/>
      <c r="I1889" s="10"/>
      <c r="J1889" s="10"/>
      <c r="K1889" s="18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</row>
    <row r="1890" ht="14.25" customHeight="1">
      <c r="A1890" s="9"/>
      <c r="B1890" s="8"/>
      <c r="C1890" s="8"/>
      <c r="D1890" s="8"/>
      <c r="E1890" s="8"/>
      <c r="F1890" s="8"/>
      <c r="G1890" s="8"/>
      <c r="H1890" s="8"/>
      <c r="I1890" s="10"/>
      <c r="J1890" s="10"/>
      <c r="K1890" s="18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</row>
    <row r="1891" ht="14.25" customHeight="1">
      <c r="A1891" s="9"/>
      <c r="B1891" s="8"/>
      <c r="C1891" s="8"/>
      <c r="D1891" s="8"/>
      <c r="E1891" s="8"/>
      <c r="F1891" s="8"/>
      <c r="G1891" s="8"/>
      <c r="H1891" s="8"/>
      <c r="I1891" s="10"/>
      <c r="J1891" s="10"/>
      <c r="K1891" s="18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</row>
    <row r="1892" ht="14.25" customHeight="1">
      <c r="A1892" s="9"/>
      <c r="B1892" s="8"/>
      <c r="C1892" s="8"/>
      <c r="D1892" s="8"/>
      <c r="E1892" s="8"/>
      <c r="F1892" s="8"/>
      <c r="G1892" s="8"/>
      <c r="H1892" s="8"/>
      <c r="I1892" s="10"/>
      <c r="J1892" s="10"/>
      <c r="K1892" s="18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</row>
    <row r="1893" ht="14.25" customHeight="1">
      <c r="A1893" s="9"/>
      <c r="B1893" s="8"/>
      <c r="C1893" s="8"/>
      <c r="D1893" s="8"/>
      <c r="E1893" s="8"/>
      <c r="F1893" s="8"/>
      <c r="G1893" s="8"/>
      <c r="H1893" s="8"/>
      <c r="I1893" s="10"/>
      <c r="J1893" s="10"/>
      <c r="K1893" s="18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</row>
    <row r="1894" ht="14.25" customHeight="1">
      <c r="A1894" s="9"/>
      <c r="B1894" s="8"/>
      <c r="C1894" s="8"/>
      <c r="D1894" s="8"/>
      <c r="E1894" s="8"/>
      <c r="F1894" s="8"/>
      <c r="G1894" s="8"/>
      <c r="H1894" s="8"/>
      <c r="I1894" s="10"/>
      <c r="J1894" s="10"/>
      <c r="K1894" s="18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</row>
    <row r="1895" ht="14.25" customHeight="1">
      <c r="A1895" s="9"/>
      <c r="B1895" s="8"/>
      <c r="C1895" s="8"/>
      <c r="D1895" s="8"/>
      <c r="E1895" s="8"/>
      <c r="F1895" s="8"/>
      <c r="G1895" s="8"/>
      <c r="H1895" s="8"/>
      <c r="I1895" s="10"/>
      <c r="J1895" s="10"/>
      <c r="K1895" s="18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</row>
    <row r="1896" ht="14.25" customHeight="1">
      <c r="A1896" s="9"/>
      <c r="B1896" s="8"/>
      <c r="C1896" s="8"/>
      <c r="D1896" s="8"/>
      <c r="E1896" s="8"/>
      <c r="F1896" s="8"/>
      <c r="G1896" s="8"/>
      <c r="H1896" s="8"/>
      <c r="I1896" s="10"/>
      <c r="J1896" s="10"/>
      <c r="K1896" s="18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</row>
    <row r="1897" ht="14.25" customHeight="1">
      <c r="A1897" s="9"/>
      <c r="B1897" s="8"/>
      <c r="C1897" s="8"/>
      <c r="D1897" s="8"/>
      <c r="E1897" s="8"/>
      <c r="F1897" s="8"/>
      <c r="G1897" s="8"/>
      <c r="H1897" s="8"/>
      <c r="I1897" s="10"/>
      <c r="J1897" s="10"/>
      <c r="K1897" s="18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</row>
    <row r="1898" ht="14.25" customHeight="1">
      <c r="A1898" s="9"/>
      <c r="B1898" s="8"/>
      <c r="C1898" s="8"/>
      <c r="D1898" s="8"/>
      <c r="E1898" s="8"/>
      <c r="F1898" s="8"/>
      <c r="G1898" s="8"/>
      <c r="H1898" s="8"/>
      <c r="I1898" s="10"/>
      <c r="J1898" s="10"/>
      <c r="K1898" s="18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</row>
    <row r="1899" ht="14.25" customHeight="1">
      <c r="A1899" s="9"/>
      <c r="B1899" s="8"/>
      <c r="C1899" s="8"/>
      <c r="D1899" s="8"/>
      <c r="E1899" s="8"/>
      <c r="F1899" s="8"/>
      <c r="G1899" s="8"/>
      <c r="H1899" s="8"/>
      <c r="I1899" s="10"/>
      <c r="J1899" s="10"/>
      <c r="K1899" s="18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</row>
    <row r="1900" ht="14.25" customHeight="1">
      <c r="A1900" s="9"/>
      <c r="B1900" s="8"/>
      <c r="C1900" s="8"/>
      <c r="D1900" s="8"/>
      <c r="E1900" s="8"/>
      <c r="F1900" s="8"/>
      <c r="G1900" s="8"/>
      <c r="H1900" s="8"/>
      <c r="I1900" s="10"/>
      <c r="J1900" s="10"/>
      <c r="K1900" s="18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</row>
    <row r="1901" ht="14.25" customHeight="1">
      <c r="A1901" s="9"/>
      <c r="B1901" s="8"/>
      <c r="C1901" s="8"/>
      <c r="D1901" s="8"/>
      <c r="E1901" s="8"/>
      <c r="F1901" s="8"/>
      <c r="G1901" s="8"/>
      <c r="H1901" s="8"/>
      <c r="I1901" s="10"/>
      <c r="J1901" s="10"/>
      <c r="K1901" s="18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</row>
    <row r="1902" ht="14.25" customHeight="1">
      <c r="A1902" s="9"/>
      <c r="B1902" s="8"/>
      <c r="C1902" s="8"/>
      <c r="D1902" s="8"/>
      <c r="E1902" s="8"/>
      <c r="F1902" s="8"/>
      <c r="G1902" s="8"/>
      <c r="H1902" s="8"/>
      <c r="I1902" s="10"/>
      <c r="J1902" s="10"/>
      <c r="K1902" s="18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</row>
    <row r="1903" ht="14.25" customHeight="1">
      <c r="A1903" s="9"/>
      <c r="B1903" s="8"/>
      <c r="C1903" s="8"/>
      <c r="D1903" s="8"/>
      <c r="E1903" s="8"/>
      <c r="F1903" s="8"/>
      <c r="G1903" s="8"/>
      <c r="H1903" s="8"/>
      <c r="I1903" s="10"/>
      <c r="J1903" s="10"/>
      <c r="K1903" s="18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</row>
    <row r="1904" ht="14.25" customHeight="1">
      <c r="A1904" s="9"/>
      <c r="B1904" s="8"/>
      <c r="C1904" s="8"/>
      <c r="D1904" s="8"/>
      <c r="E1904" s="8"/>
      <c r="F1904" s="8"/>
      <c r="G1904" s="8"/>
      <c r="H1904" s="8"/>
      <c r="I1904" s="10"/>
      <c r="J1904" s="10"/>
      <c r="K1904" s="18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</row>
    <row r="1905" ht="14.25" customHeight="1">
      <c r="A1905" s="9"/>
      <c r="B1905" s="8"/>
      <c r="C1905" s="8"/>
      <c r="D1905" s="8"/>
      <c r="E1905" s="8"/>
      <c r="F1905" s="8"/>
      <c r="G1905" s="8"/>
      <c r="H1905" s="8"/>
      <c r="I1905" s="10"/>
      <c r="J1905" s="10"/>
      <c r="K1905" s="18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</row>
    <row r="1906" ht="14.25" customHeight="1">
      <c r="A1906" s="9"/>
      <c r="B1906" s="8"/>
      <c r="C1906" s="8"/>
      <c r="D1906" s="8"/>
      <c r="E1906" s="8"/>
      <c r="F1906" s="8"/>
      <c r="G1906" s="8"/>
      <c r="H1906" s="8"/>
      <c r="I1906" s="10"/>
      <c r="J1906" s="10"/>
      <c r="K1906" s="18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</row>
    <row r="1907" ht="14.25" customHeight="1">
      <c r="A1907" s="9"/>
      <c r="B1907" s="8"/>
      <c r="C1907" s="8"/>
      <c r="D1907" s="8"/>
      <c r="E1907" s="8"/>
      <c r="F1907" s="8"/>
      <c r="G1907" s="8"/>
      <c r="H1907" s="8"/>
      <c r="I1907" s="10"/>
      <c r="J1907" s="10"/>
      <c r="K1907" s="18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</row>
    <row r="1908" ht="14.25" customHeight="1">
      <c r="A1908" s="9"/>
      <c r="B1908" s="8"/>
      <c r="C1908" s="8"/>
      <c r="D1908" s="8"/>
      <c r="E1908" s="8"/>
      <c r="F1908" s="8"/>
      <c r="G1908" s="8"/>
      <c r="H1908" s="8"/>
      <c r="I1908" s="10"/>
      <c r="J1908" s="10"/>
      <c r="K1908" s="18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</row>
    <row r="1909" ht="14.25" customHeight="1">
      <c r="A1909" s="9"/>
      <c r="B1909" s="8"/>
      <c r="C1909" s="8"/>
      <c r="D1909" s="8"/>
      <c r="E1909" s="8"/>
      <c r="F1909" s="8"/>
      <c r="G1909" s="8"/>
      <c r="H1909" s="8"/>
      <c r="I1909" s="10"/>
      <c r="J1909" s="10"/>
      <c r="K1909" s="18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</row>
    <row r="1910" ht="14.25" customHeight="1">
      <c r="A1910" s="9"/>
      <c r="B1910" s="8"/>
      <c r="C1910" s="8"/>
      <c r="D1910" s="8"/>
      <c r="E1910" s="8"/>
      <c r="F1910" s="8"/>
      <c r="G1910" s="8"/>
      <c r="H1910" s="8"/>
      <c r="I1910" s="10"/>
      <c r="J1910" s="10"/>
      <c r="K1910" s="18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</row>
    <row r="1911" ht="14.25" customHeight="1">
      <c r="A1911" s="9"/>
      <c r="B1911" s="8"/>
      <c r="C1911" s="8"/>
      <c r="D1911" s="8"/>
      <c r="E1911" s="8"/>
      <c r="F1911" s="8"/>
      <c r="G1911" s="8"/>
      <c r="H1911" s="8"/>
      <c r="I1911" s="10"/>
      <c r="J1911" s="10"/>
      <c r="K1911" s="18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</row>
    <row r="1912" ht="14.25" customHeight="1">
      <c r="A1912" s="9"/>
      <c r="B1912" s="8"/>
      <c r="C1912" s="8"/>
      <c r="D1912" s="8"/>
      <c r="E1912" s="8"/>
      <c r="F1912" s="8"/>
      <c r="G1912" s="8"/>
      <c r="H1912" s="8"/>
      <c r="I1912" s="10"/>
      <c r="J1912" s="10"/>
      <c r="K1912" s="18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</row>
    <row r="1913" ht="14.25" customHeight="1">
      <c r="A1913" s="9"/>
      <c r="B1913" s="8"/>
      <c r="C1913" s="8"/>
      <c r="D1913" s="8"/>
      <c r="E1913" s="8"/>
      <c r="F1913" s="8"/>
      <c r="G1913" s="8"/>
      <c r="H1913" s="8"/>
      <c r="I1913" s="10"/>
      <c r="J1913" s="10"/>
      <c r="K1913" s="18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</row>
    <row r="1914" ht="14.25" customHeight="1">
      <c r="A1914" s="9"/>
      <c r="B1914" s="8"/>
      <c r="C1914" s="8"/>
      <c r="D1914" s="8"/>
      <c r="E1914" s="8"/>
      <c r="F1914" s="8"/>
      <c r="G1914" s="8"/>
      <c r="H1914" s="8"/>
      <c r="I1914" s="10"/>
      <c r="J1914" s="10"/>
      <c r="K1914" s="18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</row>
    <row r="1915" ht="14.25" customHeight="1">
      <c r="A1915" s="9"/>
      <c r="B1915" s="8"/>
      <c r="C1915" s="8"/>
      <c r="D1915" s="8"/>
      <c r="E1915" s="8"/>
      <c r="F1915" s="8"/>
      <c r="G1915" s="8"/>
      <c r="H1915" s="8"/>
      <c r="I1915" s="10"/>
      <c r="J1915" s="10"/>
      <c r="K1915" s="18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</row>
    <row r="1916" ht="14.25" customHeight="1">
      <c r="A1916" s="9"/>
      <c r="B1916" s="8"/>
      <c r="C1916" s="8"/>
      <c r="D1916" s="8"/>
      <c r="E1916" s="8"/>
      <c r="F1916" s="8"/>
      <c r="G1916" s="8"/>
      <c r="H1916" s="8"/>
      <c r="I1916" s="10"/>
      <c r="J1916" s="10"/>
      <c r="K1916" s="18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</row>
    <row r="1917" ht="14.25" customHeight="1">
      <c r="A1917" s="9"/>
      <c r="B1917" s="8"/>
      <c r="C1917" s="8"/>
      <c r="D1917" s="8"/>
      <c r="E1917" s="8"/>
      <c r="F1917" s="8"/>
      <c r="G1917" s="8"/>
      <c r="H1917" s="8"/>
      <c r="I1917" s="10"/>
      <c r="J1917" s="10"/>
      <c r="K1917" s="18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</row>
    <row r="1918" ht="14.25" customHeight="1">
      <c r="A1918" s="9"/>
      <c r="B1918" s="8"/>
      <c r="C1918" s="8"/>
      <c r="D1918" s="8"/>
      <c r="E1918" s="8"/>
      <c r="F1918" s="8"/>
      <c r="G1918" s="8"/>
      <c r="H1918" s="8"/>
      <c r="I1918" s="10"/>
      <c r="J1918" s="10"/>
      <c r="K1918" s="18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</row>
    <row r="1919" ht="14.25" customHeight="1">
      <c r="A1919" s="9"/>
      <c r="B1919" s="8"/>
      <c r="C1919" s="8"/>
      <c r="D1919" s="8"/>
      <c r="E1919" s="8"/>
      <c r="F1919" s="8"/>
      <c r="G1919" s="8"/>
      <c r="H1919" s="8"/>
      <c r="I1919" s="10"/>
      <c r="J1919" s="10"/>
      <c r="K1919" s="18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</row>
    <row r="1920" ht="14.25" customHeight="1">
      <c r="A1920" s="9"/>
      <c r="B1920" s="8"/>
      <c r="C1920" s="8"/>
      <c r="D1920" s="8"/>
      <c r="E1920" s="8"/>
      <c r="F1920" s="8"/>
      <c r="G1920" s="8"/>
      <c r="H1920" s="8"/>
      <c r="I1920" s="10"/>
      <c r="J1920" s="10"/>
      <c r="K1920" s="18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</row>
    <row r="1921" ht="14.25" customHeight="1">
      <c r="A1921" s="9"/>
      <c r="B1921" s="8"/>
      <c r="C1921" s="8"/>
      <c r="D1921" s="8"/>
      <c r="E1921" s="8"/>
      <c r="F1921" s="8"/>
      <c r="G1921" s="8"/>
      <c r="H1921" s="8"/>
      <c r="I1921" s="10"/>
      <c r="J1921" s="10"/>
      <c r="K1921" s="18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</row>
    <row r="1922" ht="14.25" customHeight="1">
      <c r="A1922" s="9"/>
      <c r="B1922" s="8"/>
      <c r="C1922" s="8"/>
      <c r="D1922" s="8"/>
      <c r="E1922" s="8"/>
      <c r="F1922" s="8"/>
      <c r="G1922" s="8"/>
      <c r="H1922" s="8"/>
      <c r="I1922" s="10"/>
      <c r="J1922" s="10"/>
      <c r="K1922" s="18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</row>
    <row r="1923" ht="14.25" customHeight="1">
      <c r="A1923" s="9"/>
      <c r="B1923" s="8"/>
      <c r="C1923" s="8"/>
      <c r="D1923" s="8"/>
      <c r="E1923" s="8"/>
      <c r="F1923" s="8"/>
      <c r="G1923" s="8"/>
      <c r="H1923" s="8"/>
      <c r="I1923" s="10"/>
      <c r="J1923" s="10"/>
      <c r="K1923" s="18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</row>
    <row r="1924" ht="14.25" customHeight="1">
      <c r="A1924" s="9"/>
      <c r="B1924" s="8"/>
      <c r="C1924" s="8"/>
      <c r="D1924" s="8"/>
      <c r="E1924" s="8"/>
      <c r="F1924" s="8"/>
      <c r="G1924" s="8"/>
      <c r="H1924" s="8"/>
      <c r="I1924" s="10"/>
      <c r="J1924" s="10"/>
      <c r="K1924" s="18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</row>
    <row r="1925" ht="14.25" customHeight="1">
      <c r="A1925" s="9"/>
      <c r="B1925" s="8"/>
      <c r="C1925" s="8"/>
      <c r="D1925" s="8"/>
      <c r="E1925" s="8"/>
      <c r="F1925" s="8"/>
      <c r="G1925" s="8"/>
      <c r="H1925" s="8"/>
      <c r="I1925" s="10"/>
      <c r="J1925" s="10"/>
      <c r="K1925" s="18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</row>
    <row r="1926" ht="14.25" customHeight="1">
      <c r="A1926" s="9"/>
      <c r="B1926" s="8"/>
      <c r="C1926" s="8"/>
      <c r="D1926" s="8"/>
      <c r="E1926" s="8"/>
      <c r="F1926" s="8"/>
      <c r="G1926" s="8"/>
      <c r="H1926" s="8"/>
      <c r="I1926" s="10"/>
      <c r="J1926" s="10"/>
      <c r="K1926" s="18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</row>
    <row r="1927" ht="14.25" customHeight="1">
      <c r="A1927" s="9"/>
      <c r="B1927" s="8"/>
      <c r="C1927" s="8"/>
      <c r="D1927" s="8"/>
      <c r="E1927" s="8"/>
      <c r="F1927" s="8"/>
      <c r="G1927" s="8"/>
      <c r="H1927" s="8"/>
      <c r="I1927" s="10"/>
      <c r="J1927" s="10"/>
      <c r="K1927" s="18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</row>
    <row r="1928" ht="14.25" customHeight="1">
      <c r="A1928" s="9"/>
      <c r="B1928" s="8"/>
      <c r="C1928" s="8"/>
      <c r="D1928" s="8"/>
      <c r="E1928" s="8"/>
      <c r="F1928" s="8"/>
      <c r="G1928" s="8"/>
      <c r="H1928" s="8"/>
      <c r="I1928" s="10"/>
      <c r="J1928" s="10"/>
      <c r="K1928" s="18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</row>
    <row r="1929" ht="14.25" customHeight="1">
      <c r="A1929" s="9"/>
      <c r="B1929" s="8"/>
      <c r="C1929" s="8"/>
      <c r="D1929" s="8"/>
      <c r="E1929" s="8"/>
      <c r="F1929" s="8"/>
      <c r="G1929" s="8"/>
      <c r="H1929" s="8"/>
      <c r="I1929" s="10"/>
      <c r="J1929" s="10"/>
      <c r="K1929" s="18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</row>
    <row r="1930" ht="14.25" customHeight="1">
      <c r="A1930" s="9"/>
      <c r="B1930" s="8"/>
      <c r="C1930" s="8"/>
      <c r="D1930" s="8"/>
      <c r="E1930" s="8"/>
      <c r="F1930" s="8"/>
      <c r="G1930" s="8"/>
      <c r="H1930" s="8"/>
      <c r="I1930" s="10"/>
      <c r="J1930" s="10"/>
      <c r="K1930" s="18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</row>
    <row r="1931" ht="14.25" customHeight="1">
      <c r="A1931" s="9"/>
      <c r="B1931" s="8"/>
      <c r="C1931" s="8"/>
      <c r="D1931" s="8"/>
      <c r="E1931" s="8"/>
      <c r="F1931" s="8"/>
      <c r="G1931" s="8"/>
      <c r="H1931" s="8"/>
      <c r="I1931" s="10"/>
      <c r="J1931" s="10"/>
      <c r="K1931" s="18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</row>
    <row r="1932" ht="14.25" customHeight="1">
      <c r="A1932" s="9"/>
      <c r="B1932" s="8"/>
      <c r="C1932" s="8"/>
      <c r="D1932" s="8"/>
      <c r="E1932" s="8"/>
      <c r="F1932" s="8"/>
      <c r="G1932" s="8"/>
      <c r="H1932" s="8"/>
      <c r="I1932" s="10"/>
      <c r="J1932" s="10"/>
      <c r="K1932" s="18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</row>
    <row r="1933" ht="14.25" customHeight="1">
      <c r="A1933" s="9"/>
      <c r="B1933" s="8"/>
      <c r="C1933" s="8"/>
      <c r="D1933" s="8"/>
      <c r="E1933" s="8"/>
      <c r="F1933" s="8"/>
      <c r="G1933" s="8"/>
      <c r="H1933" s="8"/>
      <c r="I1933" s="10"/>
      <c r="J1933" s="10"/>
      <c r="K1933" s="18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</row>
    <row r="1934" ht="14.25" customHeight="1">
      <c r="A1934" s="9"/>
      <c r="B1934" s="8"/>
      <c r="C1934" s="8"/>
      <c r="D1934" s="8"/>
      <c r="E1934" s="8"/>
      <c r="F1934" s="8"/>
      <c r="G1934" s="8"/>
      <c r="H1934" s="8"/>
      <c r="I1934" s="10"/>
      <c r="J1934" s="10"/>
      <c r="K1934" s="18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</row>
    <row r="1935" ht="14.25" customHeight="1">
      <c r="A1935" s="9"/>
      <c r="B1935" s="8"/>
      <c r="C1935" s="8"/>
      <c r="D1935" s="8"/>
      <c r="E1935" s="8"/>
      <c r="F1935" s="8"/>
      <c r="G1935" s="8"/>
      <c r="H1935" s="8"/>
      <c r="I1935" s="10"/>
      <c r="J1935" s="10"/>
      <c r="K1935" s="18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</row>
    <row r="1936" ht="14.25" customHeight="1">
      <c r="A1936" s="9"/>
      <c r="B1936" s="8"/>
      <c r="C1936" s="8"/>
      <c r="D1936" s="8"/>
      <c r="E1936" s="8"/>
      <c r="F1936" s="8"/>
      <c r="G1936" s="8"/>
      <c r="H1936" s="8"/>
      <c r="I1936" s="10"/>
      <c r="J1936" s="10"/>
      <c r="K1936" s="18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</row>
    <row r="1937" ht="14.25" customHeight="1">
      <c r="A1937" s="9"/>
      <c r="B1937" s="8"/>
      <c r="C1937" s="8"/>
      <c r="D1937" s="8"/>
      <c r="E1937" s="8"/>
      <c r="F1937" s="8"/>
      <c r="G1937" s="8"/>
      <c r="H1937" s="8"/>
      <c r="I1937" s="10"/>
      <c r="J1937" s="10"/>
      <c r="K1937" s="18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</row>
    <row r="1938" ht="14.25" customHeight="1">
      <c r="A1938" s="9"/>
      <c r="B1938" s="8"/>
      <c r="C1938" s="8"/>
      <c r="D1938" s="8"/>
      <c r="E1938" s="8"/>
      <c r="F1938" s="8"/>
      <c r="G1938" s="8"/>
      <c r="H1938" s="8"/>
      <c r="I1938" s="10"/>
      <c r="J1938" s="10"/>
      <c r="K1938" s="18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</row>
    <row r="1939" ht="14.25" customHeight="1">
      <c r="A1939" s="9"/>
      <c r="B1939" s="8"/>
      <c r="C1939" s="8"/>
      <c r="D1939" s="8"/>
      <c r="E1939" s="8"/>
      <c r="F1939" s="8"/>
      <c r="G1939" s="8"/>
      <c r="H1939" s="8"/>
      <c r="I1939" s="10"/>
      <c r="J1939" s="10"/>
      <c r="K1939" s="18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</row>
    <row r="1940" ht="14.25" customHeight="1">
      <c r="A1940" s="9"/>
      <c r="B1940" s="8"/>
      <c r="C1940" s="8"/>
      <c r="D1940" s="8"/>
      <c r="E1940" s="8"/>
      <c r="F1940" s="8"/>
      <c r="G1940" s="8"/>
      <c r="H1940" s="8"/>
      <c r="I1940" s="10"/>
      <c r="J1940" s="10"/>
      <c r="K1940" s="18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</row>
    <row r="1941" ht="14.25" customHeight="1">
      <c r="A1941" s="9"/>
      <c r="B1941" s="8"/>
      <c r="C1941" s="8"/>
      <c r="D1941" s="8"/>
      <c r="E1941" s="8"/>
      <c r="F1941" s="8"/>
      <c r="G1941" s="8"/>
      <c r="H1941" s="8"/>
      <c r="I1941" s="10"/>
      <c r="J1941" s="10"/>
      <c r="K1941" s="18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</row>
    <row r="1942" ht="14.25" customHeight="1">
      <c r="A1942" s="9"/>
      <c r="B1942" s="8"/>
      <c r="C1942" s="8"/>
      <c r="D1942" s="8"/>
      <c r="E1942" s="8"/>
      <c r="F1942" s="8"/>
      <c r="G1942" s="8"/>
      <c r="H1942" s="8"/>
      <c r="I1942" s="10"/>
      <c r="J1942" s="10"/>
      <c r="K1942" s="18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</row>
    <row r="1943" ht="14.25" customHeight="1">
      <c r="A1943" s="9"/>
      <c r="B1943" s="8"/>
      <c r="C1943" s="8"/>
      <c r="D1943" s="8"/>
      <c r="E1943" s="8"/>
      <c r="F1943" s="8"/>
      <c r="G1943" s="8"/>
      <c r="H1943" s="8"/>
      <c r="I1943" s="10"/>
      <c r="J1943" s="10"/>
      <c r="K1943" s="18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</row>
    <row r="1944" ht="14.25" customHeight="1">
      <c r="A1944" s="9"/>
      <c r="B1944" s="8"/>
      <c r="C1944" s="8"/>
      <c r="D1944" s="8"/>
      <c r="E1944" s="8"/>
      <c r="F1944" s="8"/>
      <c r="G1944" s="8"/>
      <c r="H1944" s="8"/>
      <c r="I1944" s="10"/>
      <c r="J1944" s="10"/>
      <c r="K1944" s="18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</row>
    <row r="1945" ht="14.25" customHeight="1">
      <c r="A1945" s="9"/>
      <c r="B1945" s="8"/>
      <c r="C1945" s="8"/>
      <c r="D1945" s="8"/>
      <c r="E1945" s="8"/>
      <c r="F1945" s="8"/>
      <c r="G1945" s="8"/>
      <c r="H1945" s="8"/>
      <c r="I1945" s="10"/>
      <c r="J1945" s="10"/>
      <c r="K1945" s="18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</row>
    <row r="1946" ht="14.25" customHeight="1">
      <c r="A1946" s="9"/>
      <c r="B1946" s="8"/>
      <c r="C1946" s="8"/>
      <c r="D1946" s="8"/>
      <c r="E1946" s="8"/>
      <c r="F1946" s="8"/>
      <c r="G1946" s="8"/>
      <c r="H1946" s="8"/>
      <c r="I1946" s="10"/>
      <c r="J1946" s="10"/>
      <c r="K1946" s="18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</row>
    <row r="1947" ht="14.25" customHeight="1">
      <c r="A1947" s="9"/>
      <c r="B1947" s="8"/>
      <c r="C1947" s="8"/>
      <c r="D1947" s="8"/>
      <c r="E1947" s="8"/>
      <c r="F1947" s="8"/>
      <c r="G1947" s="8"/>
      <c r="H1947" s="8"/>
      <c r="I1947" s="10"/>
      <c r="J1947" s="10"/>
      <c r="K1947" s="18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</row>
    <row r="1948" ht="14.25" customHeight="1">
      <c r="A1948" s="9"/>
      <c r="B1948" s="8"/>
      <c r="C1948" s="8"/>
      <c r="D1948" s="8"/>
      <c r="E1948" s="8"/>
      <c r="F1948" s="8"/>
      <c r="G1948" s="8"/>
      <c r="H1948" s="8"/>
      <c r="I1948" s="10"/>
      <c r="J1948" s="10"/>
      <c r="K1948" s="18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</row>
    <row r="1949" ht="14.25" customHeight="1">
      <c r="A1949" s="9"/>
      <c r="B1949" s="8"/>
      <c r="C1949" s="8"/>
      <c r="D1949" s="8"/>
      <c r="E1949" s="8"/>
      <c r="F1949" s="8"/>
      <c r="G1949" s="8"/>
      <c r="H1949" s="8"/>
      <c r="I1949" s="10"/>
      <c r="J1949" s="10"/>
      <c r="K1949" s="18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</row>
    <row r="1950" ht="14.25" customHeight="1">
      <c r="A1950" s="9"/>
      <c r="B1950" s="8"/>
      <c r="C1950" s="8"/>
      <c r="D1950" s="8"/>
      <c r="E1950" s="8"/>
      <c r="F1950" s="8"/>
      <c r="G1950" s="8"/>
      <c r="H1950" s="8"/>
      <c r="I1950" s="10"/>
      <c r="J1950" s="10"/>
      <c r="K1950" s="18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</row>
    <row r="1951" ht="14.25" customHeight="1">
      <c r="A1951" s="9"/>
      <c r="B1951" s="8"/>
      <c r="C1951" s="8"/>
      <c r="D1951" s="8"/>
      <c r="E1951" s="8"/>
      <c r="F1951" s="8"/>
      <c r="G1951" s="8"/>
      <c r="H1951" s="8"/>
      <c r="I1951" s="10"/>
      <c r="J1951" s="10"/>
      <c r="K1951" s="18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</row>
    <row r="1952" ht="14.25" customHeight="1">
      <c r="A1952" s="9"/>
      <c r="B1952" s="8"/>
      <c r="C1952" s="8"/>
      <c r="D1952" s="8"/>
      <c r="E1952" s="8"/>
      <c r="F1952" s="8"/>
      <c r="G1952" s="8"/>
      <c r="H1952" s="8"/>
      <c r="I1952" s="10"/>
      <c r="J1952" s="10"/>
      <c r="K1952" s="18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</row>
    <row r="1953" ht="14.25" customHeight="1">
      <c r="A1953" s="9"/>
      <c r="B1953" s="8"/>
      <c r="C1953" s="8"/>
      <c r="D1953" s="8"/>
      <c r="E1953" s="8"/>
      <c r="F1953" s="8"/>
      <c r="G1953" s="8"/>
      <c r="H1953" s="8"/>
      <c r="I1953" s="10"/>
      <c r="J1953" s="10"/>
      <c r="K1953" s="18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</row>
    <row r="1954" ht="14.25" customHeight="1">
      <c r="A1954" s="9"/>
      <c r="B1954" s="8"/>
      <c r="C1954" s="8"/>
      <c r="D1954" s="8"/>
      <c r="E1954" s="8"/>
      <c r="F1954" s="8"/>
      <c r="G1954" s="8"/>
      <c r="H1954" s="8"/>
      <c r="I1954" s="10"/>
      <c r="J1954" s="10"/>
      <c r="K1954" s="18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</row>
    <row r="1955" ht="14.25" customHeight="1">
      <c r="A1955" s="9"/>
      <c r="B1955" s="8"/>
      <c r="C1955" s="8"/>
      <c r="D1955" s="8"/>
      <c r="E1955" s="8"/>
      <c r="F1955" s="8"/>
      <c r="G1955" s="8"/>
      <c r="H1955" s="8"/>
      <c r="I1955" s="10"/>
      <c r="J1955" s="10"/>
      <c r="K1955" s="18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</row>
    <row r="1956" ht="14.25" customHeight="1">
      <c r="A1956" s="9"/>
      <c r="B1956" s="8"/>
      <c r="C1956" s="8"/>
      <c r="D1956" s="8"/>
      <c r="E1956" s="8"/>
      <c r="F1956" s="8"/>
      <c r="G1956" s="8"/>
      <c r="H1956" s="8"/>
      <c r="I1956" s="10"/>
      <c r="J1956" s="10"/>
      <c r="K1956" s="18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</row>
    <row r="1957" ht="14.25" customHeight="1">
      <c r="A1957" s="9"/>
      <c r="B1957" s="8"/>
      <c r="C1957" s="8"/>
      <c r="D1957" s="8"/>
      <c r="E1957" s="8"/>
      <c r="F1957" s="8"/>
      <c r="G1957" s="8"/>
      <c r="H1957" s="8"/>
      <c r="I1957" s="10"/>
      <c r="J1957" s="10"/>
      <c r="K1957" s="18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</row>
    <row r="1958" ht="14.25" customHeight="1">
      <c r="A1958" s="9"/>
      <c r="B1958" s="8"/>
      <c r="C1958" s="8"/>
      <c r="D1958" s="8"/>
      <c r="E1958" s="8"/>
      <c r="F1958" s="8"/>
      <c r="G1958" s="8"/>
      <c r="H1958" s="8"/>
      <c r="I1958" s="10"/>
      <c r="J1958" s="10"/>
      <c r="K1958" s="18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</row>
    <row r="1959" ht="14.25" customHeight="1">
      <c r="A1959" s="9"/>
      <c r="B1959" s="8"/>
      <c r="C1959" s="8"/>
      <c r="D1959" s="8"/>
      <c r="E1959" s="8"/>
      <c r="F1959" s="8"/>
      <c r="G1959" s="8"/>
      <c r="H1959" s="8"/>
      <c r="I1959" s="10"/>
      <c r="J1959" s="10"/>
      <c r="K1959" s="18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</row>
    <row r="1960" ht="14.25" customHeight="1">
      <c r="A1960" s="9"/>
      <c r="B1960" s="8"/>
      <c r="C1960" s="8"/>
      <c r="D1960" s="8"/>
      <c r="E1960" s="8"/>
      <c r="F1960" s="8"/>
      <c r="G1960" s="8"/>
      <c r="H1960" s="8"/>
      <c r="I1960" s="10"/>
      <c r="J1960" s="10"/>
      <c r="K1960" s="18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</row>
    <row r="1961" ht="14.25" customHeight="1">
      <c r="A1961" s="9"/>
      <c r="B1961" s="8"/>
      <c r="C1961" s="8"/>
      <c r="D1961" s="8"/>
      <c r="E1961" s="8"/>
      <c r="F1961" s="8"/>
      <c r="G1961" s="8"/>
      <c r="H1961" s="8"/>
      <c r="I1961" s="10"/>
      <c r="J1961" s="10"/>
      <c r="K1961" s="18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</row>
    <row r="1962" ht="14.25" customHeight="1">
      <c r="A1962" s="9"/>
      <c r="B1962" s="8"/>
      <c r="C1962" s="8"/>
      <c r="D1962" s="8"/>
      <c r="E1962" s="8"/>
      <c r="F1962" s="8"/>
      <c r="G1962" s="8"/>
      <c r="H1962" s="8"/>
      <c r="I1962" s="10"/>
      <c r="J1962" s="10"/>
      <c r="K1962" s="18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</row>
    <row r="1963" ht="14.25" customHeight="1">
      <c r="A1963" s="9"/>
      <c r="B1963" s="8"/>
      <c r="C1963" s="8"/>
      <c r="D1963" s="8"/>
      <c r="E1963" s="8"/>
      <c r="F1963" s="8"/>
      <c r="G1963" s="8"/>
      <c r="H1963" s="8"/>
      <c r="I1963" s="10"/>
      <c r="J1963" s="10"/>
      <c r="K1963" s="18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</row>
    <row r="1964" ht="14.25" customHeight="1">
      <c r="A1964" s="9"/>
      <c r="B1964" s="8"/>
      <c r="C1964" s="8"/>
      <c r="D1964" s="8"/>
      <c r="E1964" s="8"/>
      <c r="F1964" s="8"/>
      <c r="G1964" s="8"/>
      <c r="H1964" s="8"/>
      <c r="I1964" s="10"/>
      <c r="J1964" s="10"/>
      <c r="K1964" s="18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</row>
    <row r="1965" ht="14.25" customHeight="1">
      <c r="A1965" s="9"/>
      <c r="B1965" s="8"/>
      <c r="C1965" s="8"/>
      <c r="D1965" s="8"/>
      <c r="E1965" s="8"/>
      <c r="F1965" s="8"/>
      <c r="G1965" s="8"/>
      <c r="H1965" s="8"/>
      <c r="I1965" s="10"/>
      <c r="J1965" s="10"/>
      <c r="K1965" s="18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</row>
    <row r="1966" ht="14.25" customHeight="1">
      <c r="A1966" s="9"/>
      <c r="B1966" s="8"/>
      <c r="C1966" s="8"/>
      <c r="D1966" s="8"/>
      <c r="E1966" s="8"/>
      <c r="F1966" s="8"/>
      <c r="G1966" s="8"/>
      <c r="H1966" s="8"/>
      <c r="I1966" s="10"/>
      <c r="J1966" s="10"/>
      <c r="K1966" s="18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</row>
    <row r="1967" ht="14.25" customHeight="1">
      <c r="A1967" s="9"/>
      <c r="B1967" s="8"/>
      <c r="C1967" s="8"/>
      <c r="D1967" s="8"/>
      <c r="E1967" s="8"/>
      <c r="F1967" s="8"/>
      <c r="G1967" s="8"/>
      <c r="H1967" s="8"/>
      <c r="I1967" s="10"/>
      <c r="J1967" s="10"/>
      <c r="K1967" s="18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</row>
    <row r="1968" ht="14.25" customHeight="1">
      <c r="A1968" s="9"/>
      <c r="B1968" s="8"/>
      <c r="C1968" s="8"/>
      <c r="D1968" s="8"/>
      <c r="E1968" s="8"/>
      <c r="F1968" s="8"/>
      <c r="G1968" s="8"/>
      <c r="H1968" s="8"/>
      <c r="I1968" s="10"/>
      <c r="J1968" s="10"/>
      <c r="K1968" s="18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</row>
    <row r="1969" ht="14.25" customHeight="1">
      <c r="A1969" s="9"/>
      <c r="B1969" s="8"/>
      <c r="C1969" s="8"/>
      <c r="D1969" s="8"/>
      <c r="E1969" s="8"/>
      <c r="F1969" s="8"/>
      <c r="G1969" s="8"/>
      <c r="H1969" s="8"/>
      <c r="I1969" s="10"/>
      <c r="J1969" s="10"/>
      <c r="K1969" s="18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</row>
    <row r="1970" ht="14.25" customHeight="1">
      <c r="A1970" s="9"/>
      <c r="B1970" s="8"/>
      <c r="C1970" s="8"/>
      <c r="D1970" s="8"/>
      <c r="E1970" s="8"/>
      <c r="F1970" s="8"/>
      <c r="G1970" s="8"/>
      <c r="H1970" s="8"/>
      <c r="I1970" s="10"/>
      <c r="J1970" s="10"/>
      <c r="K1970" s="18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</row>
    <row r="1971" ht="14.25" customHeight="1">
      <c r="A1971" s="9"/>
      <c r="B1971" s="8"/>
      <c r="C1971" s="8"/>
      <c r="D1971" s="8"/>
      <c r="E1971" s="8"/>
      <c r="F1971" s="8"/>
      <c r="G1971" s="8"/>
      <c r="H1971" s="8"/>
      <c r="I1971" s="10"/>
      <c r="J1971" s="10"/>
      <c r="K1971" s="18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</row>
    <row r="1972" ht="14.25" customHeight="1">
      <c r="A1972" s="9"/>
      <c r="B1972" s="8"/>
      <c r="C1972" s="8"/>
      <c r="D1972" s="8"/>
      <c r="E1972" s="8"/>
      <c r="F1972" s="8"/>
      <c r="G1972" s="8"/>
      <c r="H1972" s="8"/>
      <c r="I1972" s="10"/>
      <c r="J1972" s="10"/>
      <c r="K1972" s="18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</row>
    <row r="1973" ht="14.25" customHeight="1">
      <c r="A1973" s="9"/>
      <c r="B1973" s="8"/>
      <c r="C1973" s="8"/>
      <c r="D1973" s="8"/>
      <c r="E1973" s="8"/>
      <c r="F1973" s="8"/>
      <c r="G1973" s="8"/>
      <c r="H1973" s="8"/>
      <c r="I1973" s="10"/>
      <c r="J1973" s="10"/>
      <c r="K1973" s="18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</row>
    <row r="1974" ht="14.25" customHeight="1">
      <c r="A1974" s="9"/>
      <c r="B1974" s="8"/>
      <c r="C1974" s="8"/>
      <c r="D1974" s="8"/>
      <c r="E1974" s="8"/>
      <c r="F1974" s="8"/>
      <c r="G1974" s="8"/>
      <c r="H1974" s="8"/>
      <c r="I1974" s="10"/>
      <c r="J1974" s="10"/>
      <c r="K1974" s="18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</row>
    <row r="1975" ht="14.25" customHeight="1">
      <c r="A1975" s="9"/>
      <c r="B1975" s="8"/>
      <c r="C1975" s="8"/>
      <c r="D1975" s="8"/>
      <c r="E1975" s="8"/>
      <c r="F1975" s="8"/>
      <c r="G1975" s="8"/>
      <c r="H1975" s="8"/>
      <c r="I1975" s="10"/>
      <c r="J1975" s="10"/>
      <c r="K1975" s="18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</row>
    <row r="1976" ht="14.25" customHeight="1">
      <c r="A1976" s="9"/>
      <c r="B1976" s="8"/>
      <c r="C1976" s="8"/>
      <c r="D1976" s="8"/>
      <c r="E1976" s="8"/>
      <c r="F1976" s="8"/>
      <c r="G1976" s="8"/>
      <c r="H1976" s="8"/>
      <c r="I1976" s="10"/>
      <c r="J1976" s="10"/>
      <c r="K1976" s="18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</row>
    <row r="1977" ht="14.25" customHeight="1">
      <c r="A1977" s="9"/>
      <c r="B1977" s="8"/>
      <c r="C1977" s="8"/>
      <c r="D1977" s="8"/>
      <c r="E1977" s="8"/>
      <c r="F1977" s="8"/>
      <c r="G1977" s="8"/>
      <c r="H1977" s="8"/>
      <c r="I1977" s="10"/>
      <c r="J1977" s="10"/>
      <c r="K1977" s="18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</row>
    <row r="1978" ht="14.25" customHeight="1">
      <c r="A1978" s="9"/>
      <c r="B1978" s="8"/>
      <c r="C1978" s="8"/>
      <c r="D1978" s="8"/>
      <c r="E1978" s="8"/>
      <c r="F1978" s="8"/>
      <c r="G1978" s="8"/>
      <c r="H1978" s="8"/>
      <c r="I1978" s="10"/>
      <c r="J1978" s="10"/>
      <c r="K1978" s="18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</row>
    <row r="1979" ht="14.25" customHeight="1">
      <c r="A1979" s="9"/>
      <c r="B1979" s="8"/>
      <c r="C1979" s="8"/>
      <c r="D1979" s="8"/>
      <c r="E1979" s="8"/>
      <c r="F1979" s="8"/>
      <c r="G1979" s="8"/>
      <c r="H1979" s="8"/>
      <c r="I1979" s="10"/>
      <c r="J1979" s="10"/>
      <c r="K1979" s="18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</row>
    <row r="1980" ht="14.25" customHeight="1">
      <c r="A1980" s="9"/>
      <c r="B1980" s="8"/>
      <c r="C1980" s="8"/>
      <c r="D1980" s="8"/>
      <c r="E1980" s="8"/>
      <c r="F1980" s="8"/>
      <c r="G1980" s="8"/>
      <c r="H1980" s="8"/>
      <c r="I1980" s="10"/>
      <c r="J1980" s="10"/>
      <c r="K1980" s="18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</row>
    <row r="1981" ht="14.25" customHeight="1">
      <c r="A1981" s="9"/>
      <c r="B1981" s="8"/>
      <c r="C1981" s="8"/>
      <c r="D1981" s="8"/>
      <c r="E1981" s="8"/>
      <c r="F1981" s="8"/>
      <c r="G1981" s="8"/>
      <c r="H1981" s="8"/>
      <c r="I1981" s="10"/>
      <c r="J1981" s="10"/>
      <c r="K1981" s="18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</row>
    <row r="1982" ht="14.25" customHeight="1">
      <c r="A1982" s="9"/>
      <c r="B1982" s="8"/>
      <c r="C1982" s="8"/>
      <c r="D1982" s="8"/>
      <c r="E1982" s="8"/>
      <c r="F1982" s="8"/>
      <c r="G1982" s="8"/>
      <c r="H1982" s="8"/>
      <c r="I1982" s="10"/>
      <c r="J1982" s="10"/>
      <c r="K1982" s="18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</row>
    <row r="1983" ht="14.25" customHeight="1">
      <c r="A1983" s="9"/>
      <c r="B1983" s="8"/>
      <c r="C1983" s="8"/>
      <c r="D1983" s="8"/>
      <c r="E1983" s="8"/>
      <c r="F1983" s="8"/>
      <c r="G1983" s="8"/>
      <c r="H1983" s="8"/>
      <c r="I1983" s="10"/>
      <c r="J1983" s="10"/>
      <c r="K1983" s="18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</row>
    <row r="1984" ht="14.25" customHeight="1">
      <c r="A1984" s="9"/>
      <c r="B1984" s="8"/>
      <c r="C1984" s="8"/>
      <c r="D1984" s="8"/>
      <c r="E1984" s="8"/>
      <c r="F1984" s="8"/>
      <c r="G1984" s="8"/>
      <c r="H1984" s="8"/>
      <c r="I1984" s="10"/>
      <c r="J1984" s="10"/>
      <c r="K1984" s="18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</row>
    <row r="1985" ht="14.25" customHeight="1">
      <c r="A1985" s="9"/>
      <c r="B1985" s="8"/>
      <c r="C1985" s="8"/>
      <c r="D1985" s="8"/>
      <c r="E1985" s="8"/>
      <c r="F1985" s="8"/>
      <c r="G1985" s="8"/>
      <c r="H1985" s="8"/>
      <c r="I1985" s="10"/>
      <c r="J1985" s="10"/>
      <c r="K1985" s="18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</row>
    <row r="1986" ht="14.25" customHeight="1">
      <c r="A1986" s="9"/>
      <c r="B1986" s="8"/>
      <c r="C1986" s="8"/>
      <c r="D1986" s="8"/>
      <c r="E1986" s="8"/>
      <c r="F1986" s="8"/>
      <c r="G1986" s="8"/>
      <c r="H1986" s="8"/>
      <c r="I1986" s="10"/>
      <c r="J1986" s="10"/>
      <c r="K1986" s="18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</row>
    <row r="1987" ht="14.25" customHeight="1">
      <c r="A1987" s="9"/>
      <c r="B1987" s="8"/>
      <c r="C1987" s="8"/>
      <c r="D1987" s="8"/>
      <c r="E1987" s="8"/>
      <c r="F1987" s="8"/>
      <c r="G1987" s="8"/>
      <c r="H1987" s="8"/>
      <c r="I1987" s="10"/>
      <c r="J1987" s="10"/>
      <c r="K1987" s="18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</row>
    <row r="1988" ht="14.25" customHeight="1">
      <c r="A1988" s="9"/>
      <c r="B1988" s="8"/>
      <c r="C1988" s="8"/>
      <c r="D1988" s="8"/>
      <c r="E1988" s="8"/>
      <c r="F1988" s="8"/>
      <c r="G1988" s="8"/>
      <c r="H1988" s="8"/>
      <c r="I1988" s="10"/>
      <c r="J1988" s="10"/>
      <c r="K1988" s="18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</row>
    <row r="1989" ht="14.25" customHeight="1">
      <c r="A1989" s="9"/>
      <c r="B1989" s="8"/>
      <c r="C1989" s="8"/>
      <c r="D1989" s="8"/>
      <c r="E1989" s="8"/>
      <c r="F1989" s="8"/>
      <c r="G1989" s="8"/>
      <c r="H1989" s="8"/>
      <c r="I1989" s="10"/>
      <c r="J1989" s="10"/>
      <c r="K1989" s="18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</row>
    <row r="1990" ht="14.25" customHeight="1">
      <c r="A1990" s="9"/>
      <c r="B1990" s="8"/>
      <c r="C1990" s="8"/>
      <c r="D1990" s="8"/>
      <c r="E1990" s="8"/>
      <c r="F1990" s="8"/>
      <c r="G1990" s="8"/>
      <c r="H1990" s="8"/>
      <c r="I1990" s="10"/>
      <c r="J1990" s="10"/>
      <c r="K1990" s="18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</row>
    <row r="1991" ht="14.25" customHeight="1">
      <c r="A1991" s="9"/>
      <c r="B1991" s="8"/>
      <c r="C1991" s="8"/>
      <c r="D1991" s="8"/>
      <c r="E1991" s="8"/>
      <c r="F1991" s="8"/>
      <c r="G1991" s="8"/>
      <c r="H1991" s="8"/>
      <c r="I1991" s="10"/>
      <c r="J1991" s="10"/>
      <c r="K1991" s="18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</row>
    <row r="1992" ht="14.25" customHeight="1">
      <c r="A1992" s="9"/>
      <c r="B1992" s="8"/>
      <c r="C1992" s="8"/>
      <c r="D1992" s="8"/>
      <c r="E1992" s="8"/>
      <c r="F1992" s="8"/>
      <c r="G1992" s="8"/>
      <c r="H1992" s="8"/>
      <c r="I1992" s="10"/>
      <c r="J1992" s="10"/>
      <c r="K1992" s="18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</row>
    <row r="1993" ht="14.25" customHeight="1">
      <c r="A1993" s="9"/>
      <c r="B1993" s="8"/>
      <c r="C1993" s="8"/>
      <c r="D1993" s="8"/>
      <c r="E1993" s="8"/>
      <c r="F1993" s="8"/>
      <c r="G1993" s="8"/>
      <c r="H1993" s="8"/>
      <c r="I1993" s="10"/>
      <c r="J1993" s="10"/>
      <c r="K1993" s="18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</row>
    <row r="1994" ht="14.25" customHeight="1">
      <c r="A1994" s="9"/>
      <c r="B1994" s="8"/>
      <c r="C1994" s="8"/>
      <c r="D1994" s="8"/>
      <c r="E1994" s="8"/>
      <c r="F1994" s="8"/>
      <c r="G1994" s="8"/>
      <c r="H1994" s="8"/>
      <c r="I1994" s="10"/>
      <c r="J1994" s="10"/>
      <c r="K1994" s="18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</row>
    <row r="1995" ht="14.25" customHeight="1">
      <c r="A1995" s="9"/>
      <c r="B1995" s="8"/>
      <c r="C1995" s="8"/>
      <c r="D1995" s="8"/>
      <c r="E1995" s="8"/>
      <c r="F1995" s="8"/>
      <c r="G1995" s="8"/>
      <c r="H1995" s="8"/>
      <c r="I1995" s="10"/>
      <c r="J1995" s="10"/>
      <c r="K1995" s="18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</row>
    <row r="1996" ht="14.25" customHeight="1">
      <c r="A1996" s="9"/>
      <c r="B1996" s="8"/>
      <c r="C1996" s="8"/>
      <c r="D1996" s="8"/>
      <c r="E1996" s="8"/>
      <c r="F1996" s="8"/>
      <c r="G1996" s="8"/>
      <c r="H1996" s="8"/>
      <c r="I1996" s="10"/>
      <c r="J1996" s="10"/>
      <c r="K1996" s="18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</row>
    <row r="1997" ht="14.25" customHeight="1">
      <c r="A1997" s="9"/>
      <c r="B1997" s="8"/>
      <c r="C1997" s="8"/>
      <c r="D1997" s="8"/>
      <c r="E1997" s="8"/>
      <c r="F1997" s="8"/>
      <c r="G1997" s="8"/>
      <c r="H1997" s="8"/>
      <c r="I1997" s="10"/>
      <c r="J1997" s="10"/>
      <c r="K1997" s="18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</row>
    <row r="1998" ht="14.25" customHeight="1">
      <c r="A1998" s="9"/>
      <c r="B1998" s="8"/>
      <c r="C1998" s="8"/>
      <c r="D1998" s="8"/>
      <c r="E1998" s="8"/>
      <c r="F1998" s="8"/>
      <c r="G1998" s="8"/>
      <c r="H1998" s="8"/>
      <c r="I1998" s="10"/>
      <c r="J1998" s="10"/>
      <c r="K1998" s="18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</row>
    <row r="1999" ht="14.25" customHeight="1">
      <c r="A1999" s="9"/>
      <c r="B1999" s="8"/>
      <c r="C1999" s="8"/>
      <c r="D1999" s="8"/>
      <c r="E1999" s="8"/>
      <c r="F1999" s="8"/>
      <c r="G1999" s="8"/>
      <c r="H1999" s="8"/>
      <c r="I1999" s="10"/>
      <c r="J1999" s="10"/>
      <c r="K1999" s="18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</row>
    <row r="2000" ht="14.25" customHeight="1">
      <c r="A2000" s="9"/>
      <c r="B2000" s="8"/>
      <c r="C2000" s="8"/>
      <c r="D2000" s="8"/>
      <c r="E2000" s="8"/>
      <c r="F2000" s="8"/>
      <c r="G2000" s="8"/>
      <c r="H2000" s="8"/>
      <c r="I2000" s="10"/>
      <c r="J2000" s="10"/>
      <c r="K2000" s="18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</row>
    <row r="2001" ht="14.25" customHeight="1">
      <c r="A2001" s="9"/>
      <c r="B2001" s="8"/>
      <c r="C2001" s="8"/>
      <c r="D2001" s="8"/>
      <c r="E2001" s="8"/>
      <c r="F2001" s="8"/>
      <c r="G2001" s="8"/>
      <c r="H2001" s="8"/>
      <c r="I2001" s="10"/>
      <c r="J2001" s="10"/>
      <c r="K2001" s="18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</row>
    <row r="2002" ht="14.25" customHeight="1">
      <c r="A2002" s="9"/>
      <c r="B2002" s="8"/>
      <c r="C2002" s="8"/>
      <c r="D2002" s="8"/>
      <c r="E2002" s="8"/>
      <c r="F2002" s="8"/>
      <c r="G2002" s="8"/>
      <c r="H2002" s="8"/>
      <c r="I2002" s="10"/>
      <c r="J2002" s="10"/>
      <c r="K2002" s="18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</row>
    <row r="2003" ht="14.25" customHeight="1">
      <c r="A2003" s="9"/>
      <c r="B2003" s="8"/>
      <c r="C2003" s="8"/>
      <c r="D2003" s="8"/>
      <c r="E2003" s="8"/>
      <c r="F2003" s="8"/>
      <c r="G2003" s="8"/>
      <c r="H2003" s="8"/>
      <c r="I2003" s="10"/>
      <c r="J2003" s="10"/>
      <c r="K2003" s="18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</row>
    <row r="2004" ht="14.25" customHeight="1">
      <c r="A2004" s="9"/>
      <c r="B2004" s="8"/>
      <c r="C2004" s="8"/>
      <c r="D2004" s="8"/>
      <c r="E2004" s="8"/>
      <c r="F2004" s="8"/>
      <c r="G2004" s="8"/>
      <c r="H2004" s="8"/>
      <c r="I2004" s="10"/>
      <c r="J2004" s="10"/>
      <c r="K2004" s="18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</row>
    <row r="2005" ht="14.25" customHeight="1">
      <c r="A2005" s="9"/>
      <c r="B2005" s="8"/>
      <c r="C2005" s="8"/>
      <c r="D2005" s="8"/>
      <c r="E2005" s="8"/>
      <c r="F2005" s="8"/>
      <c r="G2005" s="8"/>
      <c r="H2005" s="8"/>
      <c r="I2005" s="10"/>
      <c r="J2005" s="10"/>
      <c r="K2005" s="18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</row>
    <row r="2006" ht="14.25" customHeight="1">
      <c r="A2006" s="9"/>
      <c r="B2006" s="8"/>
      <c r="C2006" s="8"/>
      <c r="D2006" s="8"/>
      <c r="E2006" s="8"/>
      <c r="F2006" s="8"/>
      <c r="G2006" s="8"/>
      <c r="H2006" s="8"/>
      <c r="I2006" s="10"/>
      <c r="J2006" s="10"/>
      <c r="K2006" s="18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</row>
    <row r="2007" ht="14.25" customHeight="1">
      <c r="A2007" s="9"/>
      <c r="B2007" s="8"/>
      <c r="C2007" s="8"/>
      <c r="D2007" s="8"/>
      <c r="E2007" s="8"/>
      <c r="F2007" s="8"/>
      <c r="G2007" s="8"/>
      <c r="H2007" s="8"/>
      <c r="I2007" s="10"/>
      <c r="J2007" s="10"/>
      <c r="K2007" s="18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</row>
    <row r="2008" ht="14.25" customHeight="1">
      <c r="A2008" s="9"/>
      <c r="B2008" s="8"/>
      <c r="C2008" s="8"/>
      <c r="D2008" s="8"/>
      <c r="E2008" s="8"/>
      <c r="F2008" s="8"/>
      <c r="G2008" s="8"/>
      <c r="H2008" s="8"/>
      <c r="I2008" s="10"/>
      <c r="J2008" s="10"/>
      <c r="K2008" s="18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</row>
    <row r="2009" ht="14.25" customHeight="1">
      <c r="A2009" s="9"/>
      <c r="B2009" s="8"/>
      <c r="C2009" s="8"/>
      <c r="D2009" s="8"/>
      <c r="E2009" s="8"/>
      <c r="F2009" s="8"/>
      <c r="G2009" s="8"/>
      <c r="H2009" s="8"/>
      <c r="I2009" s="10"/>
      <c r="J2009" s="10"/>
      <c r="K2009" s="18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</row>
    <row r="2010" ht="14.25" customHeight="1">
      <c r="A2010" s="9"/>
      <c r="B2010" s="8"/>
      <c r="C2010" s="8"/>
      <c r="D2010" s="8"/>
      <c r="E2010" s="8"/>
      <c r="F2010" s="8"/>
      <c r="G2010" s="8"/>
      <c r="H2010" s="8"/>
      <c r="I2010" s="10"/>
      <c r="J2010" s="10"/>
      <c r="K2010" s="18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</row>
    <row r="2011" ht="14.25" customHeight="1">
      <c r="A2011" s="9"/>
      <c r="B2011" s="8"/>
      <c r="C2011" s="8"/>
      <c r="D2011" s="8"/>
      <c r="E2011" s="8"/>
      <c r="F2011" s="8"/>
      <c r="G2011" s="8"/>
      <c r="H2011" s="8"/>
      <c r="I2011" s="10"/>
      <c r="J2011" s="10"/>
      <c r="K2011" s="18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</row>
    <row r="2012" ht="14.25" customHeight="1">
      <c r="A2012" s="9"/>
      <c r="B2012" s="8"/>
      <c r="C2012" s="8"/>
      <c r="D2012" s="8"/>
      <c r="E2012" s="8"/>
      <c r="F2012" s="8"/>
      <c r="G2012" s="8"/>
      <c r="H2012" s="8"/>
      <c r="I2012" s="10"/>
      <c r="J2012" s="10"/>
      <c r="K2012" s="18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</row>
    <row r="2013" ht="14.25" customHeight="1">
      <c r="A2013" s="9"/>
      <c r="B2013" s="8"/>
      <c r="C2013" s="8"/>
      <c r="D2013" s="8"/>
      <c r="E2013" s="8"/>
      <c r="F2013" s="8"/>
      <c r="G2013" s="8"/>
      <c r="H2013" s="8"/>
      <c r="I2013" s="10"/>
      <c r="J2013" s="10"/>
      <c r="K2013" s="18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</row>
    <row r="2014" ht="14.25" customHeight="1">
      <c r="A2014" s="9"/>
      <c r="B2014" s="8"/>
      <c r="C2014" s="8"/>
      <c r="D2014" s="8"/>
      <c r="E2014" s="8"/>
      <c r="F2014" s="8"/>
      <c r="G2014" s="8"/>
      <c r="H2014" s="8"/>
      <c r="I2014" s="10"/>
      <c r="J2014" s="10"/>
      <c r="K2014" s="18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</row>
    <row r="2015" ht="14.25" customHeight="1">
      <c r="A2015" s="9"/>
      <c r="B2015" s="8"/>
      <c r="C2015" s="8"/>
      <c r="D2015" s="8"/>
      <c r="E2015" s="8"/>
      <c r="F2015" s="8"/>
      <c r="G2015" s="8"/>
      <c r="H2015" s="8"/>
      <c r="I2015" s="10"/>
      <c r="J2015" s="10"/>
      <c r="K2015" s="18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</row>
    <row r="2016" ht="14.25" customHeight="1">
      <c r="A2016" s="9"/>
      <c r="B2016" s="8"/>
      <c r="C2016" s="8"/>
      <c r="D2016" s="8"/>
      <c r="E2016" s="8"/>
      <c r="F2016" s="8"/>
      <c r="G2016" s="8"/>
      <c r="H2016" s="8"/>
      <c r="I2016" s="10"/>
      <c r="J2016" s="10"/>
      <c r="K2016" s="18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</row>
    <row r="2017" ht="14.25" customHeight="1">
      <c r="A2017" s="9"/>
      <c r="B2017" s="8"/>
      <c r="C2017" s="8"/>
      <c r="D2017" s="8"/>
      <c r="E2017" s="8"/>
      <c r="F2017" s="8"/>
      <c r="G2017" s="8"/>
      <c r="H2017" s="8"/>
      <c r="I2017" s="10"/>
      <c r="J2017" s="10"/>
      <c r="K2017" s="18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</row>
    <row r="2018" ht="14.25" customHeight="1">
      <c r="A2018" s="9"/>
      <c r="B2018" s="8"/>
      <c r="C2018" s="8"/>
      <c r="D2018" s="8"/>
      <c r="E2018" s="8"/>
      <c r="F2018" s="8"/>
      <c r="G2018" s="8"/>
      <c r="H2018" s="8"/>
      <c r="I2018" s="10"/>
      <c r="J2018" s="10"/>
      <c r="K2018" s="18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</row>
    <row r="2019" ht="14.25" customHeight="1">
      <c r="A2019" s="9"/>
      <c r="B2019" s="8"/>
      <c r="C2019" s="8"/>
      <c r="D2019" s="8"/>
      <c r="E2019" s="8"/>
      <c r="F2019" s="8"/>
      <c r="G2019" s="8"/>
      <c r="H2019" s="8"/>
      <c r="I2019" s="10"/>
      <c r="J2019" s="10"/>
      <c r="K2019" s="18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</row>
    <row r="2020" ht="14.25" customHeight="1">
      <c r="A2020" s="9"/>
      <c r="B2020" s="8"/>
      <c r="C2020" s="8"/>
      <c r="D2020" s="8"/>
      <c r="E2020" s="8"/>
      <c r="F2020" s="8"/>
      <c r="G2020" s="8"/>
      <c r="H2020" s="8"/>
      <c r="I2020" s="10"/>
      <c r="J2020" s="10"/>
      <c r="K2020" s="18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</row>
    <row r="2021" ht="14.25" customHeight="1">
      <c r="A2021" s="9"/>
      <c r="B2021" s="8"/>
      <c r="C2021" s="8"/>
      <c r="D2021" s="8"/>
      <c r="E2021" s="8"/>
      <c r="F2021" s="8"/>
      <c r="G2021" s="8"/>
      <c r="H2021" s="8"/>
      <c r="I2021" s="10"/>
      <c r="J2021" s="10"/>
      <c r="K2021" s="18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</row>
    <row r="2022" ht="14.25" customHeight="1">
      <c r="A2022" s="9"/>
      <c r="B2022" s="8"/>
      <c r="C2022" s="8"/>
      <c r="D2022" s="8"/>
      <c r="E2022" s="8"/>
      <c r="F2022" s="8"/>
      <c r="G2022" s="8"/>
      <c r="H2022" s="8"/>
      <c r="I2022" s="10"/>
      <c r="J2022" s="10"/>
      <c r="K2022" s="18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</row>
    <row r="2023" ht="14.25" customHeight="1">
      <c r="A2023" s="9"/>
      <c r="B2023" s="8"/>
      <c r="C2023" s="8"/>
      <c r="D2023" s="8"/>
      <c r="E2023" s="8"/>
      <c r="F2023" s="8"/>
      <c r="G2023" s="8"/>
      <c r="H2023" s="8"/>
      <c r="I2023" s="10"/>
      <c r="J2023" s="10"/>
      <c r="K2023" s="18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</row>
    <row r="2024" ht="14.25" customHeight="1">
      <c r="A2024" s="9"/>
      <c r="B2024" s="8"/>
      <c r="C2024" s="8"/>
      <c r="D2024" s="8"/>
      <c r="E2024" s="8"/>
      <c r="F2024" s="8"/>
      <c r="G2024" s="8"/>
      <c r="H2024" s="8"/>
      <c r="I2024" s="10"/>
      <c r="J2024" s="10"/>
      <c r="K2024" s="18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</row>
    <row r="2025" ht="14.25" customHeight="1">
      <c r="A2025" s="9"/>
      <c r="B2025" s="8"/>
      <c r="C2025" s="8"/>
      <c r="D2025" s="8"/>
      <c r="E2025" s="8"/>
      <c r="F2025" s="8"/>
      <c r="G2025" s="8"/>
      <c r="H2025" s="8"/>
      <c r="I2025" s="10"/>
      <c r="J2025" s="10"/>
      <c r="K2025" s="18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</row>
    <row r="2026" ht="14.25" customHeight="1">
      <c r="A2026" s="9"/>
      <c r="B2026" s="8"/>
      <c r="C2026" s="8"/>
      <c r="D2026" s="8"/>
      <c r="E2026" s="8"/>
      <c r="F2026" s="8"/>
      <c r="G2026" s="8"/>
      <c r="H2026" s="8"/>
      <c r="I2026" s="10"/>
      <c r="J2026" s="10"/>
      <c r="K2026" s="18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</row>
    <row r="2027" ht="14.25" customHeight="1">
      <c r="A2027" s="9"/>
      <c r="B2027" s="8"/>
      <c r="C2027" s="8"/>
      <c r="D2027" s="8"/>
      <c r="E2027" s="8"/>
      <c r="F2027" s="8"/>
      <c r="G2027" s="8"/>
      <c r="H2027" s="8"/>
      <c r="I2027" s="10"/>
      <c r="J2027" s="10"/>
      <c r="K2027" s="18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</row>
    <row r="2028" ht="14.25" customHeight="1">
      <c r="A2028" s="9"/>
      <c r="B2028" s="8"/>
      <c r="C2028" s="8"/>
      <c r="D2028" s="8"/>
      <c r="E2028" s="8"/>
      <c r="F2028" s="8"/>
      <c r="G2028" s="8"/>
      <c r="H2028" s="8"/>
      <c r="I2028" s="10"/>
      <c r="J2028" s="10"/>
      <c r="K2028" s="18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</row>
    <row r="2029" ht="14.25" customHeight="1">
      <c r="A2029" s="9"/>
      <c r="B2029" s="8"/>
      <c r="C2029" s="8"/>
      <c r="D2029" s="8"/>
      <c r="E2029" s="8"/>
      <c r="F2029" s="8"/>
      <c r="G2029" s="8"/>
      <c r="H2029" s="8"/>
      <c r="I2029" s="10"/>
      <c r="J2029" s="10"/>
      <c r="K2029" s="18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</row>
    <row r="2030" ht="14.25" customHeight="1">
      <c r="A2030" s="9"/>
      <c r="B2030" s="8"/>
      <c r="C2030" s="8"/>
      <c r="D2030" s="8"/>
      <c r="E2030" s="8"/>
      <c r="F2030" s="8"/>
      <c r="G2030" s="8"/>
      <c r="H2030" s="8"/>
      <c r="I2030" s="10"/>
      <c r="J2030" s="10"/>
      <c r="K2030" s="18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</row>
    <row r="2031" ht="14.25" customHeight="1">
      <c r="A2031" s="9"/>
      <c r="B2031" s="8"/>
      <c r="C2031" s="8"/>
      <c r="D2031" s="8"/>
      <c r="E2031" s="8"/>
      <c r="F2031" s="8"/>
      <c r="G2031" s="8"/>
      <c r="H2031" s="8"/>
      <c r="I2031" s="10"/>
      <c r="J2031" s="10"/>
      <c r="K2031" s="18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</row>
    <row r="2032" ht="14.25" customHeight="1">
      <c r="A2032" s="9"/>
      <c r="B2032" s="8"/>
      <c r="C2032" s="8"/>
      <c r="D2032" s="8"/>
      <c r="E2032" s="8"/>
      <c r="F2032" s="8"/>
      <c r="G2032" s="8"/>
      <c r="H2032" s="8"/>
      <c r="I2032" s="10"/>
      <c r="J2032" s="10"/>
      <c r="K2032" s="18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</row>
    <row r="2033" ht="14.25" customHeight="1">
      <c r="A2033" s="9"/>
      <c r="B2033" s="8"/>
      <c r="C2033" s="8"/>
      <c r="D2033" s="8"/>
      <c r="E2033" s="8"/>
      <c r="F2033" s="8"/>
      <c r="G2033" s="8"/>
      <c r="H2033" s="8"/>
      <c r="I2033" s="10"/>
      <c r="J2033" s="10"/>
      <c r="K2033" s="18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</row>
    <row r="2034" ht="14.25" customHeight="1">
      <c r="A2034" s="9"/>
      <c r="B2034" s="8"/>
      <c r="C2034" s="8"/>
      <c r="D2034" s="8"/>
      <c r="E2034" s="8"/>
      <c r="F2034" s="8"/>
      <c r="G2034" s="8"/>
      <c r="H2034" s="8"/>
      <c r="I2034" s="10"/>
      <c r="J2034" s="10"/>
      <c r="K2034" s="18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</row>
    <row r="2035" ht="14.25" customHeight="1">
      <c r="A2035" s="9"/>
      <c r="B2035" s="8"/>
      <c r="C2035" s="8"/>
      <c r="D2035" s="8"/>
      <c r="E2035" s="8"/>
      <c r="F2035" s="8"/>
      <c r="G2035" s="8"/>
      <c r="H2035" s="8"/>
      <c r="I2035" s="10"/>
      <c r="J2035" s="10"/>
      <c r="K2035" s="18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</row>
    <row r="2036" ht="14.25" customHeight="1">
      <c r="A2036" s="9"/>
      <c r="B2036" s="8"/>
      <c r="C2036" s="8"/>
      <c r="D2036" s="8"/>
      <c r="E2036" s="8"/>
      <c r="F2036" s="8"/>
      <c r="G2036" s="8"/>
      <c r="H2036" s="8"/>
      <c r="I2036" s="10"/>
      <c r="J2036" s="10"/>
      <c r="K2036" s="18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</row>
    <row r="2037" ht="14.25" customHeight="1">
      <c r="A2037" s="9"/>
      <c r="B2037" s="8"/>
      <c r="C2037" s="8"/>
      <c r="D2037" s="8"/>
      <c r="E2037" s="8"/>
      <c r="F2037" s="8"/>
      <c r="G2037" s="8"/>
      <c r="H2037" s="8"/>
      <c r="I2037" s="10"/>
      <c r="J2037" s="10"/>
      <c r="K2037" s="18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</row>
    <row r="2038" ht="14.25" customHeight="1">
      <c r="A2038" s="9"/>
      <c r="B2038" s="8"/>
      <c r="C2038" s="8"/>
      <c r="D2038" s="8"/>
      <c r="E2038" s="8"/>
      <c r="F2038" s="8"/>
      <c r="G2038" s="8"/>
      <c r="H2038" s="8"/>
      <c r="I2038" s="10"/>
      <c r="J2038" s="10"/>
      <c r="K2038" s="18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</row>
    <row r="2039" ht="14.25" customHeight="1">
      <c r="A2039" s="9"/>
      <c r="B2039" s="8"/>
      <c r="C2039" s="8"/>
      <c r="D2039" s="8"/>
      <c r="E2039" s="8"/>
      <c r="F2039" s="8"/>
      <c r="G2039" s="8"/>
      <c r="H2039" s="8"/>
      <c r="I2039" s="10"/>
      <c r="J2039" s="10"/>
      <c r="K2039" s="18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</row>
    <row r="2040" ht="14.25" customHeight="1">
      <c r="A2040" s="9"/>
      <c r="B2040" s="8"/>
      <c r="C2040" s="8"/>
      <c r="D2040" s="8"/>
      <c r="E2040" s="8"/>
      <c r="F2040" s="8"/>
      <c r="G2040" s="8"/>
      <c r="H2040" s="8"/>
      <c r="I2040" s="10"/>
      <c r="J2040" s="10"/>
      <c r="K2040" s="18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</row>
    <row r="2041" ht="14.25" customHeight="1">
      <c r="A2041" s="9"/>
      <c r="B2041" s="8"/>
      <c r="C2041" s="8"/>
      <c r="D2041" s="8"/>
      <c r="E2041" s="8"/>
      <c r="F2041" s="8"/>
      <c r="G2041" s="8"/>
      <c r="H2041" s="8"/>
      <c r="I2041" s="10"/>
      <c r="J2041" s="10"/>
      <c r="K2041" s="18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</row>
    <row r="2042" ht="14.25" customHeight="1">
      <c r="A2042" s="9"/>
      <c r="B2042" s="8"/>
      <c r="C2042" s="8"/>
      <c r="D2042" s="8"/>
      <c r="E2042" s="8"/>
      <c r="F2042" s="8"/>
      <c r="G2042" s="8"/>
      <c r="H2042" s="8"/>
      <c r="I2042" s="10"/>
      <c r="J2042" s="10"/>
      <c r="K2042" s="18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</row>
    <row r="2043" ht="14.25" customHeight="1">
      <c r="A2043" s="9"/>
      <c r="B2043" s="8"/>
      <c r="C2043" s="8"/>
      <c r="D2043" s="8"/>
      <c r="E2043" s="8"/>
      <c r="F2043" s="8"/>
      <c r="G2043" s="8"/>
      <c r="H2043" s="8"/>
      <c r="I2043" s="10"/>
      <c r="J2043" s="10"/>
      <c r="K2043" s="18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</row>
    <row r="2044" ht="14.25" customHeight="1">
      <c r="A2044" s="9"/>
      <c r="B2044" s="8"/>
      <c r="C2044" s="8"/>
      <c r="D2044" s="8"/>
      <c r="E2044" s="8"/>
      <c r="F2044" s="8"/>
      <c r="G2044" s="8"/>
      <c r="H2044" s="8"/>
      <c r="I2044" s="10"/>
      <c r="J2044" s="10"/>
      <c r="K2044" s="18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</row>
    <row r="2045" ht="14.25" customHeight="1">
      <c r="A2045" s="9"/>
      <c r="B2045" s="8"/>
      <c r="C2045" s="8"/>
      <c r="D2045" s="8"/>
      <c r="E2045" s="8"/>
      <c r="F2045" s="8"/>
      <c r="G2045" s="8"/>
      <c r="H2045" s="8"/>
      <c r="I2045" s="10"/>
      <c r="J2045" s="10"/>
      <c r="K2045" s="18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</row>
    <row r="2046" ht="14.25" customHeight="1">
      <c r="A2046" s="9"/>
      <c r="B2046" s="8"/>
      <c r="C2046" s="8"/>
      <c r="D2046" s="8"/>
      <c r="E2046" s="8"/>
      <c r="F2046" s="8"/>
      <c r="G2046" s="8"/>
      <c r="H2046" s="8"/>
      <c r="I2046" s="10"/>
      <c r="J2046" s="10"/>
      <c r="K2046" s="18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</row>
    <row r="2047" ht="14.25" customHeight="1">
      <c r="A2047" s="9"/>
      <c r="B2047" s="8"/>
      <c r="C2047" s="8"/>
      <c r="D2047" s="8"/>
      <c r="E2047" s="8"/>
      <c r="F2047" s="8"/>
      <c r="G2047" s="8"/>
      <c r="H2047" s="8"/>
      <c r="I2047" s="10"/>
      <c r="J2047" s="10"/>
      <c r="K2047" s="18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</row>
    <row r="2048" ht="14.25" customHeight="1">
      <c r="A2048" s="9"/>
      <c r="B2048" s="8"/>
      <c r="C2048" s="8"/>
      <c r="D2048" s="8"/>
      <c r="E2048" s="8"/>
      <c r="F2048" s="8"/>
      <c r="G2048" s="8"/>
      <c r="H2048" s="8"/>
      <c r="I2048" s="10"/>
      <c r="J2048" s="10"/>
      <c r="K2048" s="18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</row>
    <row r="2049" ht="14.25" customHeight="1">
      <c r="A2049" s="9"/>
      <c r="B2049" s="8"/>
      <c r="C2049" s="8"/>
      <c r="D2049" s="8"/>
      <c r="E2049" s="8"/>
      <c r="F2049" s="8"/>
      <c r="G2049" s="8"/>
      <c r="H2049" s="8"/>
      <c r="I2049" s="10"/>
      <c r="J2049" s="10"/>
      <c r="K2049" s="18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</row>
    <row r="2050" ht="14.25" customHeight="1">
      <c r="A2050" s="9"/>
      <c r="B2050" s="8"/>
      <c r="C2050" s="8"/>
      <c r="D2050" s="8"/>
      <c r="E2050" s="8"/>
      <c r="F2050" s="8"/>
      <c r="G2050" s="8"/>
      <c r="H2050" s="8"/>
      <c r="I2050" s="10"/>
      <c r="J2050" s="10"/>
      <c r="K2050" s="18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</row>
    <row r="2051" ht="14.25" customHeight="1">
      <c r="A2051" s="9"/>
      <c r="B2051" s="8"/>
      <c r="C2051" s="8"/>
      <c r="D2051" s="8"/>
      <c r="E2051" s="8"/>
      <c r="F2051" s="8"/>
      <c r="G2051" s="8"/>
      <c r="H2051" s="8"/>
      <c r="I2051" s="10"/>
      <c r="J2051" s="10"/>
      <c r="K2051" s="18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</row>
    <row r="2052" ht="14.25" customHeight="1">
      <c r="A2052" s="9"/>
      <c r="B2052" s="8"/>
      <c r="C2052" s="8"/>
      <c r="D2052" s="8"/>
      <c r="E2052" s="8"/>
      <c r="F2052" s="8"/>
      <c r="G2052" s="8"/>
      <c r="H2052" s="8"/>
      <c r="I2052" s="10"/>
      <c r="J2052" s="10"/>
      <c r="K2052" s="18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</row>
    <row r="2053" ht="14.25" customHeight="1">
      <c r="A2053" s="9"/>
      <c r="B2053" s="8"/>
      <c r="C2053" s="8"/>
      <c r="D2053" s="8"/>
      <c r="E2053" s="8"/>
      <c r="F2053" s="8"/>
      <c r="G2053" s="8"/>
      <c r="H2053" s="8"/>
      <c r="I2053" s="10"/>
      <c r="J2053" s="10"/>
      <c r="K2053" s="18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</row>
    <row r="2054" ht="14.25" customHeight="1">
      <c r="A2054" s="9"/>
      <c r="B2054" s="8"/>
      <c r="C2054" s="8"/>
      <c r="D2054" s="8"/>
      <c r="E2054" s="8"/>
      <c r="F2054" s="8"/>
      <c r="G2054" s="8"/>
      <c r="H2054" s="8"/>
      <c r="I2054" s="10"/>
      <c r="J2054" s="10"/>
      <c r="K2054" s="18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</row>
    <row r="2055" ht="14.25" customHeight="1">
      <c r="A2055" s="9"/>
      <c r="B2055" s="8"/>
      <c r="C2055" s="8"/>
      <c r="D2055" s="8"/>
      <c r="E2055" s="8"/>
      <c r="F2055" s="8"/>
      <c r="G2055" s="8"/>
      <c r="H2055" s="8"/>
      <c r="I2055" s="10"/>
      <c r="J2055" s="10"/>
      <c r="K2055" s="18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</row>
    <row r="2056" ht="14.25" customHeight="1">
      <c r="A2056" s="9"/>
      <c r="B2056" s="8"/>
      <c r="C2056" s="8"/>
      <c r="D2056" s="8"/>
      <c r="E2056" s="8"/>
      <c r="F2056" s="8"/>
      <c r="G2056" s="8"/>
      <c r="H2056" s="8"/>
      <c r="I2056" s="10"/>
      <c r="J2056" s="10"/>
      <c r="K2056" s="18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</row>
    <row r="2057" ht="14.25" customHeight="1">
      <c r="A2057" s="9"/>
      <c r="B2057" s="8"/>
      <c r="C2057" s="8"/>
      <c r="D2057" s="8"/>
      <c r="E2057" s="8"/>
      <c r="F2057" s="8"/>
      <c r="G2057" s="8"/>
      <c r="H2057" s="8"/>
      <c r="I2057" s="10"/>
      <c r="J2057" s="10"/>
      <c r="K2057" s="18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</row>
    <row r="2058" ht="14.25" customHeight="1">
      <c r="A2058" s="9"/>
      <c r="B2058" s="8"/>
      <c r="C2058" s="8"/>
      <c r="D2058" s="8"/>
      <c r="E2058" s="8"/>
      <c r="F2058" s="8"/>
      <c r="G2058" s="8"/>
      <c r="H2058" s="8"/>
      <c r="I2058" s="10"/>
      <c r="J2058" s="10"/>
      <c r="K2058" s="18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</row>
    <row r="2059" ht="14.25" customHeight="1">
      <c r="A2059" s="9"/>
      <c r="B2059" s="8"/>
      <c r="C2059" s="8"/>
      <c r="D2059" s="8"/>
      <c r="E2059" s="8"/>
      <c r="F2059" s="8"/>
      <c r="G2059" s="8"/>
      <c r="H2059" s="8"/>
      <c r="I2059" s="10"/>
      <c r="J2059" s="10"/>
      <c r="K2059" s="18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</row>
    <row r="2060" ht="14.25" customHeight="1">
      <c r="A2060" s="9"/>
      <c r="B2060" s="8"/>
      <c r="C2060" s="8"/>
      <c r="D2060" s="8"/>
      <c r="E2060" s="8"/>
      <c r="F2060" s="8"/>
      <c r="G2060" s="8"/>
      <c r="H2060" s="8"/>
      <c r="I2060" s="10"/>
      <c r="J2060" s="10"/>
      <c r="K2060" s="18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</row>
    <row r="2061" ht="14.25" customHeight="1">
      <c r="A2061" s="9"/>
      <c r="B2061" s="8"/>
      <c r="C2061" s="8"/>
      <c r="D2061" s="8"/>
      <c r="E2061" s="8"/>
      <c r="F2061" s="8"/>
      <c r="G2061" s="8"/>
      <c r="H2061" s="8"/>
      <c r="I2061" s="10"/>
      <c r="J2061" s="10"/>
      <c r="K2061" s="18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</row>
    <row r="2062" ht="14.25" customHeight="1">
      <c r="A2062" s="9"/>
      <c r="B2062" s="8"/>
      <c r="C2062" s="8"/>
      <c r="D2062" s="8"/>
      <c r="E2062" s="8"/>
      <c r="F2062" s="8"/>
      <c r="G2062" s="8"/>
      <c r="H2062" s="8"/>
      <c r="I2062" s="10"/>
      <c r="J2062" s="10"/>
      <c r="K2062" s="18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</row>
    <row r="2063" ht="14.25" customHeight="1">
      <c r="A2063" s="9"/>
      <c r="B2063" s="8"/>
      <c r="C2063" s="8"/>
      <c r="D2063" s="8"/>
      <c r="E2063" s="8"/>
      <c r="F2063" s="8"/>
      <c r="G2063" s="8"/>
      <c r="H2063" s="8"/>
      <c r="I2063" s="10"/>
      <c r="J2063" s="10"/>
      <c r="K2063" s="18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</row>
    <row r="2064" ht="14.25" customHeight="1">
      <c r="A2064" s="9"/>
      <c r="B2064" s="8"/>
      <c r="C2064" s="8"/>
      <c r="D2064" s="8"/>
      <c r="E2064" s="8"/>
      <c r="F2064" s="8"/>
      <c r="G2064" s="8"/>
      <c r="H2064" s="8"/>
      <c r="I2064" s="10"/>
      <c r="J2064" s="10"/>
      <c r="K2064" s="18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</row>
    <row r="2065" ht="14.25" customHeight="1">
      <c r="A2065" s="9"/>
      <c r="B2065" s="8"/>
      <c r="C2065" s="8"/>
      <c r="D2065" s="8"/>
      <c r="E2065" s="8"/>
      <c r="F2065" s="8"/>
      <c r="G2065" s="8"/>
      <c r="H2065" s="8"/>
      <c r="I2065" s="10"/>
      <c r="J2065" s="10"/>
      <c r="K2065" s="18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</row>
    <row r="2066" ht="14.25" customHeight="1">
      <c r="A2066" s="9"/>
      <c r="B2066" s="8"/>
      <c r="C2066" s="8"/>
      <c r="D2066" s="8"/>
      <c r="E2066" s="8"/>
      <c r="F2066" s="8"/>
      <c r="G2066" s="8"/>
      <c r="H2066" s="8"/>
      <c r="I2066" s="10"/>
      <c r="J2066" s="10"/>
      <c r="K2066" s="18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</row>
    <row r="2067" ht="14.25" customHeight="1">
      <c r="A2067" s="9"/>
      <c r="B2067" s="8"/>
      <c r="C2067" s="8"/>
      <c r="D2067" s="8"/>
      <c r="E2067" s="8"/>
      <c r="F2067" s="8"/>
      <c r="G2067" s="8"/>
      <c r="H2067" s="8"/>
      <c r="I2067" s="10"/>
      <c r="J2067" s="10"/>
      <c r="K2067" s="18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</row>
    <row r="2068" ht="14.25" customHeight="1">
      <c r="A2068" s="9"/>
      <c r="B2068" s="8"/>
      <c r="C2068" s="8"/>
      <c r="D2068" s="8"/>
      <c r="E2068" s="8"/>
      <c r="F2068" s="8"/>
      <c r="G2068" s="8"/>
      <c r="H2068" s="8"/>
      <c r="I2068" s="10"/>
      <c r="J2068" s="10"/>
      <c r="K2068" s="18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</row>
    <row r="2069" ht="14.25" customHeight="1">
      <c r="A2069" s="9"/>
      <c r="B2069" s="8"/>
      <c r="C2069" s="8"/>
      <c r="D2069" s="8"/>
      <c r="E2069" s="8"/>
      <c r="F2069" s="8"/>
      <c r="G2069" s="8"/>
      <c r="H2069" s="8"/>
      <c r="I2069" s="10"/>
      <c r="J2069" s="10"/>
      <c r="K2069" s="18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</row>
    <row r="2070" ht="14.25" customHeight="1">
      <c r="A2070" s="9"/>
      <c r="B2070" s="8"/>
      <c r="C2070" s="8"/>
      <c r="D2070" s="8"/>
      <c r="E2070" s="8"/>
      <c r="F2070" s="8"/>
      <c r="G2070" s="8"/>
      <c r="H2070" s="8"/>
      <c r="I2070" s="10"/>
      <c r="J2070" s="10"/>
      <c r="K2070" s="18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</row>
    <row r="2071" ht="14.25" customHeight="1">
      <c r="A2071" s="9"/>
      <c r="B2071" s="8"/>
      <c r="C2071" s="8"/>
      <c r="D2071" s="8"/>
      <c r="E2071" s="8"/>
      <c r="F2071" s="8"/>
      <c r="G2071" s="8"/>
      <c r="H2071" s="8"/>
      <c r="I2071" s="10"/>
      <c r="J2071" s="10"/>
      <c r="K2071" s="18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</row>
    <row r="2072" ht="14.25" customHeight="1">
      <c r="A2072" s="9"/>
      <c r="B2072" s="8"/>
      <c r="C2072" s="8"/>
      <c r="D2072" s="8"/>
      <c r="E2072" s="8"/>
      <c r="F2072" s="8"/>
      <c r="G2072" s="8"/>
      <c r="H2072" s="8"/>
      <c r="I2072" s="10"/>
      <c r="J2072" s="10"/>
      <c r="K2072" s="18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</row>
    <row r="2073" ht="14.25" customHeight="1">
      <c r="A2073" s="9"/>
      <c r="B2073" s="8"/>
      <c r="C2073" s="8"/>
      <c r="D2073" s="8"/>
      <c r="E2073" s="8"/>
      <c r="F2073" s="8"/>
      <c r="G2073" s="8"/>
      <c r="H2073" s="8"/>
      <c r="I2073" s="10"/>
      <c r="J2073" s="10"/>
      <c r="K2073" s="18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</row>
    <row r="2074" ht="14.25" customHeight="1">
      <c r="A2074" s="9"/>
      <c r="B2074" s="8"/>
      <c r="C2074" s="8"/>
      <c r="D2074" s="8"/>
      <c r="E2074" s="8"/>
      <c r="F2074" s="8"/>
      <c r="G2074" s="8"/>
      <c r="H2074" s="8"/>
      <c r="I2074" s="10"/>
      <c r="J2074" s="10"/>
      <c r="K2074" s="18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</row>
    <row r="2075" ht="14.25" customHeight="1">
      <c r="A2075" s="9"/>
      <c r="B2075" s="8"/>
      <c r="C2075" s="8"/>
      <c r="D2075" s="8"/>
      <c r="E2075" s="8"/>
      <c r="F2075" s="8"/>
      <c r="G2075" s="8"/>
      <c r="H2075" s="8"/>
      <c r="I2075" s="10"/>
      <c r="J2075" s="10"/>
      <c r="K2075" s="18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</row>
    <row r="2076" ht="14.25" customHeight="1">
      <c r="A2076" s="9"/>
      <c r="B2076" s="8"/>
      <c r="C2076" s="8"/>
      <c r="D2076" s="8"/>
      <c r="E2076" s="8"/>
      <c r="F2076" s="8"/>
      <c r="G2076" s="8"/>
      <c r="H2076" s="8"/>
      <c r="I2076" s="10"/>
      <c r="J2076" s="10"/>
      <c r="K2076" s="18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</row>
    <row r="2077" ht="14.25" customHeight="1">
      <c r="A2077" s="9"/>
      <c r="B2077" s="8"/>
      <c r="C2077" s="8"/>
      <c r="D2077" s="8"/>
      <c r="E2077" s="8"/>
      <c r="F2077" s="8"/>
      <c r="G2077" s="8"/>
      <c r="H2077" s="8"/>
      <c r="I2077" s="10"/>
      <c r="J2077" s="10"/>
      <c r="K2077" s="18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</row>
    <row r="2078" ht="14.25" customHeight="1">
      <c r="A2078" s="9"/>
      <c r="B2078" s="8"/>
      <c r="C2078" s="8"/>
      <c r="D2078" s="8"/>
      <c r="E2078" s="8"/>
      <c r="F2078" s="8"/>
      <c r="G2078" s="8"/>
      <c r="H2078" s="8"/>
      <c r="I2078" s="10"/>
      <c r="J2078" s="10"/>
      <c r="K2078" s="18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</row>
    <row r="2079" ht="14.25" customHeight="1">
      <c r="A2079" s="9"/>
      <c r="B2079" s="8"/>
      <c r="C2079" s="8"/>
      <c r="D2079" s="8"/>
      <c r="E2079" s="8"/>
      <c r="F2079" s="8"/>
      <c r="G2079" s="8"/>
      <c r="H2079" s="8"/>
      <c r="I2079" s="10"/>
      <c r="J2079" s="10"/>
      <c r="K2079" s="18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</row>
    <row r="2080" ht="14.25" customHeight="1">
      <c r="A2080" s="9"/>
      <c r="B2080" s="8"/>
      <c r="C2080" s="8"/>
      <c r="D2080" s="8"/>
      <c r="E2080" s="8"/>
      <c r="F2080" s="8"/>
      <c r="G2080" s="8"/>
      <c r="H2080" s="8"/>
      <c r="I2080" s="10"/>
      <c r="J2080" s="10"/>
      <c r="K2080" s="18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</row>
    <row r="2081" ht="14.25" customHeight="1">
      <c r="A2081" s="9"/>
      <c r="B2081" s="8"/>
      <c r="C2081" s="8"/>
      <c r="D2081" s="8"/>
      <c r="E2081" s="8"/>
      <c r="F2081" s="8"/>
      <c r="G2081" s="8"/>
      <c r="H2081" s="8"/>
      <c r="I2081" s="10"/>
      <c r="J2081" s="10"/>
      <c r="K2081" s="18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</row>
    <row r="2082" ht="14.25" customHeight="1">
      <c r="A2082" s="9"/>
      <c r="B2082" s="8"/>
      <c r="C2082" s="8"/>
      <c r="D2082" s="8"/>
      <c r="E2082" s="8"/>
      <c r="F2082" s="8"/>
      <c r="G2082" s="8"/>
      <c r="H2082" s="8"/>
      <c r="I2082" s="10"/>
      <c r="J2082" s="10"/>
      <c r="K2082" s="18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</row>
    <row r="2083" ht="14.25" customHeight="1">
      <c r="A2083" s="9"/>
      <c r="B2083" s="8"/>
      <c r="C2083" s="8"/>
      <c r="D2083" s="8"/>
      <c r="E2083" s="8"/>
      <c r="F2083" s="8"/>
      <c r="G2083" s="8"/>
      <c r="H2083" s="8"/>
      <c r="I2083" s="10"/>
      <c r="J2083" s="10"/>
      <c r="K2083" s="18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</row>
    <row r="2084" ht="14.25" customHeight="1">
      <c r="A2084" s="9"/>
      <c r="B2084" s="8"/>
      <c r="C2084" s="8"/>
      <c r="D2084" s="8"/>
      <c r="E2084" s="8"/>
      <c r="F2084" s="8"/>
      <c r="G2084" s="8"/>
      <c r="H2084" s="8"/>
      <c r="I2084" s="10"/>
      <c r="J2084" s="10"/>
      <c r="K2084" s="18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</row>
    <row r="2085" ht="14.25" customHeight="1">
      <c r="A2085" s="9"/>
      <c r="B2085" s="8"/>
      <c r="C2085" s="8"/>
      <c r="D2085" s="8"/>
      <c r="E2085" s="8"/>
      <c r="F2085" s="8"/>
      <c r="G2085" s="8"/>
      <c r="H2085" s="8"/>
      <c r="I2085" s="10"/>
      <c r="J2085" s="10"/>
      <c r="K2085" s="18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</row>
    <row r="2086" ht="14.25" customHeight="1">
      <c r="A2086" s="9"/>
      <c r="B2086" s="8"/>
      <c r="C2086" s="8"/>
      <c r="D2086" s="8"/>
      <c r="E2086" s="8"/>
      <c r="F2086" s="8"/>
      <c r="G2086" s="8"/>
      <c r="H2086" s="8"/>
      <c r="I2086" s="10"/>
      <c r="J2086" s="10"/>
      <c r="K2086" s="18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</row>
    <row r="2087" ht="14.25" customHeight="1">
      <c r="A2087" s="9"/>
      <c r="B2087" s="8"/>
      <c r="C2087" s="8"/>
      <c r="D2087" s="8"/>
      <c r="E2087" s="8"/>
      <c r="F2087" s="8"/>
      <c r="G2087" s="8"/>
      <c r="H2087" s="8"/>
      <c r="I2087" s="10"/>
      <c r="J2087" s="10"/>
      <c r="K2087" s="18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</row>
    <row r="2088" ht="14.25" customHeight="1">
      <c r="A2088" s="9"/>
      <c r="B2088" s="8"/>
      <c r="C2088" s="8"/>
      <c r="D2088" s="8"/>
      <c r="E2088" s="8"/>
      <c r="F2088" s="8"/>
      <c r="G2088" s="8"/>
      <c r="H2088" s="8"/>
      <c r="I2088" s="10"/>
      <c r="J2088" s="10"/>
      <c r="K2088" s="18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</row>
    <row r="2089" ht="14.25" customHeight="1">
      <c r="A2089" s="9"/>
      <c r="B2089" s="8"/>
      <c r="C2089" s="8"/>
      <c r="D2089" s="8"/>
      <c r="E2089" s="8"/>
      <c r="F2089" s="8"/>
      <c r="G2089" s="8"/>
      <c r="H2089" s="8"/>
      <c r="I2089" s="10"/>
      <c r="J2089" s="10"/>
      <c r="K2089" s="18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</row>
    <row r="2090" ht="14.25" customHeight="1">
      <c r="A2090" s="9"/>
      <c r="B2090" s="8"/>
      <c r="C2090" s="8"/>
      <c r="D2090" s="8"/>
      <c r="E2090" s="8"/>
      <c r="F2090" s="8"/>
      <c r="G2090" s="8"/>
      <c r="H2090" s="8"/>
      <c r="I2090" s="10"/>
      <c r="J2090" s="10"/>
      <c r="K2090" s="18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</row>
    <row r="2091" ht="14.25" customHeight="1">
      <c r="A2091" s="9"/>
      <c r="B2091" s="8"/>
      <c r="C2091" s="8"/>
      <c r="D2091" s="8"/>
      <c r="E2091" s="8"/>
      <c r="F2091" s="8"/>
      <c r="G2091" s="8"/>
      <c r="H2091" s="8"/>
      <c r="I2091" s="10"/>
      <c r="J2091" s="10"/>
      <c r="K2091" s="18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</row>
    <row r="2092" ht="14.25" customHeight="1">
      <c r="A2092" s="9"/>
      <c r="B2092" s="8"/>
      <c r="C2092" s="8"/>
      <c r="D2092" s="8"/>
      <c r="E2092" s="8"/>
      <c r="F2092" s="8"/>
      <c r="G2092" s="8"/>
      <c r="H2092" s="8"/>
      <c r="I2092" s="10"/>
      <c r="J2092" s="10"/>
      <c r="K2092" s="18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</row>
    <row r="2093" ht="14.25" customHeight="1">
      <c r="A2093" s="9"/>
      <c r="B2093" s="8"/>
      <c r="C2093" s="8"/>
      <c r="D2093" s="8"/>
      <c r="E2093" s="8"/>
      <c r="F2093" s="8"/>
      <c r="G2093" s="8"/>
      <c r="H2093" s="8"/>
      <c r="I2093" s="10"/>
      <c r="J2093" s="10"/>
      <c r="K2093" s="18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</row>
    <row r="2094" ht="14.25" customHeight="1">
      <c r="A2094" s="9"/>
      <c r="B2094" s="8"/>
      <c r="C2094" s="8"/>
      <c r="D2094" s="8"/>
      <c r="E2094" s="8"/>
      <c r="F2094" s="8"/>
      <c r="G2094" s="8"/>
      <c r="H2094" s="8"/>
      <c r="I2094" s="10"/>
      <c r="J2094" s="10"/>
      <c r="K2094" s="18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</row>
    <row r="2095" ht="14.25" customHeight="1">
      <c r="A2095" s="9"/>
      <c r="B2095" s="8"/>
      <c r="C2095" s="8"/>
      <c r="D2095" s="8"/>
      <c r="E2095" s="8"/>
      <c r="F2095" s="8"/>
      <c r="G2095" s="8"/>
      <c r="H2095" s="8"/>
      <c r="I2095" s="10"/>
      <c r="J2095" s="10"/>
      <c r="K2095" s="18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</row>
    <row r="2096" ht="14.25" customHeight="1">
      <c r="A2096" s="9"/>
      <c r="B2096" s="8"/>
      <c r="C2096" s="8"/>
      <c r="D2096" s="8"/>
      <c r="E2096" s="8"/>
      <c r="F2096" s="8"/>
      <c r="G2096" s="8"/>
      <c r="H2096" s="8"/>
      <c r="I2096" s="10"/>
      <c r="J2096" s="10"/>
      <c r="K2096" s="18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</row>
    <row r="2097" ht="14.25" customHeight="1">
      <c r="A2097" s="9"/>
      <c r="B2097" s="8"/>
      <c r="C2097" s="8"/>
      <c r="D2097" s="8"/>
      <c r="E2097" s="8"/>
      <c r="F2097" s="8"/>
      <c r="G2097" s="8"/>
      <c r="H2097" s="8"/>
      <c r="I2097" s="10"/>
      <c r="J2097" s="10"/>
      <c r="K2097" s="18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</row>
    <row r="2098" ht="14.25" customHeight="1">
      <c r="A2098" s="9"/>
      <c r="B2098" s="8"/>
      <c r="C2098" s="8"/>
      <c r="D2098" s="8"/>
      <c r="E2098" s="8"/>
      <c r="F2098" s="8"/>
      <c r="G2098" s="8"/>
      <c r="H2098" s="8"/>
      <c r="I2098" s="10"/>
      <c r="J2098" s="10"/>
      <c r="K2098" s="18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</row>
    <row r="2099" ht="14.25" customHeight="1">
      <c r="A2099" s="9"/>
      <c r="B2099" s="8"/>
      <c r="C2099" s="8"/>
      <c r="D2099" s="8"/>
      <c r="E2099" s="8"/>
      <c r="F2099" s="8"/>
      <c r="G2099" s="8"/>
      <c r="H2099" s="8"/>
      <c r="I2099" s="10"/>
      <c r="J2099" s="10"/>
      <c r="K2099" s="18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</row>
    <row r="2100" ht="14.25" customHeight="1">
      <c r="A2100" s="9"/>
      <c r="B2100" s="8"/>
      <c r="C2100" s="8"/>
      <c r="D2100" s="8"/>
      <c r="E2100" s="8"/>
      <c r="F2100" s="8"/>
      <c r="G2100" s="8"/>
      <c r="H2100" s="8"/>
      <c r="I2100" s="10"/>
      <c r="J2100" s="10"/>
      <c r="K2100" s="18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</row>
    <row r="2101" ht="14.25" customHeight="1">
      <c r="A2101" s="9"/>
      <c r="B2101" s="8"/>
      <c r="C2101" s="8"/>
      <c r="D2101" s="8"/>
      <c r="E2101" s="8"/>
      <c r="F2101" s="8"/>
      <c r="G2101" s="8"/>
      <c r="H2101" s="8"/>
      <c r="I2101" s="10"/>
      <c r="J2101" s="10"/>
      <c r="K2101" s="18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</row>
    <row r="2102" ht="14.25" customHeight="1">
      <c r="A2102" s="9"/>
      <c r="B2102" s="8"/>
      <c r="C2102" s="8"/>
      <c r="D2102" s="8"/>
      <c r="E2102" s="8"/>
      <c r="F2102" s="8"/>
      <c r="G2102" s="8"/>
      <c r="H2102" s="8"/>
      <c r="I2102" s="10"/>
      <c r="J2102" s="10"/>
      <c r="K2102" s="18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</row>
    <row r="2103" ht="14.25" customHeight="1">
      <c r="A2103" s="9"/>
      <c r="B2103" s="8"/>
      <c r="C2103" s="8"/>
      <c r="D2103" s="8"/>
      <c r="E2103" s="8"/>
      <c r="F2103" s="8"/>
      <c r="G2103" s="8"/>
      <c r="H2103" s="8"/>
      <c r="I2103" s="10"/>
      <c r="J2103" s="10"/>
      <c r="K2103" s="18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</row>
    <row r="2104" ht="14.25" customHeight="1">
      <c r="A2104" s="9"/>
      <c r="B2104" s="8"/>
      <c r="C2104" s="8"/>
      <c r="D2104" s="8"/>
      <c r="E2104" s="8"/>
      <c r="F2104" s="8"/>
      <c r="G2104" s="8"/>
      <c r="H2104" s="8"/>
      <c r="I2104" s="10"/>
      <c r="J2104" s="10"/>
      <c r="K2104" s="18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</row>
    <row r="2105" ht="14.25" customHeight="1">
      <c r="A2105" s="9"/>
      <c r="B2105" s="8"/>
      <c r="C2105" s="8"/>
      <c r="D2105" s="8"/>
      <c r="E2105" s="8"/>
      <c r="F2105" s="8"/>
      <c r="G2105" s="8"/>
      <c r="H2105" s="8"/>
      <c r="I2105" s="10"/>
      <c r="J2105" s="10"/>
      <c r="K2105" s="18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</row>
    <row r="2106" ht="14.25" customHeight="1">
      <c r="A2106" s="9"/>
      <c r="B2106" s="8"/>
      <c r="C2106" s="8"/>
      <c r="D2106" s="8"/>
      <c r="E2106" s="8"/>
      <c r="F2106" s="8"/>
      <c r="G2106" s="8"/>
      <c r="H2106" s="8"/>
      <c r="I2106" s="10"/>
      <c r="J2106" s="10"/>
      <c r="K2106" s="18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</row>
    <row r="2107" ht="14.25" customHeight="1">
      <c r="A2107" s="9"/>
      <c r="B2107" s="8"/>
      <c r="C2107" s="8"/>
      <c r="D2107" s="8"/>
      <c r="E2107" s="8"/>
      <c r="F2107" s="8"/>
      <c r="G2107" s="8"/>
      <c r="H2107" s="8"/>
      <c r="I2107" s="10"/>
      <c r="J2107" s="10"/>
      <c r="K2107" s="18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</row>
    <row r="2108" ht="14.25" customHeight="1">
      <c r="A2108" s="9"/>
      <c r="B2108" s="8"/>
      <c r="C2108" s="8"/>
      <c r="D2108" s="8"/>
      <c r="E2108" s="8"/>
      <c r="F2108" s="8"/>
      <c r="G2108" s="8"/>
      <c r="H2108" s="8"/>
      <c r="I2108" s="10"/>
      <c r="J2108" s="10"/>
      <c r="K2108" s="18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</row>
    <row r="2109" ht="14.25" customHeight="1">
      <c r="A2109" s="9"/>
      <c r="B2109" s="8"/>
      <c r="C2109" s="8"/>
      <c r="D2109" s="8"/>
      <c r="E2109" s="8"/>
      <c r="F2109" s="8"/>
      <c r="G2109" s="8"/>
      <c r="H2109" s="8"/>
      <c r="I2109" s="10"/>
      <c r="J2109" s="10"/>
      <c r="K2109" s="18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</row>
    <row r="2110" ht="14.25" customHeight="1">
      <c r="A2110" s="9"/>
      <c r="B2110" s="8"/>
      <c r="C2110" s="8"/>
      <c r="D2110" s="8"/>
      <c r="E2110" s="8"/>
      <c r="F2110" s="8"/>
      <c r="G2110" s="8"/>
      <c r="H2110" s="8"/>
      <c r="I2110" s="10"/>
      <c r="J2110" s="10"/>
      <c r="K2110" s="18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</row>
    <row r="2111" ht="14.25" customHeight="1">
      <c r="A2111" s="9"/>
      <c r="B2111" s="8"/>
      <c r="C2111" s="8"/>
      <c r="D2111" s="8"/>
      <c r="E2111" s="8"/>
      <c r="F2111" s="8"/>
      <c r="G2111" s="8"/>
      <c r="H2111" s="8"/>
      <c r="I2111" s="10"/>
      <c r="J2111" s="10"/>
      <c r="K2111" s="18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</row>
    <row r="2112" ht="14.25" customHeight="1">
      <c r="A2112" s="9"/>
      <c r="B2112" s="8"/>
      <c r="C2112" s="8"/>
      <c r="D2112" s="8"/>
      <c r="E2112" s="8"/>
      <c r="F2112" s="8"/>
      <c r="G2112" s="8"/>
      <c r="H2112" s="8"/>
      <c r="I2112" s="10"/>
      <c r="J2112" s="10"/>
      <c r="K2112" s="18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</row>
    <row r="2113" ht="14.25" customHeight="1">
      <c r="A2113" s="9"/>
      <c r="B2113" s="8"/>
      <c r="C2113" s="8"/>
      <c r="D2113" s="8"/>
      <c r="E2113" s="8"/>
      <c r="F2113" s="8"/>
      <c r="G2113" s="8"/>
      <c r="H2113" s="8"/>
      <c r="I2113" s="10"/>
      <c r="J2113" s="10"/>
      <c r="K2113" s="18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</row>
    <row r="2114" ht="14.25" customHeight="1">
      <c r="A2114" s="9"/>
      <c r="B2114" s="8"/>
      <c r="C2114" s="8"/>
      <c r="D2114" s="8"/>
      <c r="E2114" s="8"/>
      <c r="F2114" s="8"/>
      <c r="G2114" s="8"/>
      <c r="H2114" s="8"/>
      <c r="I2114" s="10"/>
      <c r="J2114" s="10"/>
      <c r="K2114" s="18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</row>
    <row r="2115" ht="14.25" customHeight="1">
      <c r="A2115" s="9"/>
      <c r="B2115" s="8"/>
      <c r="C2115" s="8"/>
      <c r="D2115" s="8"/>
      <c r="E2115" s="8"/>
      <c r="F2115" s="8"/>
      <c r="G2115" s="8"/>
      <c r="H2115" s="8"/>
      <c r="I2115" s="10"/>
      <c r="J2115" s="10"/>
      <c r="K2115" s="18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</row>
    <row r="2116" ht="14.25" customHeight="1">
      <c r="A2116" s="9"/>
      <c r="B2116" s="8"/>
      <c r="C2116" s="8"/>
      <c r="D2116" s="8"/>
      <c r="E2116" s="8"/>
      <c r="F2116" s="8"/>
      <c r="G2116" s="8"/>
      <c r="H2116" s="8"/>
      <c r="I2116" s="10"/>
      <c r="J2116" s="10"/>
      <c r="K2116" s="18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</row>
    <row r="2117" ht="14.25" customHeight="1">
      <c r="A2117" s="9"/>
      <c r="B2117" s="8"/>
      <c r="C2117" s="8"/>
      <c r="D2117" s="8"/>
      <c r="E2117" s="8"/>
      <c r="F2117" s="8"/>
      <c r="G2117" s="8"/>
      <c r="H2117" s="8"/>
      <c r="I2117" s="10"/>
      <c r="J2117" s="10"/>
      <c r="K2117" s="18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</row>
    <row r="2118" ht="14.25" customHeight="1">
      <c r="A2118" s="9"/>
      <c r="B2118" s="8"/>
      <c r="C2118" s="8"/>
      <c r="D2118" s="8"/>
      <c r="E2118" s="8"/>
      <c r="F2118" s="8"/>
      <c r="G2118" s="8"/>
      <c r="H2118" s="8"/>
      <c r="I2118" s="10"/>
      <c r="J2118" s="10"/>
      <c r="K2118" s="18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</row>
    <row r="2119" ht="14.25" customHeight="1">
      <c r="A2119" s="9"/>
      <c r="B2119" s="8"/>
      <c r="C2119" s="8"/>
      <c r="D2119" s="8"/>
      <c r="E2119" s="8"/>
      <c r="F2119" s="8"/>
      <c r="G2119" s="8"/>
      <c r="H2119" s="8"/>
      <c r="I2119" s="10"/>
      <c r="J2119" s="10"/>
      <c r="K2119" s="18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</row>
    <row r="2120" ht="14.25" customHeight="1">
      <c r="A2120" s="9"/>
      <c r="B2120" s="8"/>
      <c r="C2120" s="8"/>
      <c r="D2120" s="8"/>
      <c r="E2120" s="8"/>
      <c r="F2120" s="8"/>
      <c r="G2120" s="8"/>
      <c r="H2120" s="8"/>
      <c r="I2120" s="10"/>
      <c r="J2120" s="10"/>
      <c r="K2120" s="18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</row>
    <row r="2121" ht="14.25" customHeight="1">
      <c r="A2121" s="9"/>
      <c r="B2121" s="8"/>
      <c r="C2121" s="8"/>
      <c r="D2121" s="8"/>
      <c r="E2121" s="8"/>
      <c r="F2121" s="8"/>
      <c r="G2121" s="8"/>
      <c r="H2121" s="8"/>
      <c r="I2121" s="10"/>
      <c r="J2121" s="10"/>
      <c r="K2121" s="18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</row>
    <row r="2122" ht="14.25" customHeight="1">
      <c r="A2122" s="9"/>
      <c r="B2122" s="8"/>
      <c r="C2122" s="8"/>
      <c r="D2122" s="8"/>
      <c r="E2122" s="8"/>
      <c r="F2122" s="8"/>
      <c r="G2122" s="8"/>
      <c r="H2122" s="8"/>
      <c r="I2122" s="10"/>
      <c r="J2122" s="10"/>
      <c r="K2122" s="18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</row>
    <row r="2123" ht="14.25" customHeight="1">
      <c r="A2123" s="9"/>
      <c r="B2123" s="8"/>
      <c r="C2123" s="8"/>
      <c r="D2123" s="8"/>
      <c r="E2123" s="8"/>
      <c r="F2123" s="8"/>
      <c r="G2123" s="8"/>
      <c r="H2123" s="8"/>
      <c r="I2123" s="10"/>
      <c r="J2123" s="10"/>
      <c r="K2123" s="18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</row>
    <row r="2124" ht="14.25" customHeight="1">
      <c r="A2124" s="9"/>
      <c r="B2124" s="8"/>
      <c r="C2124" s="8"/>
      <c r="D2124" s="8"/>
      <c r="E2124" s="8"/>
      <c r="F2124" s="8"/>
      <c r="G2124" s="8"/>
      <c r="H2124" s="8"/>
      <c r="I2124" s="10"/>
      <c r="J2124" s="10"/>
      <c r="K2124" s="18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</row>
    <row r="2125" ht="14.25" customHeight="1">
      <c r="A2125" s="9"/>
      <c r="B2125" s="8"/>
      <c r="C2125" s="8"/>
      <c r="D2125" s="8"/>
      <c r="E2125" s="8"/>
      <c r="F2125" s="8"/>
      <c r="G2125" s="8"/>
      <c r="H2125" s="8"/>
      <c r="I2125" s="10"/>
      <c r="J2125" s="10"/>
      <c r="K2125" s="18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</row>
    <row r="2126" ht="14.25" customHeight="1">
      <c r="A2126" s="9"/>
      <c r="B2126" s="8"/>
      <c r="C2126" s="8"/>
      <c r="D2126" s="8"/>
      <c r="E2126" s="8"/>
      <c r="F2126" s="8"/>
      <c r="G2126" s="8"/>
      <c r="H2126" s="8"/>
      <c r="I2126" s="10"/>
      <c r="J2126" s="10"/>
      <c r="K2126" s="18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</row>
    <row r="2127" ht="14.25" customHeight="1">
      <c r="A2127" s="9"/>
      <c r="B2127" s="8"/>
      <c r="C2127" s="8"/>
      <c r="D2127" s="8"/>
      <c r="E2127" s="8"/>
      <c r="F2127" s="8"/>
      <c r="G2127" s="8"/>
      <c r="H2127" s="8"/>
      <c r="I2127" s="10"/>
      <c r="J2127" s="10"/>
      <c r="K2127" s="18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</row>
    <row r="2128" ht="14.25" customHeight="1">
      <c r="A2128" s="9"/>
      <c r="B2128" s="8"/>
      <c r="C2128" s="8"/>
      <c r="D2128" s="8"/>
      <c r="E2128" s="8"/>
      <c r="F2128" s="8"/>
      <c r="G2128" s="8"/>
      <c r="H2128" s="8"/>
      <c r="I2128" s="10"/>
      <c r="J2128" s="10"/>
      <c r="K2128" s="18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</row>
    <row r="2129" ht="14.25" customHeight="1">
      <c r="A2129" s="9"/>
      <c r="B2129" s="8"/>
      <c r="C2129" s="8"/>
      <c r="D2129" s="8"/>
      <c r="E2129" s="8"/>
      <c r="F2129" s="8"/>
      <c r="G2129" s="8"/>
      <c r="H2129" s="8"/>
      <c r="I2129" s="10"/>
      <c r="J2129" s="10"/>
      <c r="K2129" s="18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</row>
    <row r="2130" ht="14.25" customHeight="1">
      <c r="A2130" s="9"/>
      <c r="B2130" s="8"/>
      <c r="C2130" s="8"/>
      <c r="D2130" s="8"/>
      <c r="E2130" s="8"/>
      <c r="F2130" s="8"/>
      <c r="G2130" s="8"/>
      <c r="H2130" s="8"/>
      <c r="I2130" s="10"/>
      <c r="J2130" s="10"/>
      <c r="K2130" s="18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</row>
    <row r="2131" ht="14.25" customHeight="1">
      <c r="A2131" s="9"/>
      <c r="B2131" s="8"/>
      <c r="C2131" s="8"/>
      <c r="D2131" s="8"/>
      <c r="E2131" s="8"/>
      <c r="F2131" s="8"/>
      <c r="G2131" s="8"/>
      <c r="H2131" s="8"/>
      <c r="I2131" s="10"/>
      <c r="J2131" s="10"/>
      <c r="K2131" s="18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</row>
    <row r="2132" ht="14.25" customHeight="1">
      <c r="A2132" s="9"/>
      <c r="B2132" s="8"/>
      <c r="C2132" s="8"/>
      <c r="D2132" s="8"/>
      <c r="E2132" s="8"/>
      <c r="F2132" s="8"/>
      <c r="G2132" s="8"/>
      <c r="H2132" s="8"/>
      <c r="I2132" s="10"/>
      <c r="J2132" s="10"/>
      <c r="K2132" s="18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</row>
    <row r="2133" ht="14.25" customHeight="1">
      <c r="A2133" s="9"/>
      <c r="B2133" s="8"/>
      <c r="C2133" s="8"/>
      <c r="D2133" s="8"/>
      <c r="E2133" s="8"/>
      <c r="F2133" s="8"/>
      <c r="G2133" s="8"/>
      <c r="H2133" s="8"/>
      <c r="I2133" s="10"/>
      <c r="J2133" s="10"/>
      <c r="K2133" s="18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</row>
    <row r="2134" ht="14.25" customHeight="1">
      <c r="A2134" s="9"/>
      <c r="B2134" s="8"/>
      <c r="C2134" s="8"/>
      <c r="D2134" s="8"/>
      <c r="E2134" s="8"/>
      <c r="F2134" s="8"/>
      <c r="G2134" s="8"/>
      <c r="H2134" s="8"/>
      <c r="I2134" s="10"/>
      <c r="J2134" s="10"/>
      <c r="K2134" s="18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</row>
    <row r="2135" ht="14.25" customHeight="1">
      <c r="A2135" s="9"/>
      <c r="B2135" s="8"/>
      <c r="C2135" s="8"/>
      <c r="D2135" s="8"/>
      <c r="E2135" s="8"/>
      <c r="F2135" s="8"/>
      <c r="G2135" s="8"/>
      <c r="H2135" s="8"/>
      <c r="I2135" s="10"/>
      <c r="J2135" s="10"/>
      <c r="K2135" s="18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</row>
    <row r="2136" ht="14.25" customHeight="1">
      <c r="A2136" s="9"/>
      <c r="B2136" s="8"/>
      <c r="C2136" s="8"/>
      <c r="D2136" s="8"/>
      <c r="E2136" s="8"/>
      <c r="F2136" s="8"/>
      <c r="G2136" s="8"/>
      <c r="H2136" s="8"/>
      <c r="I2136" s="10"/>
      <c r="J2136" s="10"/>
      <c r="K2136" s="18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</row>
    <row r="2137" ht="14.25" customHeight="1">
      <c r="A2137" s="9"/>
      <c r="B2137" s="8"/>
      <c r="C2137" s="8"/>
      <c r="D2137" s="8"/>
      <c r="E2137" s="8"/>
      <c r="F2137" s="8"/>
      <c r="G2137" s="8"/>
      <c r="H2137" s="8"/>
      <c r="I2137" s="10"/>
      <c r="J2137" s="10"/>
      <c r="K2137" s="18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</row>
    <row r="2138" ht="14.25" customHeight="1">
      <c r="A2138" s="9"/>
      <c r="B2138" s="8"/>
      <c r="C2138" s="8"/>
      <c r="D2138" s="8"/>
      <c r="E2138" s="8"/>
      <c r="F2138" s="8"/>
      <c r="G2138" s="8"/>
      <c r="H2138" s="8"/>
      <c r="I2138" s="10"/>
      <c r="J2138" s="10"/>
      <c r="K2138" s="18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</row>
    <row r="2139" ht="14.25" customHeight="1">
      <c r="A2139" s="9"/>
      <c r="B2139" s="8"/>
      <c r="C2139" s="8"/>
      <c r="D2139" s="8"/>
      <c r="E2139" s="8"/>
      <c r="F2139" s="8"/>
      <c r="G2139" s="8"/>
      <c r="H2139" s="8"/>
      <c r="I2139" s="10"/>
      <c r="J2139" s="10"/>
      <c r="K2139" s="18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</row>
    <row r="2140" ht="14.25" customHeight="1">
      <c r="A2140" s="9"/>
      <c r="B2140" s="8"/>
      <c r="C2140" s="8"/>
      <c r="D2140" s="8"/>
      <c r="E2140" s="8"/>
      <c r="F2140" s="8"/>
      <c r="G2140" s="8"/>
      <c r="H2140" s="8"/>
      <c r="I2140" s="10"/>
      <c r="J2140" s="10"/>
      <c r="K2140" s="18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</row>
    <row r="2141" ht="14.25" customHeight="1">
      <c r="A2141" s="9"/>
      <c r="B2141" s="8"/>
      <c r="C2141" s="8"/>
      <c r="D2141" s="8"/>
      <c r="E2141" s="8"/>
      <c r="F2141" s="8"/>
      <c r="G2141" s="8"/>
      <c r="H2141" s="8"/>
      <c r="I2141" s="10"/>
      <c r="J2141" s="10"/>
      <c r="K2141" s="18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</row>
    <row r="2142" ht="14.25" customHeight="1">
      <c r="A2142" s="9"/>
      <c r="B2142" s="8"/>
      <c r="C2142" s="8"/>
      <c r="D2142" s="8"/>
      <c r="E2142" s="8"/>
      <c r="F2142" s="8"/>
      <c r="G2142" s="8"/>
      <c r="H2142" s="8"/>
      <c r="I2142" s="10"/>
      <c r="J2142" s="10"/>
      <c r="K2142" s="18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</row>
    <row r="2143" ht="14.25" customHeight="1">
      <c r="A2143" s="9"/>
      <c r="B2143" s="8"/>
      <c r="C2143" s="8"/>
      <c r="D2143" s="8"/>
      <c r="E2143" s="8"/>
      <c r="F2143" s="8"/>
      <c r="G2143" s="8"/>
      <c r="H2143" s="8"/>
      <c r="I2143" s="10"/>
      <c r="J2143" s="10"/>
      <c r="K2143" s="18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</row>
    <row r="2144" ht="14.25" customHeight="1">
      <c r="A2144" s="9"/>
      <c r="B2144" s="8"/>
      <c r="C2144" s="8"/>
      <c r="D2144" s="8"/>
      <c r="E2144" s="8"/>
      <c r="F2144" s="8"/>
      <c r="G2144" s="8"/>
      <c r="H2144" s="8"/>
      <c r="I2144" s="10"/>
      <c r="J2144" s="10"/>
      <c r="K2144" s="18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</row>
    <row r="2145" ht="14.25" customHeight="1">
      <c r="A2145" s="9"/>
      <c r="B2145" s="8"/>
      <c r="C2145" s="8"/>
      <c r="D2145" s="8"/>
      <c r="E2145" s="8"/>
      <c r="F2145" s="8"/>
      <c r="G2145" s="8"/>
      <c r="H2145" s="8"/>
      <c r="I2145" s="10"/>
      <c r="J2145" s="10"/>
      <c r="K2145" s="18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</row>
    <row r="2146" ht="14.25" customHeight="1">
      <c r="A2146" s="9"/>
      <c r="B2146" s="8"/>
      <c r="C2146" s="8"/>
      <c r="D2146" s="8"/>
      <c r="E2146" s="8"/>
      <c r="F2146" s="8"/>
      <c r="G2146" s="8"/>
      <c r="H2146" s="8"/>
      <c r="I2146" s="10"/>
      <c r="J2146" s="10"/>
      <c r="K2146" s="18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</row>
    <row r="2147" ht="14.25" customHeight="1">
      <c r="A2147" s="9"/>
      <c r="B2147" s="8"/>
      <c r="C2147" s="8"/>
      <c r="D2147" s="8"/>
      <c r="E2147" s="8"/>
      <c r="F2147" s="8"/>
      <c r="G2147" s="8"/>
      <c r="H2147" s="8"/>
      <c r="I2147" s="10"/>
      <c r="J2147" s="10"/>
      <c r="K2147" s="18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</row>
    <row r="2148" ht="14.25" customHeight="1">
      <c r="A2148" s="9"/>
      <c r="B2148" s="8"/>
      <c r="C2148" s="8"/>
      <c r="D2148" s="8"/>
      <c r="E2148" s="8"/>
      <c r="F2148" s="8"/>
      <c r="G2148" s="8"/>
      <c r="H2148" s="8"/>
      <c r="I2148" s="10"/>
      <c r="J2148" s="10"/>
      <c r="K2148" s="18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</row>
    <row r="2149" ht="14.25" customHeight="1">
      <c r="A2149" s="9"/>
      <c r="B2149" s="8"/>
      <c r="C2149" s="8"/>
      <c r="D2149" s="8"/>
      <c r="E2149" s="8"/>
      <c r="F2149" s="8"/>
      <c r="G2149" s="8"/>
      <c r="H2149" s="8"/>
      <c r="I2149" s="10"/>
      <c r="J2149" s="10"/>
      <c r="K2149" s="18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</row>
    <row r="2150" ht="14.25" customHeight="1">
      <c r="A2150" s="9"/>
      <c r="B2150" s="8"/>
      <c r="C2150" s="8"/>
      <c r="D2150" s="8"/>
      <c r="E2150" s="8"/>
      <c r="F2150" s="8"/>
      <c r="G2150" s="8"/>
      <c r="H2150" s="8"/>
      <c r="I2150" s="10"/>
      <c r="J2150" s="10"/>
      <c r="K2150" s="18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</row>
    <row r="2151" ht="14.25" customHeight="1">
      <c r="A2151" s="9"/>
      <c r="B2151" s="8"/>
      <c r="C2151" s="8"/>
      <c r="D2151" s="8"/>
      <c r="E2151" s="8"/>
      <c r="F2151" s="8"/>
      <c r="G2151" s="8"/>
      <c r="H2151" s="8"/>
      <c r="I2151" s="10"/>
      <c r="J2151" s="10"/>
      <c r="K2151" s="18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</row>
    <row r="2152" ht="14.25" customHeight="1">
      <c r="A2152" s="9"/>
      <c r="B2152" s="8"/>
      <c r="C2152" s="8"/>
      <c r="D2152" s="8"/>
      <c r="E2152" s="8"/>
      <c r="F2152" s="8"/>
      <c r="G2152" s="8"/>
      <c r="H2152" s="8"/>
      <c r="I2152" s="10"/>
      <c r="J2152" s="10"/>
      <c r="K2152" s="18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</row>
    <row r="2153" ht="14.25" customHeight="1">
      <c r="A2153" s="9"/>
      <c r="B2153" s="8"/>
      <c r="C2153" s="8"/>
      <c r="D2153" s="8"/>
      <c r="E2153" s="8"/>
      <c r="F2153" s="8"/>
      <c r="G2153" s="8"/>
      <c r="H2153" s="8"/>
      <c r="I2153" s="10"/>
      <c r="J2153" s="10"/>
      <c r="K2153" s="18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</row>
    <row r="2154" ht="14.25" customHeight="1">
      <c r="A2154" s="9"/>
      <c r="B2154" s="8"/>
      <c r="C2154" s="8"/>
      <c r="D2154" s="8"/>
      <c r="E2154" s="8"/>
      <c r="F2154" s="8"/>
      <c r="G2154" s="8"/>
      <c r="H2154" s="8"/>
      <c r="I2154" s="10"/>
      <c r="J2154" s="10"/>
      <c r="K2154" s="18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</row>
    <row r="2155" ht="14.25" customHeight="1">
      <c r="A2155" s="9"/>
      <c r="B2155" s="8"/>
      <c r="C2155" s="8"/>
      <c r="D2155" s="8"/>
      <c r="E2155" s="8"/>
      <c r="F2155" s="8"/>
      <c r="G2155" s="8"/>
      <c r="H2155" s="8"/>
      <c r="I2155" s="10"/>
      <c r="J2155" s="10"/>
      <c r="K2155" s="18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</row>
    <row r="2156" ht="14.25" customHeight="1">
      <c r="A2156" s="9"/>
      <c r="B2156" s="8"/>
      <c r="C2156" s="8"/>
      <c r="D2156" s="8"/>
      <c r="E2156" s="8"/>
      <c r="F2156" s="8"/>
      <c r="G2156" s="8"/>
      <c r="H2156" s="8"/>
      <c r="I2156" s="10"/>
      <c r="J2156" s="10"/>
      <c r="K2156" s="18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</row>
    <row r="2157" ht="14.25" customHeight="1">
      <c r="A2157" s="9"/>
      <c r="B2157" s="8"/>
      <c r="C2157" s="8"/>
      <c r="D2157" s="8"/>
      <c r="E2157" s="8"/>
      <c r="F2157" s="8"/>
      <c r="G2157" s="8"/>
      <c r="H2157" s="8"/>
      <c r="I2157" s="10"/>
      <c r="J2157" s="10"/>
      <c r="K2157" s="18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</row>
    <row r="2158" ht="14.25" customHeight="1">
      <c r="A2158" s="9"/>
      <c r="B2158" s="8"/>
      <c r="C2158" s="8"/>
      <c r="D2158" s="8"/>
      <c r="E2158" s="8"/>
      <c r="F2158" s="8"/>
      <c r="G2158" s="8"/>
      <c r="H2158" s="8"/>
      <c r="I2158" s="10"/>
      <c r="J2158" s="10"/>
      <c r="K2158" s="18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</row>
    <row r="2159" ht="14.25" customHeight="1">
      <c r="A2159" s="9"/>
      <c r="B2159" s="8"/>
      <c r="C2159" s="8"/>
      <c r="D2159" s="8"/>
      <c r="E2159" s="8"/>
      <c r="F2159" s="8"/>
      <c r="G2159" s="8"/>
      <c r="H2159" s="8"/>
      <c r="I2159" s="10"/>
      <c r="J2159" s="10"/>
      <c r="K2159" s="18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</row>
    <row r="2160" ht="14.25" customHeight="1">
      <c r="A2160" s="9"/>
      <c r="B2160" s="8"/>
      <c r="C2160" s="8"/>
      <c r="D2160" s="8"/>
      <c r="E2160" s="8"/>
      <c r="F2160" s="8"/>
      <c r="G2160" s="8"/>
      <c r="H2160" s="8"/>
      <c r="I2160" s="10"/>
      <c r="J2160" s="10"/>
      <c r="K2160" s="18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</row>
    <row r="2161" ht="14.25" customHeight="1">
      <c r="A2161" s="9"/>
      <c r="B2161" s="8"/>
      <c r="C2161" s="8"/>
      <c r="D2161" s="8"/>
      <c r="E2161" s="8"/>
      <c r="F2161" s="8"/>
      <c r="G2161" s="8"/>
      <c r="H2161" s="8"/>
      <c r="I2161" s="10"/>
      <c r="J2161" s="10"/>
      <c r="K2161" s="18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</row>
    <row r="2162" ht="14.25" customHeight="1">
      <c r="A2162" s="9"/>
      <c r="B2162" s="8"/>
      <c r="C2162" s="8"/>
      <c r="D2162" s="8"/>
      <c r="E2162" s="8"/>
      <c r="F2162" s="8"/>
      <c r="G2162" s="8"/>
      <c r="H2162" s="8"/>
      <c r="I2162" s="10"/>
      <c r="J2162" s="10"/>
      <c r="K2162" s="18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</row>
    <row r="2163" ht="14.25" customHeight="1">
      <c r="A2163" s="9"/>
      <c r="B2163" s="8"/>
      <c r="C2163" s="8"/>
      <c r="D2163" s="8"/>
      <c r="E2163" s="8"/>
      <c r="F2163" s="8"/>
      <c r="G2163" s="8"/>
      <c r="H2163" s="8"/>
      <c r="I2163" s="10"/>
      <c r="J2163" s="10"/>
      <c r="K2163" s="18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</row>
    <row r="2164" ht="14.25" customHeight="1">
      <c r="A2164" s="9"/>
      <c r="B2164" s="8"/>
      <c r="C2164" s="8"/>
      <c r="D2164" s="8"/>
      <c r="E2164" s="8"/>
      <c r="F2164" s="8"/>
      <c r="G2164" s="8"/>
      <c r="H2164" s="8"/>
      <c r="I2164" s="10"/>
      <c r="J2164" s="10"/>
      <c r="K2164" s="18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</row>
    <row r="2165" ht="14.25" customHeight="1">
      <c r="A2165" s="9"/>
      <c r="B2165" s="8"/>
      <c r="C2165" s="8"/>
      <c r="D2165" s="8"/>
      <c r="E2165" s="8"/>
      <c r="F2165" s="8"/>
      <c r="G2165" s="8"/>
      <c r="H2165" s="8"/>
      <c r="I2165" s="10"/>
      <c r="J2165" s="10"/>
      <c r="K2165" s="18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</row>
    <row r="2166" ht="14.25" customHeight="1">
      <c r="A2166" s="9"/>
      <c r="B2166" s="8"/>
      <c r="C2166" s="8"/>
      <c r="D2166" s="8"/>
      <c r="E2166" s="8"/>
      <c r="F2166" s="8"/>
      <c r="G2166" s="8"/>
      <c r="H2166" s="8"/>
      <c r="I2166" s="10"/>
      <c r="J2166" s="10"/>
      <c r="K2166" s="18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</row>
    <row r="2167" ht="14.25" customHeight="1">
      <c r="A2167" s="9"/>
      <c r="B2167" s="8"/>
      <c r="C2167" s="8"/>
      <c r="D2167" s="8"/>
      <c r="E2167" s="8"/>
      <c r="F2167" s="8"/>
      <c r="G2167" s="8"/>
      <c r="H2167" s="8"/>
      <c r="I2167" s="10"/>
      <c r="J2167" s="10"/>
      <c r="K2167" s="18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</row>
    <row r="2168" ht="14.25" customHeight="1">
      <c r="A2168" s="9"/>
      <c r="B2168" s="8"/>
      <c r="C2168" s="8"/>
      <c r="D2168" s="8"/>
      <c r="E2168" s="8"/>
      <c r="F2168" s="8"/>
      <c r="G2168" s="8"/>
      <c r="H2168" s="8"/>
      <c r="I2168" s="10"/>
      <c r="J2168" s="10"/>
      <c r="K2168" s="18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</row>
    <row r="2169" ht="14.25" customHeight="1">
      <c r="A2169" s="9"/>
      <c r="B2169" s="8"/>
      <c r="C2169" s="8"/>
      <c r="D2169" s="8"/>
      <c r="E2169" s="8"/>
      <c r="F2169" s="8"/>
      <c r="G2169" s="8"/>
      <c r="H2169" s="8"/>
      <c r="I2169" s="10"/>
      <c r="J2169" s="10"/>
      <c r="K2169" s="18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</row>
    <row r="2170" ht="14.25" customHeight="1">
      <c r="A2170" s="9"/>
      <c r="B2170" s="8"/>
      <c r="C2170" s="8"/>
      <c r="D2170" s="8"/>
      <c r="E2170" s="8"/>
      <c r="F2170" s="8"/>
      <c r="G2170" s="8"/>
      <c r="H2170" s="8"/>
      <c r="I2170" s="10"/>
      <c r="J2170" s="10"/>
      <c r="K2170" s="18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</row>
    <row r="2171" ht="14.25" customHeight="1">
      <c r="A2171" s="9"/>
      <c r="B2171" s="8"/>
      <c r="C2171" s="8"/>
      <c r="D2171" s="8"/>
      <c r="E2171" s="8"/>
      <c r="F2171" s="8"/>
      <c r="G2171" s="8"/>
      <c r="H2171" s="8"/>
      <c r="I2171" s="10"/>
      <c r="J2171" s="10"/>
      <c r="K2171" s="18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</row>
    <row r="2172" ht="14.25" customHeight="1">
      <c r="A2172" s="9"/>
      <c r="B2172" s="8"/>
      <c r="C2172" s="8"/>
      <c r="D2172" s="8"/>
      <c r="E2172" s="8"/>
      <c r="F2172" s="8"/>
      <c r="G2172" s="8"/>
      <c r="H2172" s="8"/>
      <c r="I2172" s="10"/>
      <c r="J2172" s="10"/>
      <c r="K2172" s="18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</row>
    <row r="2173" ht="14.25" customHeight="1">
      <c r="A2173" s="9"/>
      <c r="B2173" s="8"/>
      <c r="C2173" s="8"/>
      <c r="D2173" s="8"/>
      <c r="E2173" s="8"/>
      <c r="F2173" s="8"/>
      <c r="G2173" s="8"/>
      <c r="H2173" s="8"/>
      <c r="I2173" s="10"/>
      <c r="J2173" s="10"/>
      <c r="K2173" s="18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</row>
    <row r="2174" ht="14.25" customHeight="1">
      <c r="A2174" s="9"/>
      <c r="B2174" s="8"/>
      <c r="C2174" s="8"/>
      <c r="D2174" s="8"/>
      <c r="E2174" s="8"/>
      <c r="F2174" s="8"/>
      <c r="G2174" s="8"/>
      <c r="H2174" s="8"/>
      <c r="I2174" s="10"/>
      <c r="J2174" s="10"/>
      <c r="K2174" s="18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</row>
    <row r="2175" ht="14.25" customHeight="1">
      <c r="A2175" s="9"/>
      <c r="B2175" s="8"/>
      <c r="C2175" s="8"/>
      <c r="D2175" s="8"/>
      <c r="E2175" s="8"/>
      <c r="F2175" s="8"/>
      <c r="G2175" s="8"/>
      <c r="H2175" s="8"/>
      <c r="I2175" s="10"/>
      <c r="J2175" s="10"/>
      <c r="K2175" s="18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</row>
    <row r="2176" ht="14.25" customHeight="1">
      <c r="A2176" s="9"/>
      <c r="B2176" s="8"/>
      <c r="C2176" s="8"/>
      <c r="D2176" s="8"/>
      <c r="E2176" s="8"/>
      <c r="F2176" s="8"/>
      <c r="G2176" s="8"/>
      <c r="H2176" s="8"/>
      <c r="I2176" s="10"/>
      <c r="J2176" s="10"/>
      <c r="K2176" s="18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</row>
    <row r="2177" ht="14.25" customHeight="1">
      <c r="A2177" s="9"/>
      <c r="B2177" s="8"/>
      <c r="C2177" s="8"/>
      <c r="D2177" s="8"/>
      <c r="E2177" s="8"/>
      <c r="F2177" s="8"/>
      <c r="G2177" s="8"/>
      <c r="H2177" s="8"/>
      <c r="I2177" s="10"/>
      <c r="J2177" s="10"/>
      <c r="K2177" s="18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</row>
    <row r="2178" ht="14.25" customHeight="1">
      <c r="A2178" s="9"/>
      <c r="B2178" s="8"/>
      <c r="C2178" s="8"/>
      <c r="D2178" s="8"/>
      <c r="E2178" s="8"/>
      <c r="F2178" s="8"/>
      <c r="G2178" s="8"/>
      <c r="H2178" s="8"/>
      <c r="I2178" s="10"/>
      <c r="J2178" s="10"/>
      <c r="K2178" s="18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</row>
    <row r="2179" ht="14.25" customHeight="1">
      <c r="A2179" s="9"/>
      <c r="B2179" s="8"/>
      <c r="C2179" s="8"/>
      <c r="D2179" s="8"/>
      <c r="E2179" s="8"/>
      <c r="F2179" s="8"/>
      <c r="G2179" s="8"/>
      <c r="H2179" s="8"/>
      <c r="I2179" s="10"/>
      <c r="J2179" s="10"/>
      <c r="K2179" s="18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</row>
    <row r="2180" ht="14.25" customHeight="1">
      <c r="A2180" s="9"/>
      <c r="B2180" s="8"/>
      <c r="C2180" s="8"/>
      <c r="D2180" s="8"/>
      <c r="E2180" s="8"/>
      <c r="F2180" s="8"/>
      <c r="G2180" s="8"/>
      <c r="H2180" s="8"/>
      <c r="I2180" s="10"/>
      <c r="J2180" s="10"/>
      <c r="K2180" s="18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</row>
    <row r="2181" ht="14.25" customHeight="1">
      <c r="A2181" s="9"/>
      <c r="B2181" s="8"/>
      <c r="C2181" s="8"/>
      <c r="D2181" s="8"/>
      <c r="E2181" s="8"/>
      <c r="F2181" s="8"/>
      <c r="G2181" s="8"/>
      <c r="H2181" s="8"/>
      <c r="I2181" s="10"/>
      <c r="J2181" s="10"/>
      <c r="K2181" s="18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</row>
    <row r="2182" ht="14.25" customHeight="1">
      <c r="A2182" s="9"/>
      <c r="B2182" s="8"/>
      <c r="C2182" s="8"/>
      <c r="D2182" s="8"/>
      <c r="E2182" s="8"/>
      <c r="F2182" s="8"/>
      <c r="G2182" s="8"/>
      <c r="H2182" s="8"/>
      <c r="I2182" s="10"/>
      <c r="J2182" s="10"/>
      <c r="K2182" s="18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</row>
    <row r="2183" ht="14.25" customHeight="1">
      <c r="A2183" s="9"/>
      <c r="B2183" s="8"/>
      <c r="C2183" s="8"/>
      <c r="D2183" s="8"/>
      <c r="E2183" s="8"/>
      <c r="F2183" s="8"/>
      <c r="G2183" s="8"/>
      <c r="H2183" s="8"/>
      <c r="I2183" s="10"/>
      <c r="J2183" s="10"/>
      <c r="K2183" s="18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</row>
    <row r="2184" ht="14.25" customHeight="1">
      <c r="A2184" s="9"/>
      <c r="B2184" s="8"/>
      <c r="C2184" s="8"/>
      <c r="D2184" s="8"/>
      <c r="E2184" s="8"/>
      <c r="F2184" s="8"/>
      <c r="G2184" s="8"/>
      <c r="H2184" s="8"/>
      <c r="I2184" s="10"/>
      <c r="J2184" s="10"/>
      <c r="K2184" s="18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</row>
    <row r="2185" ht="14.25" customHeight="1">
      <c r="A2185" s="9"/>
      <c r="B2185" s="8"/>
      <c r="C2185" s="8"/>
      <c r="D2185" s="8"/>
      <c r="E2185" s="8"/>
      <c r="F2185" s="8"/>
      <c r="G2185" s="8"/>
      <c r="H2185" s="8"/>
      <c r="I2185" s="10"/>
      <c r="J2185" s="10"/>
      <c r="K2185" s="18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</row>
    <row r="2186" ht="14.25" customHeight="1">
      <c r="A2186" s="9"/>
      <c r="B2186" s="8"/>
      <c r="C2186" s="8"/>
      <c r="D2186" s="8"/>
      <c r="E2186" s="8"/>
      <c r="F2186" s="8"/>
      <c r="G2186" s="8"/>
      <c r="H2186" s="8"/>
      <c r="I2186" s="10"/>
      <c r="J2186" s="10"/>
      <c r="K2186" s="18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</row>
    <row r="2187" ht="14.25" customHeight="1">
      <c r="A2187" s="9"/>
      <c r="B2187" s="8"/>
      <c r="C2187" s="8"/>
      <c r="D2187" s="8"/>
      <c r="E2187" s="8"/>
      <c r="F2187" s="8"/>
      <c r="G2187" s="8"/>
      <c r="H2187" s="8"/>
      <c r="I2187" s="10"/>
      <c r="J2187" s="10"/>
      <c r="K2187" s="18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</row>
    <row r="2188" ht="14.25" customHeight="1">
      <c r="A2188" s="9"/>
      <c r="B2188" s="8"/>
      <c r="C2188" s="8"/>
      <c r="D2188" s="8"/>
      <c r="E2188" s="8"/>
      <c r="F2188" s="8"/>
      <c r="G2188" s="8"/>
      <c r="H2188" s="8"/>
      <c r="I2188" s="10"/>
      <c r="J2188" s="10"/>
      <c r="K2188" s="18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</row>
    <row r="2189" ht="14.25" customHeight="1">
      <c r="A2189" s="9"/>
      <c r="B2189" s="8"/>
      <c r="C2189" s="8"/>
      <c r="D2189" s="8"/>
      <c r="E2189" s="8"/>
      <c r="F2189" s="8"/>
      <c r="G2189" s="8"/>
      <c r="H2189" s="8"/>
      <c r="I2189" s="10"/>
      <c r="J2189" s="10"/>
      <c r="K2189" s="18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</row>
    <row r="2190" ht="14.25" customHeight="1">
      <c r="A2190" s="9"/>
      <c r="B2190" s="8"/>
      <c r="C2190" s="8"/>
      <c r="D2190" s="8"/>
      <c r="E2190" s="8"/>
      <c r="F2190" s="8"/>
      <c r="G2190" s="8"/>
      <c r="H2190" s="8"/>
      <c r="I2190" s="10"/>
      <c r="J2190" s="10"/>
      <c r="K2190" s="18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</row>
    <row r="2191" ht="14.25" customHeight="1">
      <c r="A2191" s="9"/>
      <c r="B2191" s="8"/>
      <c r="C2191" s="8"/>
      <c r="D2191" s="8"/>
      <c r="E2191" s="8"/>
      <c r="F2191" s="8"/>
      <c r="G2191" s="8"/>
      <c r="H2191" s="8"/>
      <c r="I2191" s="10"/>
      <c r="J2191" s="10"/>
      <c r="K2191" s="18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</row>
    <row r="2192" ht="14.25" customHeight="1">
      <c r="A2192" s="9"/>
      <c r="B2192" s="8"/>
      <c r="C2192" s="8"/>
      <c r="D2192" s="8"/>
      <c r="E2192" s="8"/>
      <c r="F2192" s="8"/>
      <c r="G2192" s="8"/>
      <c r="H2192" s="8"/>
      <c r="I2192" s="10"/>
      <c r="J2192" s="10"/>
      <c r="K2192" s="18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</row>
    <row r="2193" ht="14.25" customHeight="1">
      <c r="A2193" s="9"/>
      <c r="B2193" s="8"/>
      <c r="C2193" s="8"/>
      <c r="D2193" s="8"/>
      <c r="E2193" s="8"/>
      <c r="F2193" s="8"/>
      <c r="G2193" s="8"/>
      <c r="H2193" s="8"/>
      <c r="I2193" s="10"/>
      <c r="J2193" s="10"/>
      <c r="K2193" s="18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</row>
    <row r="2194" ht="14.25" customHeight="1">
      <c r="A2194" s="9"/>
      <c r="B2194" s="8"/>
      <c r="C2194" s="8"/>
      <c r="D2194" s="8"/>
      <c r="E2194" s="8"/>
      <c r="F2194" s="8"/>
      <c r="G2194" s="8"/>
      <c r="H2194" s="8"/>
      <c r="I2194" s="10"/>
      <c r="J2194" s="10"/>
      <c r="K2194" s="18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</row>
    <row r="2195" ht="14.25" customHeight="1">
      <c r="A2195" s="9"/>
      <c r="B2195" s="8"/>
      <c r="C2195" s="8"/>
      <c r="D2195" s="8"/>
      <c r="E2195" s="8"/>
      <c r="F2195" s="8"/>
      <c r="G2195" s="8"/>
      <c r="H2195" s="8"/>
      <c r="I2195" s="10"/>
      <c r="J2195" s="10"/>
      <c r="K2195" s="18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</row>
    <row r="2196" ht="14.25" customHeight="1">
      <c r="A2196" s="9"/>
      <c r="B2196" s="8"/>
      <c r="C2196" s="8"/>
      <c r="D2196" s="8"/>
      <c r="E2196" s="8"/>
      <c r="F2196" s="8"/>
      <c r="G2196" s="8"/>
      <c r="H2196" s="8"/>
      <c r="I2196" s="10"/>
      <c r="J2196" s="10"/>
      <c r="K2196" s="18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</row>
    <row r="2197" ht="14.25" customHeight="1">
      <c r="A2197" s="9"/>
      <c r="B2197" s="8"/>
      <c r="C2197" s="8"/>
      <c r="D2197" s="8"/>
      <c r="E2197" s="8"/>
      <c r="F2197" s="8"/>
      <c r="G2197" s="8"/>
      <c r="H2197" s="8"/>
      <c r="I2197" s="10"/>
      <c r="J2197" s="10"/>
      <c r="K2197" s="18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</row>
    <row r="2198" ht="14.25" customHeight="1">
      <c r="A2198" s="9"/>
      <c r="B2198" s="8"/>
      <c r="C2198" s="8"/>
      <c r="D2198" s="8"/>
      <c r="E2198" s="8"/>
      <c r="F2198" s="8"/>
      <c r="G2198" s="8"/>
      <c r="H2198" s="8"/>
      <c r="I2198" s="10"/>
      <c r="J2198" s="10"/>
      <c r="K2198" s="18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</row>
    <row r="2199" ht="14.25" customHeight="1">
      <c r="A2199" s="9"/>
      <c r="B2199" s="8"/>
      <c r="C2199" s="8"/>
      <c r="D2199" s="8"/>
      <c r="E2199" s="8"/>
      <c r="F2199" s="8"/>
      <c r="G2199" s="8"/>
      <c r="H2199" s="8"/>
      <c r="I2199" s="10"/>
      <c r="J2199" s="10"/>
      <c r="K2199" s="18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</row>
    <row r="2200" ht="14.25" customHeight="1">
      <c r="A2200" s="9"/>
      <c r="B2200" s="8"/>
      <c r="C2200" s="8"/>
      <c r="D2200" s="8"/>
      <c r="E2200" s="8"/>
      <c r="F2200" s="8"/>
      <c r="G2200" s="8"/>
      <c r="H2200" s="8"/>
      <c r="I2200" s="10"/>
      <c r="J2200" s="10"/>
      <c r="K2200" s="18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</row>
    <row r="2201" ht="14.25" customHeight="1">
      <c r="A2201" s="9"/>
      <c r="B2201" s="8"/>
      <c r="C2201" s="8"/>
      <c r="D2201" s="8"/>
      <c r="E2201" s="8"/>
      <c r="F2201" s="8"/>
      <c r="G2201" s="8"/>
      <c r="H2201" s="8"/>
      <c r="I2201" s="10"/>
      <c r="J2201" s="10"/>
      <c r="K2201" s="18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</row>
    <row r="2202" ht="14.25" customHeight="1">
      <c r="A2202" s="9"/>
      <c r="B2202" s="8"/>
      <c r="C2202" s="8"/>
      <c r="D2202" s="8"/>
      <c r="E2202" s="8"/>
      <c r="F2202" s="8"/>
      <c r="G2202" s="8"/>
      <c r="H2202" s="8"/>
      <c r="I2202" s="10"/>
      <c r="J2202" s="10"/>
      <c r="K2202" s="18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</row>
    <row r="2203" ht="14.25" customHeight="1">
      <c r="A2203" s="9"/>
      <c r="B2203" s="8"/>
      <c r="C2203" s="8"/>
      <c r="D2203" s="8"/>
      <c r="E2203" s="8"/>
      <c r="F2203" s="8"/>
      <c r="G2203" s="8"/>
      <c r="H2203" s="8"/>
      <c r="I2203" s="10"/>
      <c r="J2203" s="10"/>
      <c r="K2203" s="18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</row>
    <row r="2204" ht="14.25" customHeight="1">
      <c r="A2204" s="9"/>
      <c r="B2204" s="8"/>
      <c r="C2204" s="8"/>
      <c r="D2204" s="8"/>
      <c r="E2204" s="8"/>
      <c r="F2204" s="8"/>
      <c r="G2204" s="8"/>
      <c r="H2204" s="8"/>
      <c r="I2204" s="10"/>
      <c r="J2204" s="10"/>
      <c r="K2204" s="18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</row>
    <row r="2205" ht="14.25" customHeight="1">
      <c r="A2205" s="9"/>
      <c r="B2205" s="8"/>
      <c r="C2205" s="8"/>
      <c r="D2205" s="8"/>
      <c r="E2205" s="8"/>
      <c r="F2205" s="8"/>
      <c r="G2205" s="8"/>
      <c r="H2205" s="8"/>
      <c r="I2205" s="10"/>
      <c r="J2205" s="10"/>
      <c r="K2205" s="18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</row>
    <row r="2206" ht="14.25" customHeight="1">
      <c r="A2206" s="9"/>
      <c r="B2206" s="8"/>
      <c r="C2206" s="8"/>
      <c r="D2206" s="8"/>
      <c r="E2206" s="8"/>
      <c r="F2206" s="8"/>
      <c r="G2206" s="8"/>
      <c r="H2206" s="8"/>
      <c r="I2206" s="10"/>
      <c r="J2206" s="10"/>
      <c r="K2206" s="18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</row>
    <row r="2207" ht="14.25" customHeight="1">
      <c r="A2207" s="9"/>
      <c r="B2207" s="8"/>
      <c r="C2207" s="8"/>
      <c r="D2207" s="8"/>
      <c r="E2207" s="8"/>
      <c r="F2207" s="8"/>
      <c r="G2207" s="8"/>
      <c r="H2207" s="8"/>
      <c r="I2207" s="10"/>
      <c r="J2207" s="10"/>
      <c r="K2207" s="18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</row>
    <row r="2208" ht="14.25" customHeight="1">
      <c r="A2208" s="9"/>
      <c r="B2208" s="8"/>
      <c r="C2208" s="8"/>
      <c r="D2208" s="8"/>
      <c r="E2208" s="8"/>
      <c r="F2208" s="8"/>
      <c r="G2208" s="8"/>
      <c r="H2208" s="8"/>
      <c r="I2208" s="10"/>
      <c r="J2208" s="10"/>
      <c r="K2208" s="18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</row>
    <row r="2209" ht="14.25" customHeight="1">
      <c r="A2209" s="9"/>
      <c r="B2209" s="8"/>
      <c r="C2209" s="8"/>
      <c r="D2209" s="8"/>
      <c r="E2209" s="8"/>
      <c r="F2209" s="8"/>
      <c r="G2209" s="8"/>
      <c r="H2209" s="8"/>
      <c r="I2209" s="10"/>
      <c r="J2209" s="10"/>
      <c r="K2209" s="18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</row>
    <row r="2210" ht="14.25" customHeight="1">
      <c r="A2210" s="9"/>
      <c r="B2210" s="8"/>
      <c r="C2210" s="8"/>
      <c r="D2210" s="8"/>
      <c r="E2210" s="8"/>
      <c r="F2210" s="8"/>
      <c r="G2210" s="8"/>
      <c r="H2210" s="8"/>
      <c r="I2210" s="10"/>
      <c r="J2210" s="10"/>
      <c r="K2210" s="18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</row>
    <row r="2211" ht="14.25" customHeight="1">
      <c r="A2211" s="9"/>
      <c r="B2211" s="8"/>
      <c r="C2211" s="8"/>
      <c r="D2211" s="8"/>
      <c r="E2211" s="8"/>
      <c r="F2211" s="8"/>
      <c r="G2211" s="8"/>
      <c r="H2211" s="8"/>
      <c r="I2211" s="10"/>
      <c r="J2211" s="10"/>
      <c r="K2211" s="18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</row>
    <row r="2212" ht="14.25" customHeight="1">
      <c r="A2212" s="9"/>
      <c r="B2212" s="8"/>
      <c r="C2212" s="8"/>
      <c r="D2212" s="8"/>
      <c r="E2212" s="8"/>
      <c r="F2212" s="8"/>
      <c r="G2212" s="8"/>
      <c r="H2212" s="8"/>
      <c r="I2212" s="10"/>
      <c r="J2212" s="10"/>
      <c r="K2212" s="18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</row>
    <row r="2213" ht="14.25" customHeight="1">
      <c r="A2213" s="9"/>
      <c r="B2213" s="8"/>
      <c r="C2213" s="8"/>
      <c r="D2213" s="8"/>
      <c r="E2213" s="8"/>
      <c r="F2213" s="8"/>
      <c r="G2213" s="8"/>
      <c r="H2213" s="8"/>
      <c r="I2213" s="10"/>
      <c r="J2213" s="10"/>
      <c r="K2213" s="18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</row>
    <row r="2214" ht="14.25" customHeight="1">
      <c r="A2214" s="9"/>
      <c r="B2214" s="8"/>
      <c r="C2214" s="8"/>
      <c r="D2214" s="8"/>
      <c r="E2214" s="8"/>
      <c r="F2214" s="8"/>
      <c r="G2214" s="8"/>
      <c r="H2214" s="8"/>
      <c r="I2214" s="10"/>
      <c r="J2214" s="10"/>
      <c r="K2214" s="18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</row>
    <row r="2215" ht="14.25" customHeight="1">
      <c r="A2215" s="9"/>
      <c r="B2215" s="8"/>
      <c r="C2215" s="8"/>
      <c r="D2215" s="8"/>
      <c r="E2215" s="8"/>
      <c r="F2215" s="8"/>
      <c r="G2215" s="8"/>
      <c r="H2215" s="8"/>
      <c r="I2215" s="10"/>
      <c r="J2215" s="10"/>
      <c r="K2215" s="18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</row>
    <row r="2216" ht="14.25" customHeight="1">
      <c r="A2216" s="9"/>
      <c r="B2216" s="8"/>
      <c r="C2216" s="8"/>
      <c r="D2216" s="8"/>
      <c r="E2216" s="8"/>
      <c r="F2216" s="8"/>
      <c r="G2216" s="8"/>
      <c r="H2216" s="8"/>
      <c r="I2216" s="10"/>
      <c r="J2216" s="10"/>
      <c r="K2216" s="18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</row>
    <row r="2217" ht="14.25" customHeight="1">
      <c r="A2217" s="9"/>
      <c r="B2217" s="8"/>
      <c r="C2217" s="8"/>
      <c r="D2217" s="8"/>
      <c r="E2217" s="8"/>
      <c r="F2217" s="8"/>
      <c r="G2217" s="8"/>
      <c r="H2217" s="8"/>
      <c r="I2217" s="10"/>
      <c r="J2217" s="10"/>
      <c r="K2217" s="18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</row>
    <row r="2218" ht="14.25" customHeight="1">
      <c r="A2218" s="9"/>
      <c r="B2218" s="8"/>
      <c r="C2218" s="8"/>
      <c r="D2218" s="8"/>
      <c r="E2218" s="8"/>
      <c r="F2218" s="8"/>
      <c r="G2218" s="8"/>
      <c r="H2218" s="8"/>
      <c r="I2218" s="10"/>
      <c r="J2218" s="10"/>
      <c r="K2218" s="18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</row>
    <row r="2219" ht="14.25" customHeight="1">
      <c r="A2219" s="9"/>
      <c r="B2219" s="8"/>
      <c r="C2219" s="8"/>
      <c r="D2219" s="8"/>
      <c r="E2219" s="8"/>
      <c r="F2219" s="8"/>
      <c r="G2219" s="8"/>
      <c r="H2219" s="8"/>
      <c r="I2219" s="10"/>
      <c r="J2219" s="10"/>
      <c r="K2219" s="18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</row>
    <row r="2220" ht="14.25" customHeight="1">
      <c r="A2220" s="9"/>
      <c r="B2220" s="8"/>
      <c r="C2220" s="8"/>
      <c r="D2220" s="8"/>
      <c r="E2220" s="8"/>
      <c r="F2220" s="8"/>
      <c r="G2220" s="8"/>
      <c r="H2220" s="8"/>
      <c r="I2220" s="10"/>
      <c r="J2220" s="10"/>
      <c r="K2220" s="18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</row>
    <row r="2221" ht="14.25" customHeight="1">
      <c r="A2221" s="9"/>
      <c r="B2221" s="8"/>
      <c r="C2221" s="8"/>
      <c r="D2221" s="8"/>
      <c r="E2221" s="8"/>
      <c r="F2221" s="8"/>
      <c r="G2221" s="8"/>
      <c r="H2221" s="8"/>
      <c r="I2221" s="10"/>
      <c r="J2221" s="10"/>
      <c r="K2221" s="18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</row>
    <row r="2222" ht="14.25" customHeight="1">
      <c r="A2222" s="9"/>
      <c r="B2222" s="8"/>
      <c r="C2222" s="8"/>
      <c r="D2222" s="8"/>
      <c r="E2222" s="8"/>
      <c r="F2222" s="8"/>
      <c r="G2222" s="8"/>
      <c r="H2222" s="8"/>
      <c r="I2222" s="10"/>
      <c r="J2222" s="10"/>
      <c r="K2222" s="18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</row>
    <row r="2223" ht="14.25" customHeight="1">
      <c r="A2223" s="9"/>
      <c r="B2223" s="8"/>
      <c r="C2223" s="8"/>
      <c r="D2223" s="8"/>
      <c r="E2223" s="8"/>
      <c r="F2223" s="8"/>
      <c r="G2223" s="8"/>
      <c r="H2223" s="8"/>
      <c r="I2223" s="10"/>
      <c r="J2223" s="10"/>
      <c r="K2223" s="18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</row>
    <row r="2224" ht="14.25" customHeight="1">
      <c r="A2224" s="9"/>
      <c r="B2224" s="8"/>
      <c r="C2224" s="8"/>
      <c r="D2224" s="8"/>
      <c r="E2224" s="8"/>
      <c r="F2224" s="8"/>
      <c r="G2224" s="8"/>
      <c r="H2224" s="8"/>
      <c r="I2224" s="10"/>
      <c r="J2224" s="10"/>
      <c r="K2224" s="18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</row>
    <row r="2225" ht="14.25" customHeight="1">
      <c r="A2225" s="9"/>
      <c r="B2225" s="8"/>
      <c r="C2225" s="8"/>
      <c r="D2225" s="8"/>
      <c r="E2225" s="8"/>
      <c r="F2225" s="8"/>
      <c r="G2225" s="8"/>
      <c r="H2225" s="8"/>
      <c r="I2225" s="10"/>
      <c r="J2225" s="10"/>
      <c r="K2225" s="18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</row>
    <row r="2226" ht="14.25" customHeight="1">
      <c r="A2226" s="9"/>
      <c r="B2226" s="8"/>
      <c r="C2226" s="8"/>
      <c r="D2226" s="8"/>
      <c r="E2226" s="8"/>
      <c r="F2226" s="8"/>
      <c r="G2226" s="8"/>
      <c r="H2226" s="8"/>
      <c r="I2226" s="10"/>
      <c r="J2226" s="10"/>
      <c r="K2226" s="18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</row>
    <row r="2227" ht="14.25" customHeight="1">
      <c r="A2227" s="9"/>
      <c r="B2227" s="8"/>
      <c r="C2227" s="8"/>
      <c r="D2227" s="8"/>
      <c r="E2227" s="8"/>
      <c r="F2227" s="8"/>
      <c r="G2227" s="8"/>
      <c r="H2227" s="8"/>
      <c r="I2227" s="10"/>
      <c r="J2227" s="10"/>
      <c r="K2227" s="18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</row>
    <row r="2228" ht="14.25" customHeight="1">
      <c r="A2228" s="9"/>
      <c r="B2228" s="8"/>
      <c r="C2228" s="8"/>
      <c r="D2228" s="8"/>
      <c r="E2228" s="8"/>
      <c r="F2228" s="8"/>
      <c r="G2228" s="8"/>
      <c r="H2228" s="8"/>
      <c r="I2228" s="10"/>
      <c r="J2228" s="10"/>
      <c r="K2228" s="18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</row>
    <row r="2229" ht="14.25" customHeight="1">
      <c r="A2229" s="9"/>
      <c r="B2229" s="8"/>
      <c r="C2229" s="8"/>
      <c r="D2229" s="8"/>
      <c r="E2229" s="8"/>
      <c r="F2229" s="8"/>
      <c r="G2229" s="8"/>
      <c r="H2229" s="8"/>
      <c r="I2229" s="10"/>
      <c r="J2229" s="10"/>
      <c r="K2229" s="18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</row>
    <row r="2230" ht="14.25" customHeight="1">
      <c r="A2230" s="9"/>
      <c r="B2230" s="8"/>
      <c r="C2230" s="8"/>
      <c r="D2230" s="8"/>
      <c r="E2230" s="8"/>
      <c r="F2230" s="8"/>
      <c r="G2230" s="8"/>
      <c r="H2230" s="8"/>
      <c r="I2230" s="10"/>
      <c r="J2230" s="10"/>
      <c r="K2230" s="18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</row>
    <row r="2231" ht="14.25" customHeight="1">
      <c r="A2231" s="9"/>
      <c r="B2231" s="8"/>
      <c r="C2231" s="8"/>
      <c r="D2231" s="8"/>
      <c r="E2231" s="8"/>
      <c r="F2231" s="8"/>
      <c r="G2231" s="8"/>
      <c r="H2231" s="8"/>
      <c r="I2231" s="10"/>
      <c r="J2231" s="10"/>
      <c r="K2231" s="18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</row>
    <row r="2232" ht="14.25" customHeight="1">
      <c r="A2232" s="9"/>
      <c r="B2232" s="8"/>
      <c r="C2232" s="8"/>
      <c r="D2232" s="8"/>
      <c r="E2232" s="8"/>
      <c r="F2232" s="8"/>
      <c r="G2232" s="8"/>
      <c r="H2232" s="8"/>
      <c r="I2232" s="10"/>
      <c r="J2232" s="10"/>
      <c r="K2232" s="18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</row>
    <row r="2233" ht="14.25" customHeight="1">
      <c r="A2233" s="9"/>
      <c r="B2233" s="8"/>
      <c r="C2233" s="8"/>
      <c r="D2233" s="8"/>
      <c r="E2233" s="8"/>
      <c r="F2233" s="8"/>
      <c r="G2233" s="8"/>
      <c r="H2233" s="8"/>
      <c r="I2233" s="10"/>
      <c r="J2233" s="10"/>
      <c r="K2233" s="18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</row>
    <row r="2234" ht="14.25" customHeight="1">
      <c r="A2234" s="9"/>
      <c r="B2234" s="8"/>
      <c r="C2234" s="8"/>
      <c r="D2234" s="8"/>
      <c r="E2234" s="8"/>
      <c r="F2234" s="8"/>
      <c r="G2234" s="8"/>
      <c r="H2234" s="8"/>
      <c r="I2234" s="10"/>
      <c r="J2234" s="10"/>
      <c r="K2234" s="18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</row>
    <row r="2235" ht="14.25" customHeight="1">
      <c r="A2235" s="9"/>
      <c r="B2235" s="8"/>
      <c r="C2235" s="8"/>
      <c r="D2235" s="8"/>
      <c r="E2235" s="8"/>
      <c r="F2235" s="8"/>
      <c r="G2235" s="8"/>
      <c r="H2235" s="8"/>
      <c r="I2235" s="10"/>
      <c r="J2235" s="10"/>
      <c r="K2235" s="18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</row>
    <row r="2236" ht="14.25" customHeight="1">
      <c r="A2236" s="9"/>
      <c r="B2236" s="8"/>
      <c r="C2236" s="8"/>
      <c r="D2236" s="8"/>
      <c r="E2236" s="8"/>
      <c r="F2236" s="8"/>
      <c r="G2236" s="8"/>
      <c r="H2236" s="8"/>
      <c r="I2236" s="10"/>
      <c r="J2236" s="10"/>
      <c r="K2236" s="18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</row>
    <row r="2237" ht="14.25" customHeight="1">
      <c r="A2237" s="9"/>
      <c r="B2237" s="8"/>
      <c r="C2237" s="8"/>
      <c r="D2237" s="8"/>
      <c r="E2237" s="8"/>
      <c r="F2237" s="8"/>
      <c r="G2237" s="8"/>
      <c r="H2237" s="8"/>
      <c r="I2237" s="10"/>
      <c r="J2237" s="10"/>
      <c r="K2237" s="18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</row>
    <row r="2238" ht="14.25" customHeight="1">
      <c r="A2238" s="9"/>
      <c r="B2238" s="8"/>
      <c r="C2238" s="8"/>
      <c r="D2238" s="8"/>
      <c r="E2238" s="8"/>
      <c r="F2238" s="8"/>
      <c r="G2238" s="8"/>
      <c r="H2238" s="8"/>
      <c r="I2238" s="10"/>
      <c r="J2238" s="10"/>
      <c r="K2238" s="18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</row>
    <row r="2239" ht="14.25" customHeight="1">
      <c r="A2239" s="9"/>
      <c r="B2239" s="8"/>
      <c r="C2239" s="8"/>
      <c r="D2239" s="8"/>
      <c r="E2239" s="8"/>
      <c r="F2239" s="8"/>
      <c r="G2239" s="8"/>
      <c r="H2239" s="8"/>
      <c r="I2239" s="10"/>
      <c r="J2239" s="10"/>
      <c r="K2239" s="18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</row>
    <row r="2240" ht="14.25" customHeight="1">
      <c r="A2240" s="9"/>
      <c r="B2240" s="8"/>
      <c r="C2240" s="8"/>
      <c r="D2240" s="8"/>
      <c r="E2240" s="8"/>
      <c r="F2240" s="8"/>
      <c r="G2240" s="8"/>
      <c r="H2240" s="8"/>
      <c r="I2240" s="10"/>
      <c r="J2240" s="10"/>
      <c r="K2240" s="18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</row>
    <row r="2241" ht="14.25" customHeight="1">
      <c r="A2241" s="9"/>
      <c r="B2241" s="8"/>
      <c r="C2241" s="8"/>
      <c r="D2241" s="8"/>
      <c r="E2241" s="8"/>
      <c r="F2241" s="8"/>
      <c r="G2241" s="8"/>
      <c r="H2241" s="8"/>
      <c r="I2241" s="10"/>
      <c r="J2241" s="10"/>
      <c r="K2241" s="18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</row>
    <row r="2242" ht="14.25" customHeight="1">
      <c r="A2242" s="9"/>
      <c r="B2242" s="8"/>
      <c r="C2242" s="8"/>
      <c r="D2242" s="8"/>
      <c r="E2242" s="8"/>
      <c r="F2242" s="8"/>
      <c r="G2242" s="8"/>
      <c r="H2242" s="8"/>
      <c r="I2242" s="10"/>
      <c r="J2242" s="10"/>
      <c r="K2242" s="18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</row>
    <row r="2243" ht="14.25" customHeight="1">
      <c r="A2243" s="9"/>
      <c r="B2243" s="8"/>
      <c r="C2243" s="8"/>
      <c r="D2243" s="8"/>
      <c r="E2243" s="8"/>
      <c r="F2243" s="8"/>
      <c r="G2243" s="8"/>
      <c r="H2243" s="8"/>
      <c r="I2243" s="10"/>
      <c r="J2243" s="10"/>
      <c r="K2243" s="18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</row>
    <row r="2244" ht="14.25" customHeight="1">
      <c r="A2244" s="9"/>
      <c r="B2244" s="8"/>
      <c r="C2244" s="8"/>
      <c r="D2244" s="8"/>
      <c r="E2244" s="8"/>
      <c r="F2244" s="8"/>
      <c r="G2244" s="8"/>
      <c r="H2244" s="8"/>
      <c r="I2244" s="10"/>
      <c r="J2244" s="10"/>
      <c r="K2244" s="18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</row>
    <row r="2245" ht="14.25" customHeight="1">
      <c r="A2245" s="9"/>
      <c r="B2245" s="8"/>
      <c r="C2245" s="8"/>
      <c r="D2245" s="8"/>
      <c r="E2245" s="8"/>
      <c r="F2245" s="8"/>
      <c r="G2245" s="8"/>
      <c r="H2245" s="8"/>
      <c r="I2245" s="10"/>
      <c r="J2245" s="10"/>
      <c r="K2245" s="18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</row>
    <row r="2246" ht="14.25" customHeight="1">
      <c r="A2246" s="9"/>
      <c r="B2246" s="8"/>
      <c r="C2246" s="8"/>
      <c r="D2246" s="8"/>
      <c r="E2246" s="8"/>
      <c r="F2246" s="8"/>
      <c r="G2246" s="8"/>
      <c r="H2246" s="8"/>
      <c r="I2246" s="10"/>
      <c r="J2246" s="10"/>
      <c r="K2246" s="18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</row>
    <row r="2247" ht="14.25" customHeight="1">
      <c r="A2247" s="9"/>
      <c r="B2247" s="8"/>
      <c r="C2247" s="8"/>
      <c r="D2247" s="8"/>
      <c r="E2247" s="8"/>
      <c r="F2247" s="8"/>
      <c r="G2247" s="8"/>
      <c r="H2247" s="8"/>
      <c r="I2247" s="10"/>
      <c r="J2247" s="10"/>
      <c r="K2247" s="18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</row>
    <row r="2248" ht="14.25" customHeight="1">
      <c r="A2248" s="9"/>
      <c r="B2248" s="8"/>
      <c r="C2248" s="8"/>
      <c r="D2248" s="8"/>
      <c r="E2248" s="8"/>
      <c r="F2248" s="8"/>
      <c r="G2248" s="8"/>
      <c r="H2248" s="8"/>
      <c r="I2248" s="10"/>
      <c r="J2248" s="10"/>
      <c r="K2248" s="18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</row>
  </sheetData>
  <mergeCells count="1">
    <mergeCell ref="A1:K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3" width="21.57"/>
    <col customWidth="1" min="4" max="5" width="14.43"/>
    <col customWidth="1" min="6" max="6" width="35.86"/>
    <col customWidth="1" min="7" max="7" width="14.43"/>
    <col customWidth="1" min="8" max="8" width="25.86"/>
    <col customWidth="1" min="9" max="11" width="14.43"/>
    <col customWidth="1" min="12" max="26" width="8.71"/>
  </cols>
  <sheetData>
    <row r="1" ht="37.5" customHeight="1">
      <c r="A1" s="1" t="s">
        <v>0</v>
      </c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4" t="str">
        <f>IFERROR(__xludf.DUMMYFUNCTION("query('WOMENS A  AA'!A2:L1280,""select A, B, C, D, E, F, G, H, I, K WHERE L = 3 ORDER BY A ASC"",1)"),"LAST")</f>
        <v>LAST</v>
      </c>
      <c r="B2" s="5" t="str">
        <f>IFERROR(__xludf.DUMMYFUNCTION("""COMPUTED_VALUE"""),"FIRST")</f>
        <v>FIRST</v>
      </c>
      <c r="C2" s="5" t="str">
        <f>IFERROR(__xludf.DUMMYFUNCTION("""COMPUTED_VALUE"""),"CITY")</f>
        <v>CITY</v>
      </c>
      <c r="D2" s="5" t="str">
        <f>IFERROR(__xludf.DUMMYFUNCTION("""COMPUTED_VALUE"""),"STATE")</f>
        <v>STATE</v>
      </c>
      <c r="E2" s="5" t="str">
        <f>IFERROR(__xludf.DUMMYFUNCTION("""COMPUTED_VALUE"""),"COUNTRY")</f>
        <v>COUNTRY</v>
      </c>
      <c r="F2" s="5" t="str">
        <f>IFERROR(__xludf.DUMMYFUNCTION("""COMPUTED_VALUE"""),"EVENT")</f>
        <v>EVENT</v>
      </c>
      <c r="G2" s="5" t="str">
        <f>IFERROR(__xludf.DUMMYFUNCTION("""COMPUTED_VALUE"""),"PLACE")</f>
        <v>PLACE</v>
      </c>
      <c r="H2" s="5" t="str">
        <f>IFERROR(__xludf.DUMMYFUNCTION("""COMPUTED_VALUE"""),"LOCATION")</f>
        <v>LOCATION</v>
      </c>
      <c r="I2" s="5" t="str">
        <f>IFERROR(__xludf.DUMMYFUNCTION("""COMPUTED_VALUE"""),"ON LIST")</f>
        <v>ON LIST</v>
      </c>
      <c r="J2" s="5" t="str">
        <f>IFERROR(__xludf.DUMMYFUNCTION("""COMPUTED_VALUE"""),"OFF A LIST")</f>
        <v>OFF A LIST</v>
      </c>
      <c r="K2" s="6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7" t="str">
        <f>IFERROR(__xludf.DUMMYFUNCTION("""COMPUTED_VALUE"""),"Abbiehl")</f>
        <v>Abbiehl</v>
      </c>
      <c r="B3" s="8" t="str">
        <f>IFERROR(__xludf.DUMMYFUNCTION("""COMPUTED_VALUE"""),"Crystal")</f>
        <v>Crystal</v>
      </c>
      <c r="C3" s="8" t="str">
        <f>IFERROR(__xludf.DUMMYFUNCTION("""COMPUTED_VALUE"""),"Mishawaka")</f>
        <v>Mishawaka</v>
      </c>
      <c r="D3" s="8" t="str">
        <f>IFERROR(__xludf.DUMMYFUNCTION("""COMPUTED_VALUE"""),"IN")</f>
        <v>IN</v>
      </c>
      <c r="E3" s="8" t="str">
        <f>IFERROR(__xludf.DUMMYFUNCTION("""COMPUTED_VALUE"""),"USA")</f>
        <v>USA</v>
      </c>
      <c r="F3" s="8" t="str">
        <f>IFERROR(__xludf.DUMMYFUNCTION("""COMPUTED_VALUE"""),"Womens B Doubles")</f>
        <v>Womens B Doubles</v>
      </c>
      <c r="G3" s="8" t="str">
        <f>IFERROR(__xludf.DUMMYFUNCTION("""COMPUTED_VALUE"""),"3rd")</f>
        <v>3rd</v>
      </c>
      <c r="H3" s="8" t="str">
        <f>IFERROR(__xludf.DUMMYFUNCTION("""COMPUTED_VALUE"""),"BullShooter 32")</f>
        <v>BullShooter 32</v>
      </c>
      <c r="I3" s="10">
        <f>IFERROR(__xludf.DUMMYFUNCTION("""COMPUTED_VALUE"""),42887.0)</f>
        <v>42887</v>
      </c>
      <c r="J3" s="10">
        <f>IFERROR(__xludf.DUMMYFUNCTION("""COMPUTED_VALUE"""),43983.0)</f>
        <v>43983</v>
      </c>
      <c r="K3" s="1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9" t="str">
        <f>IFERROR(__xludf.DUMMYFUNCTION("""COMPUTED_VALUE"""),"Adams")</f>
        <v>Adams</v>
      </c>
      <c r="B4" s="8" t="str">
        <f>IFERROR(__xludf.DUMMYFUNCTION("""COMPUTED_VALUE"""),"Deborah")</f>
        <v>Deborah</v>
      </c>
      <c r="C4" s="8" t="str">
        <f>IFERROR(__xludf.DUMMYFUNCTION("""COMPUTED_VALUE"""),"Corryton")</f>
        <v>Corryton</v>
      </c>
      <c r="D4" s="8" t="str">
        <f>IFERROR(__xludf.DUMMYFUNCTION("""COMPUTED_VALUE"""),"TN")</f>
        <v>TN</v>
      </c>
      <c r="E4" s="8" t="str">
        <f>IFERROR(__xludf.DUMMYFUNCTION("""COMPUTED_VALUE"""),"USA")</f>
        <v>USA</v>
      </c>
      <c r="F4" s="8" t="str">
        <f>IFERROR(__xludf.DUMMYFUNCTION("""COMPUTED_VALUE"""),"Women 301 Doubles")</f>
        <v>Women 301 Doubles</v>
      </c>
      <c r="G4" s="8" t="str">
        <f>IFERROR(__xludf.DUMMYFUNCTION("""COMPUTED_VALUE"""),"2nd")</f>
        <v>2nd</v>
      </c>
      <c r="H4" s="8" t="str">
        <f>IFERROR(__xludf.DUMMYFUNCTION("""COMPUTED_VALUE"""),"South Carolina BS 34")</f>
        <v>South Carolina BS 34</v>
      </c>
      <c r="I4" s="10">
        <f>IFERROR(__xludf.DUMMYFUNCTION("""COMPUTED_VALUE"""),43617.0)</f>
        <v>43617</v>
      </c>
      <c r="J4" s="10">
        <f>IFERROR(__xludf.DUMMYFUNCTION("""COMPUTED_VALUE"""),44713.0)</f>
        <v>44713</v>
      </c>
      <c r="K4" s="1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12" t="str">
        <f>IFERROR(__xludf.DUMMYFUNCTION("""COMPUTED_VALUE"""),"Aleixo")</f>
        <v>Aleixo</v>
      </c>
      <c r="B5" s="13" t="str">
        <f>IFERROR(__xludf.DUMMYFUNCTION("""COMPUTED_VALUE"""),"Claudia")</f>
        <v>Claudia</v>
      </c>
      <c r="C5" s="13" t="str">
        <f>IFERROR(__xludf.DUMMYFUNCTION("""COMPUTED_VALUE"""),"")</f>
        <v/>
      </c>
      <c r="D5" s="13" t="str">
        <f>IFERROR(__xludf.DUMMYFUNCTION("""COMPUTED_VALUE"""),"")</f>
        <v/>
      </c>
      <c r="E5" s="13" t="str">
        <f>IFERROR(__xludf.DUMMYFUNCTION("""COMPUTED_VALUE"""),"Portugal")</f>
        <v>Portugal</v>
      </c>
      <c r="F5" s="13" t="str">
        <f>IFERROR(__xludf.DUMMYFUNCTION("""COMPUTED_VALUE"""),"Womens A Cricket Singles")</f>
        <v>Womens A Cricket Singles</v>
      </c>
      <c r="G5" s="13" t="str">
        <f>IFERROR(__xludf.DUMMYFUNCTION("""COMPUTED_VALUE"""),"1st")</f>
        <v>1st</v>
      </c>
      <c r="H5" s="13" t="str">
        <f>IFERROR(__xludf.DUMMYFUNCTION("""COMPUTED_VALUE"""),"Off AA List")</f>
        <v>Off AA List</v>
      </c>
      <c r="I5" s="14">
        <f>IFERROR(__xludf.DUMMYFUNCTION("""COMPUTED_VALUE"""),42887.0)</f>
        <v>42887</v>
      </c>
      <c r="J5" s="14">
        <f>IFERROR(__xludf.DUMMYFUNCTION("""COMPUTED_VALUE"""),43983.0)</f>
        <v>43983</v>
      </c>
      <c r="K5" s="11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9" t="str">
        <f>IFERROR(__xludf.DUMMYFUNCTION("""COMPUTED_VALUE"""),"Alexander")</f>
        <v>Alexander</v>
      </c>
      <c r="B6" s="8" t="str">
        <f>IFERROR(__xludf.DUMMYFUNCTION("""COMPUTED_VALUE"""),"Alicia")</f>
        <v>Alicia</v>
      </c>
      <c r="C6" s="8" t="str">
        <f>IFERROR(__xludf.DUMMYFUNCTION("""COMPUTED_VALUE"""),"Dalton City")</f>
        <v>Dalton City</v>
      </c>
      <c r="D6" s="8" t="str">
        <f>IFERROR(__xludf.DUMMYFUNCTION("""COMPUTED_VALUE"""),"IL")</f>
        <v>IL</v>
      </c>
      <c r="E6" s="8" t="str">
        <f>IFERROR(__xludf.DUMMYFUNCTION("""COMPUTED_VALUE"""),"USA")</f>
        <v>USA</v>
      </c>
      <c r="F6" s="8" t="str">
        <f>IFERROR(__xludf.DUMMYFUNCTION("""COMPUTED_VALUE"""),"Womens B Cricket Dbls")</f>
        <v>Womens B Cricket Dbls</v>
      </c>
      <c r="G6" s="8" t="str">
        <f>IFERROR(__xludf.DUMMYFUNCTION("""COMPUTED_VALUE"""),"2nd")</f>
        <v>2nd</v>
      </c>
      <c r="H6" s="8" t="str">
        <f>IFERROR(__xludf.DUMMYFUNCTION("""COMPUTED_VALUE"""),"BullShooter 32")</f>
        <v>BullShooter 32</v>
      </c>
      <c r="I6" s="10">
        <f>IFERROR(__xludf.DUMMYFUNCTION("""COMPUTED_VALUE"""),42887.0)</f>
        <v>42887</v>
      </c>
      <c r="J6" s="10">
        <f>IFERROR(__xludf.DUMMYFUNCTION("""COMPUTED_VALUE"""),43983.0)</f>
        <v>43983</v>
      </c>
      <c r="K6" s="1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A7" s="9" t="str">
        <f>IFERROR(__xludf.DUMMYFUNCTION("""COMPUTED_VALUE"""),"Almaguer")</f>
        <v>Almaguer</v>
      </c>
      <c r="B7" s="8" t="str">
        <f>IFERROR(__xludf.DUMMYFUNCTION("""COMPUTED_VALUE"""),"Sadie")</f>
        <v>Sadie</v>
      </c>
      <c r="C7" s="8" t="str">
        <f>IFERROR(__xludf.DUMMYFUNCTION("""COMPUTED_VALUE"""),"Clyde")</f>
        <v>Clyde</v>
      </c>
      <c r="D7" s="8" t="str">
        <f>IFERROR(__xludf.DUMMYFUNCTION("""COMPUTED_VALUE"""),"OH")</f>
        <v>OH</v>
      </c>
      <c r="E7" s="8" t="str">
        <f>IFERROR(__xludf.DUMMYFUNCTION("""COMPUTED_VALUE"""),"USA")</f>
        <v>USA</v>
      </c>
      <c r="F7" s="8" t="str">
        <f>IFERROR(__xludf.DUMMYFUNCTION("""COMPUTED_VALUE"""),"Women Combo Doubles")</f>
        <v>Women Combo Doubles</v>
      </c>
      <c r="G7" s="8" t="str">
        <f>IFERROR(__xludf.DUMMYFUNCTION("""COMPUTED_VALUE"""),"2nd")</f>
        <v>2nd</v>
      </c>
      <c r="H7" s="8" t="str">
        <f>IFERROR(__xludf.DUMMYFUNCTION("""COMPUTED_VALUE"""),"Ohio BS 34")</f>
        <v>Ohio BS 34</v>
      </c>
      <c r="I7" s="10">
        <f>IFERROR(__xludf.DUMMYFUNCTION("""COMPUTED_VALUE"""),43617.0)</f>
        <v>43617</v>
      </c>
      <c r="J7" s="10">
        <f>IFERROR(__xludf.DUMMYFUNCTION("""COMPUTED_VALUE"""),44713.0)</f>
        <v>44713</v>
      </c>
      <c r="K7" s="11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9" t="str">
        <f>IFERROR(__xludf.DUMMYFUNCTION("""COMPUTED_VALUE"""),"Amling")</f>
        <v>Amling</v>
      </c>
      <c r="B8" s="8" t="str">
        <f>IFERROR(__xludf.DUMMYFUNCTION("""COMPUTED_VALUE"""),"Kristine")</f>
        <v>Kristine</v>
      </c>
      <c r="C8" s="8" t="str">
        <f>IFERROR(__xludf.DUMMYFUNCTION("""COMPUTED_VALUE"""),"")</f>
        <v/>
      </c>
      <c r="D8" s="8" t="str">
        <f>IFERROR(__xludf.DUMMYFUNCTION("""COMPUTED_VALUE"""),"")</f>
        <v/>
      </c>
      <c r="E8" s="8" t="str">
        <f>IFERROR(__xludf.DUMMYFUNCTION("""COMPUTED_VALUE"""),"Germany")</f>
        <v>Germany</v>
      </c>
      <c r="F8" s="8" t="str">
        <f>IFERROR(__xludf.DUMMYFUNCTION("""COMPUTED_VALUE"""),"Womens A Doubles X01")</f>
        <v>Womens A Doubles X01</v>
      </c>
      <c r="G8" s="8" t="str">
        <f>IFERROR(__xludf.DUMMYFUNCTION("""COMPUTED_VALUE"""),"1st")</f>
        <v>1st</v>
      </c>
      <c r="H8" s="8" t="str">
        <f>IFERROR(__xludf.DUMMYFUNCTION("""COMPUTED_VALUE"""),"Off AA List")</f>
        <v>Off AA List</v>
      </c>
      <c r="I8" s="10">
        <f>IFERROR(__xludf.DUMMYFUNCTION("""COMPUTED_VALUE"""),42887.0)</f>
        <v>42887</v>
      </c>
      <c r="J8" s="10">
        <f>IFERROR(__xludf.DUMMYFUNCTION("""COMPUTED_VALUE"""),43983.0)</f>
        <v>43983</v>
      </c>
      <c r="K8" s="1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4.25" customHeight="1">
      <c r="A9" s="9" t="str">
        <f>IFERROR(__xludf.DUMMYFUNCTION("""COMPUTED_VALUE"""),"Ammerato")</f>
        <v>Ammerato</v>
      </c>
      <c r="B9" s="8" t="str">
        <f>IFERROR(__xludf.DUMMYFUNCTION("""COMPUTED_VALUE"""),"Kimberly")</f>
        <v>Kimberly</v>
      </c>
      <c r="C9" s="8" t="str">
        <f>IFERROR(__xludf.DUMMYFUNCTION("""COMPUTED_VALUE"""),"Murrells Inlet")</f>
        <v>Murrells Inlet</v>
      </c>
      <c r="D9" s="8" t="str">
        <f>IFERROR(__xludf.DUMMYFUNCTION("""COMPUTED_VALUE"""),"SC")</f>
        <v>SC</v>
      </c>
      <c r="E9" s="8" t="str">
        <f>IFERROR(__xludf.DUMMYFUNCTION("""COMPUTED_VALUE"""),"USA")</f>
        <v>USA</v>
      </c>
      <c r="F9" s="8" t="str">
        <f>IFERROR(__xludf.DUMMYFUNCTION("""COMPUTED_VALUE"""),"Womens Doubles Combo")</f>
        <v>Womens Doubles Combo</v>
      </c>
      <c r="G9" s="8" t="str">
        <f>IFERROR(__xludf.DUMMYFUNCTION("""COMPUTED_VALUE"""),"3rd")</f>
        <v>3rd</v>
      </c>
      <c r="H9" s="8" t="str">
        <f>IFERROR(__xludf.DUMMYFUNCTION("""COMPUTED_VALUE"""),"SC Regional 33")</f>
        <v>SC Regional 33</v>
      </c>
      <c r="I9" s="10">
        <f>IFERROR(__xludf.DUMMYFUNCTION("""COMPUTED_VALUE"""),43252.0)</f>
        <v>43252</v>
      </c>
      <c r="J9" s="10">
        <f>IFERROR(__xludf.DUMMYFUNCTION("""COMPUTED_VALUE"""),44348.0)</f>
        <v>44348</v>
      </c>
      <c r="K9" s="1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customHeight="1">
      <c r="A10" s="9" t="str">
        <f>IFERROR(__xludf.DUMMYFUNCTION("""COMPUTED_VALUE"""),"Amspacker")</f>
        <v>Amspacker</v>
      </c>
      <c r="B10" s="8" t="str">
        <f>IFERROR(__xludf.DUMMYFUNCTION("""COMPUTED_VALUE"""),"Madison")</f>
        <v>Madison</v>
      </c>
      <c r="C10" s="8" t="str">
        <f>IFERROR(__xludf.DUMMYFUNCTION("""COMPUTED_VALUE"""),"Lewiston")</f>
        <v>Lewiston</v>
      </c>
      <c r="D10" s="8" t="str">
        <f>IFERROR(__xludf.DUMMYFUNCTION("""COMPUTED_VALUE"""),"PA")</f>
        <v>PA</v>
      </c>
      <c r="E10" s="8" t="str">
        <f>IFERROR(__xludf.DUMMYFUNCTION("""COMPUTED_VALUE"""),"USA")</f>
        <v>USA</v>
      </c>
      <c r="F10" s="8" t="str">
        <f>IFERROR(__xludf.DUMMYFUNCTION("""COMPUTED_VALUE"""),"Womens Doubles")</f>
        <v>Womens Doubles</v>
      </c>
      <c r="G10" s="8" t="str">
        <f>IFERROR(__xludf.DUMMYFUNCTION("""COMPUTED_VALUE"""),"3rd")</f>
        <v>3rd</v>
      </c>
      <c r="H10" s="8" t="str">
        <f>IFERROR(__xludf.DUMMYFUNCTION("""COMPUTED_VALUE"""),"PA Regional 33")</f>
        <v>PA Regional 33</v>
      </c>
      <c r="I10" s="10">
        <f>IFERROR(__xludf.DUMMYFUNCTION("""COMPUTED_VALUE"""),43252.0)</f>
        <v>43252</v>
      </c>
      <c r="J10" s="10">
        <f>IFERROR(__xludf.DUMMYFUNCTION("""COMPUTED_VALUE"""),44348.0)</f>
        <v>44348</v>
      </c>
      <c r="K10" s="1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4.25" customHeight="1">
      <c r="A11" s="12" t="str">
        <f>IFERROR(__xludf.DUMMYFUNCTION("""COMPUTED_VALUE"""),"Archbold")</f>
        <v>Archbold</v>
      </c>
      <c r="B11" s="13" t="str">
        <f>IFERROR(__xludf.DUMMYFUNCTION("""COMPUTED_VALUE"""),"Candra")</f>
        <v>Candra</v>
      </c>
      <c r="C11" s="13" t="str">
        <f>IFERROR(__xludf.DUMMYFUNCTION("""COMPUTED_VALUE"""),"")</f>
        <v/>
      </c>
      <c r="D11" s="13" t="str">
        <f>IFERROR(__xludf.DUMMYFUNCTION("""COMPUTED_VALUE"""),"UNK")</f>
        <v>UNK</v>
      </c>
      <c r="E11" s="13" t="str">
        <f>IFERROR(__xludf.DUMMYFUNCTION("""COMPUTED_VALUE"""),"UNK")</f>
        <v>UNK</v>
      </c>
      <c r="F11" s="13" t="str">
        <f>IFERROR(__xludf.DUMMYFUNCTION("""COMPUTED_VALUE"""),"ADO 2016")</f>
        <v>ADO 2016</v>
      </c>
      <c r="G11" s="13" t="str">
        <f>IFERROR(__xludf.DUMMYFUNCTION("""COMPUTED_VALUE"""),"30th")</f>
        <v>30th</v>
      </c>
      <c r="H11" s="13" t="str">
        <f>IFERROR(__xludf.DUMMYFUNCTION("""COMPUTED_VALUE"""),"ADO 2016")</f>
        <v>ADO 2016</v>
      </c>
      <c r="I11" s="14">
        <f>IFERROR(__xludf.DUMMYFUNCTION("""COMPUTED_VALUE"""),42401.0)</f>
        <v>42401</v>
      </c>
      <c r="J11" s="14">
        <f>IFERROR(__xludf.DUMMYFUNCTION("""COMPUTED_VALUE"""),44713.0)</f>
        <v>44713</v>
      </c>
      <c r="K11" s="1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4.25" customHeight="1">
      <c r="A12" s="9" t="str">
        <f>IFERROR(__xludf.DUMMYFUNCTION("""COMPUTED_VALUE"""),"Arreola")</f>
        <v>Arreola</v>
      </c>
      <c r="B12" s="8" t="str">
        <f>IFERROR(__xludf.DUMMYFUNCTION("""COMPUTED_VALUE"""),"Teresa")</f>
        <v>Teresa</v>
      </c>
      <c r="C12" s="8" t="str">
        <f>IFERROR(__xludf.DUMMYFUNCTION("""COMPUTED_VALUE"""),"Mesa")</f>
        <v>Mesa</v>
      </c>
      <c r="D12" s="8" t="str">
        <f>IFERROR(__xludf.DUMMYFUNCTION("""COMPUTED_VALUE"""),"AZ")</f>
        <v>AZ</v>
      </c>
      <c r="E12" s="8" t="str">
        <f>IFERROR(__xludf.DUMMYFUNCTION("""COMPUTED_VALUE"""),"USA")</f>
        <v>USA</v>
      </c>
      <c r="F12" s="8" t="str">
        <f>IFERROR(__xludf.DUMMYFUNCTION("""COMPUTED_VALUE"""),"Womens Doubles")</f>
        <v>Womens Doubles</v>
      </c>
      <c r="G12" s="8" t="str">
        <f>IFERROR(__xludf.DUMMYFUNCTION("""COMPUTED_VALUE"""),"2nd")</f>
        <v>2nd</v>
      </c>
      <c r="H12" s="8" t="str">
        <f>IFERROR(__xludf.DUMMYFUNCTION("""COMPUTED_VALUE"""),"NV Regional 32")</f>
        <v>NV Regional 32</v>
      </c>
      <c r="I12" s="10">
        <f>IFERROR(__xludf.DUMMYFUNCTION("""COMPUTED_VALUE"""),42887.0)</f>
        <v>42887</v>
      </c>
      <c r="J12" s="10">
        <f>IFERROR(__xludf.DUMMYFUNCTION("""COMPUTED_VALUE"""),43983.0)</f>
        <v>43983</v>
      </c>
      <c r="K12" s="1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4.25" customHeight="1">
      <c r="A13" s="9" t="str">
        <f>IFERROR(__xludf.DUMMYFUNCTION("""COMPUTED_VALUE"""),"Arsenault")</f>
        <v>Arsenault</v>
      </c>
      <c r="B13" s="8" t="str">
        <f>IFERROR(__xludf.DUMMYFUNCTION("""COMPUTED_VALUE"""),"Wendy")</f>
        <v>Wendy</v>
      </c>
      <c r="C13" s="8" t="str">
        <f>IFERROR(__xludf.DUMMYFUNCTION("""COMPUTED_VALUE"""),"Winter Haven")</f>
        <v>Winter Haven</v>
      </c>
      <c r="D13" s="8" t="str">
        <f>IFERROR(__xludf.DUMMYFUNCTION("""COMPUTED_VALUE"""),"FL")</f>
        <v>FL</v>
      </c>
      <c r="E13" s="8" t="str">
        <f>IFERROR(__xludf.DUMMYFUNCTION("""COMPUTED_VALUE"""),"USA")</f>
        <v>USA</v>
      </c>
      <c r="F13" s="8" t="str">
        <f>IFERROR(__xludf.DUMMYFUNCTION("""COMPUTED_VALUE"""),"Womens Doubles Combo")</f>
        <v>Womens Doubles Combo</v>
      </c>
      <c r="G13" s="8" t="str">
        <f>IFERROR(__xludf.DUMMYFUNCTION("""COMPUTED_VALUE"""),"1st")</f>
        <v>1st</v>
      </c>
      <c r="H13" s="8" t="str">
        <f>IFERROR(__xludf.DUMMYFUNCTION("""COMPUTED_VALUE"""),"GA Regional 33")</f>
        <v>GA Regional 33</v>
      </c>
      <c r="I13" s="10">
        <f>IFERROR(__xludf.DUMMYFUNCTION("""COMPUTED_VALUE"""),43252.0)</f>
        <v>43252</v>
      </c>
      <c r="J13" s="10">
        <f>IFERROR(__xludf.DUMMYFUNCTION("""COMPUTED_VALUE"""),44348.0)</f>
        <v>44348</v>
      </c>
      <c r="K13" s="1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4.25" customHeight="1">
      <c r="A14" s="9" t="str">
        <f>IFERROR(__xludf.DUMMYFUNCTION("""COMPUTED_VALUE"""),"Babicky")</f>
        <v>Babicky</v>
      </c>
      <c r="B14" s="8" t="str">
        <f>IFERROR(__xludf.DUMMYFUNCTION("""COMPUTED_VALUE"""),"Kristina")</f>
        <v>Kristina</v>
      </c>
      <c r="C14" s="8" t="str">
        <f>IFERROR(__xludf.DUMMYFUNCTION("""COMPUTED_VALUE"""),"Suring")</f>
        <v>Suring</v>
      </c>
      <c r="D14" s="8" t="str">
        <f>IFERROR(__xludf.DUMMYFUNCTION("""COMPUTED_VALUE"""),"WI")</f>
        <v>WI</v>
      </c>
      <c r="E14" s="8" t="str">
        <f>IFERROR(__xludf.DUMMYFUNCTION("""COMPUTED_VALUE"""),"USA")</f>
        <v>USA</v>
      </c>
      <c r="F14" s="8" t="str">
        <f>IFERROR(__xludf.DUMMYFUNCTION("""COMPUTED_VALUE"""),"Womens A Doubles Cricket")</f>
        <v>Womens A Doubles Cricket</v>
      </c>
      <c r="G14" s="8" t="str">
        <f>IFERROR(__xludf.DUMMYFUNCTION("""COMPUTED_VALUE"""),"2nd")</f>
        <v>2nd</v>
      </c>
      <c r="H14" s="8" t="str">
        <f>IFERROR(__xludf.DUMMYFUNCTION("""COMPUTED_VALUE"""),"Off AA List")</f>
        <v>Off AA List</v>
      </c>
      <c r="I14" s="10">
        <f>IFERROR(__xludf.DUMMYFUNCTION("""COMPUTED_VALUE"""),42887.0)</f>
        <v>42887</v>
      </c>
      <c r="J14" s="10">
        <f>IFERROR(__xludf.DUMMYFUNCTION("""COMPUTED_VALUE"""),43983.0)</f>
        <v>43983</v>
      </c>
      <c r="K14" s="1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customHeight="1">
      <c r="A15" s="9" t="str">
        <f>IFERROR(__xludf.DUMMYFUNCTION("""COMPUTED_VALUE"""),"Ballard")</f>
        <v>Ballard</v>
      </c>
      <c r="B15" s="8" t="str">
        <f>IFERROR(__xludf.DUMMYFUNCTION("""COMPUTED_VALUE"""),"Cathy")</f>
        <v>Cathy</v>
      </c>
      <c r="C15" s="8" t="str">
        <f>IFERROR(__xludf.DUMMYFUNCTION("""COMPUTED_VALUE"""),"Junction City")</f>
        <v>Junction City</v>
      </c>
      <c r="D15" s="8" t="str">
        <f>IFERROR(__xludf.DUMMYFUNCTION("""COMPUTED_VALUE"""),"KS")</f>
        <v>KS</v>
      </c>
      <c r="E15" s="8" t="str">
        <f>IFERROR(__xludf.DUMMYFUNCTION("""COMPUTED_VALUE"""),"USA")</f>
        <v>USA</v>
      </c>
      <c r="F15" s="8" t="str">
        <f>IFERROR(__xludf.DUMMYFUNCTION("""COMPUTED_VALUE"""),"Womens A Doubles")</f>
        <v>Womens A Doubles</v>
      </c>
      <c r="G15" s="8" t="str">
        <f>IFERROR(__xludf.DUMMYFUNCTION("""COMPUTED_VALUE"""),"3rd")</f>
        <v>3rd</v>
      </c>
      <c r="H15" s="8" t="str">
        <f>IFERROR(__xludf.DUMMYFUNCTION("""COMPUTED_VALUE"""),"BullShooter 31")</f>
        <v>BullShooter 31</v>
      </c>
      <c r="I15" s="10">
        <f>IFERROR(__xludf.DUMMYFUNCTION("""COMPUTED_VALUE"""),42522.0)</f>
        <v>42522</v>
      </c>
      <c r="J15" s="10">
        <f>IFERROR(__xludf.DUMMYFUNCTION("""COMPUTED_VALUE"""),44713.0)</f>
        <v>44713</v>
      </c>
      <c r="K15" s="1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9" t="str">
        <f>IFERROR(__xludf.DUMMYFUNCTION("""COMPUTED_VALUE"""),"Bantz")</f>
        <v>Bantz</v>
      </c>
      <c r="B16" s="8" t="str">
        <f>IFERROR(__xludf.DUMMYFUNCTION("""COMPUTED_VALUE"""),"Sarah")</f>
        <v>Sarah</v>
      </c>
      <c r="C16" s="8" t="str">
        <f>IFERROR(__xludf.DUMMYFUNCTION("""COMPUTED_VALUE"""),"Waterloo")</f>
        <v>Waterloo</v>
      </c>
      <c r="D16" s="8" t="str">
        <f>IFERROR(__xludf.DUMMYFUNCTION("""COMPUTED_VALUE"""),"IA")</f>
        <v>IA</v>
      </c>
      <c r="E16" s="8" t="str">
        <f>IFERROR(__xludf.DUMMYFUNCTION("""COMPUTED_VALUE"""),"USA")</f>
        <v>USA</v>
      </c>
      <c r="F16" s="8" t="str">
        <f>IFERROR(__xludf.DUMMYFUNCTION("""COMPUTED_VALUE"""),"Womens B Combo Luck")</f>
        <v>Womens B Combo Luck</v>
      </c>
      <c r="G16" s="8" t="str">
        <f>IFERROR(__xludf.DUMMYFUNCTION("""COMPUTED_VALUE"""),"4th")</f>
        <v>4th</v>
      </c>
      <c r="H16" s="8" t="str">
        <f>IFERROR(__xludf.DUMMYFUNCTION("""COMPUTED_VALUE"""),"BullShooter 32")</f>
        <v>BullShooter 32</v>
      </c>
      <c r="I16" s="10">
        <f>IFERROR(__xludf.DUMMYFUNCTION("""COMPUTED_VALUE"""),42887.0)</f>
        <v>42887</v>
      </c>
      <c r="J16" s="10">
        <f>IFERROR(__xludf.DUMMYFUNCTION("""COMPUTED_VALUE"""),43983.0)</f>
        <v>43983</v>
      </c>
      <c r="K16" s="1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>
      <c r="A17" s="9" t="str">
        <f>IFERROR(__xludf.DUMMYFUNCTION("""COMPUTED_VALUE"""),"Baringer")</f>
        <v>Baringer</v>
      </c>
      <c r="B17" s="8" t="str">
        <f>IFERROR(__xludf.DUMMYFUNCTION("""COMPUTED_VALUE"""),"Jana")</f>
        <v>Jana</v>
      </c>
      <c r="C17" s="8" t="str">
        <f>IFERROR(__xludf.DUMMYFUNCTION("""COMPUTED_VALUE"""),"Ortonville")</f>
        <v>Ortonville</v>
      </c>
      <c r="D17" s="8" t="str">
        <f>IFERROR(__xludf.DUMMYFUNCTION("""COMPUTED_VALUE"""),"MI")</f>
        <v>MI</v>
      </c>
      <c r="E17" s="8" t="str">
        <f>IFERROR(__xludf.DUMMYFUNCTION("""COMPUTED_VALUE"""),"USA")</f>
        <v>USA</v>
      </c>
      <c r="F17" s="8" t="str">
        <f>IFERROR(__xludf.DUMMYFUNCTION("""COMPUTED_VALUE"""),"Womens A Doubles Cricket")</f>
        <v>Womens A Doubles Cricket</v>
      </c>
      <c r="G17" s="8" t="str">
        <f>IFERROR(__xludf.DUMMYFUNCTION("""COMPUTED_VALUE"""),"1st")</f>
        <v>1st</v>
      </c>
      <c r="H17" s="8" t="str">
        <f>IFERROR(__xludf.DUMMYFUNCTION("""COMPUTED_VALUE"""),"Off AA List")</f>
        <v>Off AA List</v>
      </c>
      <c r="I17" s="10">
        <f>IFERROR(__xludf.DUMMYFUNCTION("""COMPUTED_VALUE"""),42887.0)</f>
        <v>42887</v>
      </c>
      <c r="J17" s="10">
        <f>IFERROR(__xludf.DUMMYFUNCTION("""COMPUTED_VALUE"""),43983.0)</f>
        <v>43983</v>
      </c>
      <c r="K17" s="1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9" t="str">
        <f>IFERROR(__xludf.DUMMYFUNCTION("""COMPUTED_VALUE"""),"Bartunek")</f>
        <v>Bartunek</v>
      </c>
      <c r="B18" s="8" t="str">
        <f>IFERROR(__xludf.DUMMYFUNCTION("""COMPUTED_VALUE"""),"Mason Marie")</f>
        <v>Mason Marie</v>
      </c>
      <c r="C18" s="8" t="str">
        <f>IFERROR(__xludf.DUMMYFUNCTION("""COMPUTED_VALUE"""),"Mitchell")</f>
        <v>Mitchell</v>
      </c>
      <c r="D18" s="8" t="str">
        <f>IFERROR(__xludf.DUMMYFUNCTION("""COMPUTED_VALUE"""),"SD")</f>
        <v>SD</v>
      </c>
      <c r="E18" s="8" t="str">
        <f>IFERROR(__xludf.DUMMYFUNCTION("""COMPUTED_VALUE"""),"USA")</f>
        <v>USA</v>
      </c>
      <c r="F18" s="8" t="str">
        <f>IFERROR(__xludf.DUMMYFUNCTION("""COMPUTED_VALUE"""),"Women Combo Doubles")</f>
        <v>Women Combo Doubles</v>
      </c>
      <c r="G18" s="8" t="str">
        <f>IFERROR(__xludf.DUMMYFUNCTION("""COMPUTED_VALUE"""),"3rd")</f>
        <v>3rd</v>
      </c>
      <c r="H18" s="8" t="str">
        <f>IFERROR(__xludf.DUMMYFUNCTION("""COMPUTED_VALUE"""),"Nebraska BS 34")</f>
        <v>Nebraska BS 34</v>
      </c>
      <c r="I18" s="10">
        <f>IFERROR(__xludf.DUMMYFUNCTION("""COMPUTED_VALUE"""),43617.0)</f>
        <v>43617</v>
      </c>
      <c r="J18" s="10">
        <f>IFERROR(__xludf.DUMMYFUNCTION("""COMPUTED_VALUE"""),44713.0)</f>
        <v>44713</v>
      </c>
      <c r="K18" s="1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9" t="str">
        <f>IFERROR(__xludf.DUMMYFUNCTION("""COMPUTED_VALUE"""),"Bastian")</f>
        <v>Bastian</v>
      </c>
      <c r="B19" s="8" t="str">
        <f>IFERROR(__xludf.DUMMYFUNCTION("""COMPUTED_VALUE"""),"Lisa")</f>
        <v>Lisa</v>
      </c>
      <c r="C19" s="8" t="str">
        <f>IFERROR(__xludf.DUMMYFUNCTION("""COMPUTED_VALUE"""),"Kewaskum")</f>
        <v>Kewaskum</v>
      </c>
      <c r="D19" s="8" t="str">
        <f>IFERROR(__xludf.DUMMYFUNCTION("""COMPUTED_VALUE"""),"WI")</f>
        <v>WI</v>
      </c>
      <c r="E19" s="8" t="str">
        <f>IFERROR(__xludf.DUMMYFUNCTION("""COMPUTED_VALUE"""),"USA")</f>
        <v>USA</v>
      </c>
      <c r="F19" s="8" t="str">
        <f>IFERROR(__xludf.DUMMYFUNCTION("""COMPUTED_VALUE"""),"Womens AA Doubles Cricket")</f>
        <v>Womens AA Doubles Cricket</v>
      </c>
      <c r="G19" s="8" t="str">
        <f>IFERROR(__xludf.DUMMYFUNCTION("""COMPUTED_VALUE"""),"4th")</f>
        <v>4th</v>
      </c>
      <c r="H19" s="8" t="str">
        <f>IFERROR(__xludf.DUMMYFUNCTION("""COMPUTED_VALUE"""),"Off AA List")</f>
        <v>Off AA List</v>
      </c>
      <c r="I19" s="10">
        <f>IFERROR(__xludf.DUMMYFUNCTION("""COMPUTED_VALUE"""),42887.0)</f>
        <v>42887</v>
      </c>
      <c r="J19" s="10">
        <f>IFERROR(__xludf.DUMMYFUNCTION("""COMPUTED_VALUE"""),43983.0)</f>
        <v>43983</v>
      </c>
      <c r="K19" s="1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9" t="str">
        <f>IFERROR(__xludf.DUMMYFUNCTION("""COMPUTED_VALUE"""),"Beard")</f>
        <v>Beard</v>
      </c>
      <c r="B20" s="8" t="str">
        <f>IFERROR(__xludf.DUMMYFUNCTION("""COMPUTED_VALUE"""),"Kaylee")</f>
        <v>Kaylee</v>
      </c>
      <c r="C20" s="8" t="str">
        <f>IFERROR(__xludf.DUMMYFUNCTION("""COMPUTED_VALUE"""),"Orlando")</f>
        <v>Orlando</v>
      </c>
      <c r="D20" s="8" t="str">
        <f>IFERROR(__xludf.DUMMYFUNCTION("""COMPUTED_VALUE"""),"FL")</f>
        <v>FL</v>
      </c>
      <c r="E20" s="8" t="str">
        <f>IFERROR(__xludf.DUMMYFUNCTION("""COMPUTED_VALUE"""),"USA")</f>
        <v>USA</v>
      </c>
      <c r="F20" s="8" t="str">
        <f>IFERROR(__xludf.DUMMYFUNCTION("""COMPUTED_VALUE"""),"Women 301 Doubles")</f>
        <v>Women 301 Doubles</v>
      </c>
      <c r="G20" s="8" t="str">
        <f>IFERROR(__xludf.DUMMYFUNCTION("""COMPUTED_VALUE"""),"3rd")</f>
        <v>3rd</v>
      </c>
      <c r="H20" s="8" t="str">
        <f>IFERROR(__xludf.DUMMYFUNCTION("""COMPUTED_VALUE"""),"Florida BS 34")</f>
        <v>Florida BS 34</v>
      </c>
      <c r="I20" s="10">
        <f>IFERROR(__xludf.DUMMYFUNCTION("""COMPUTED_VALUE"""),43617.0)</f>
        <v>43617</v>
      </c>
      <c r="J20" s="10">
        <f>IFERROR(__xludf.DUMMYFUNCTION("""COMPUTED_VALUE"""),44713.0)</f>
        <v>44713</v>
      </c>
      <c r="K20" s="1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9" t="str">
        <f>IFERROR(__xludf.DUMMYFUNCTION("""COMPUTED_VALUE"""),"Beckett")</f>
        <v>Beckett</v>
      </c>
      <c r="B21" s="8" t="str">
        <f>IFERROR(__xludf.DUMMYFUNCTION("""COMPUTED_VALUE"""),"Amanda")</f>
        <v>Amanda</v>
      </c>
      <c r="C21" s="8" t="str">
        <f>IFERROR(__xludf.DUMMYFUNCTION("""COMPUTED_VALUE"""),"Cedar Bluff")</f>
        <v>Cedar Bluff</v>
      </c>
      <c r="D21" s="8" t="str">
        <f>IFERROR(__xludf.DUMMYFUNCTION("""COMPUTED_VALUE"""),"AL")</f>
        <v>AL</v>
      </c>
      <c r="E21" s="8" t="str">
        <f>IFERROR(__xludf.DUMMYFUNCTION("""COMPUTED_VALUE"""),"USA")</f>
        <v>USA</v>
      </c>
      <c r="F21" s="8" t="str">
        <f>IFERROR(__xludf.DUMMYFUNCTION("""COMPUTED_VALUE"""),"Women 301 Doubles")</f>
        <v>Women 301 Doubles</v>
      </c>
      <c r="G21" s="8" t="str">
        <f>IFERROR(__xludf.DUMMYFUNCTION("""COMPUTED_VALUE"""),"2nd")</f>
        <v>2nd</v>
      </c>
      <c r="H21" s="8" t="str">
        <f>IFERROR(__xludf.DUMMYFUNCTION("""COMPUTED_VALUE"""),"Georgia BS 34")</f>
        <v>Georgia BS 34</v>
      </c>
      <c r="I21" s="10">
        <f>IFERROR(__xludf.DUMMYFUNCTION("""COMPUTED_VALUE"""),43617.0)</f>
        <v>43617</v>
      </c>
      <c r="J21" s="10">
        <f>IFERROR(__xludf.DUMMYFUNCTION("""COMPUTED_VALUE"""),44713.0)</f>
        <v>44713</v>
      </c>
      <c r="K21" s="1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9" t="str">
        <f>IFERROR(__xludf.DUMMYFUNCTION("""COMPUTED_VALUE"""),"Beeman")</f>
        <v>Beeman</v>
      </c>
      <c r="B22" s="8" t="str">
        <f>IFERROR(__xludf.DUMMYFUNCTION("""COMPUTED_VALUE"""),"Brittany")</f>
        <v>Brittany</v>
      </c>
      <c r="C22" s="8" t="str">
        <f>IFERROR(__xludf.DUMMYFUNCTION("""COMPUTED_VALUE"""),"Bedford")</f>
        <v>Bedford</v>
      </c>
      <c r="D22" s="8" t="str">
        <f>IFERROR(__xludf.DUMMYFUNCTION("""COMPUTED_VALUE"""),"PA")</f>
        <v>PA</v>
      </c>
      <c r="E22" s="8" t="str">
        <f>IFERROR(__xludf.DUMMYFUNCTION("""COMPUTED_VALUE"""),"USA")</f>
        <v>USA</v>
      </c>
      <c r="F22" s="8" t="str">
        <f>IFERROR(__xludf.DUMMYFUNCTION("""COMPUTED_VALUE"""),"Women 301 Doubles")</f>
        <v>Women 301 Doubles</v>
      </c>
      <c r="G22" s="8" t="str">
        <f>IFERROR(__xludf.DUMMYFUNCTION("""COMPUTED_VALUE"""),"3rd")</f>
        <v>3rd</v>
      </c>
      <c r="H22" s="8" t="str">
        <f>IFERROR(__xludf.DUMMYFUNCTION("""COMPUTED_VALUE"""),"Pennsylvania BS 34")</f>
        <v>Pennsylvania BS 34</v>
      </c>
      <c r="I22" s="10">
        <f>IFERROR(__xludf.DUMMYFUNCTION("""COMPUTED_VALUE"""),43617.0)</f>
        <v>43617</v>
      </c>
      <c r="J22" s="10">
        <f>IFERROR(__xludf.DUMMYFUNCTION("""COMPUTED_VALUE"""),44713.0)</f>
        <v>44713</v>
      </c>
      <c r="K22" s="1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9" t="str">
        <f>IFERROR(__xludf.DUMMYFUNCTION("""COMPUTED_VALUE"""),"Bishop")</f>
        <v>Bishop</v>
      </c>
      <c r="B23" s="8" t="str">
        <f>IFERROR(__xludf.DUMMYFUNCTION("""COMPUTED_VALUE"""),"Tonya")</f>
        <v>Tonya</v>
      </c>
      <c r="C23" s="8" t="str">
        <f>IFERROR(__xludf.DUMMYFUNCTION("""COMPUTED_VALUE"""),"Celina")</f>
        <v>Celina</v>
      </c>
      <c r="D23" s="8" t="str">
        <f>IFERROR(__xludf.DUMMYFUNCTION("""COMPUTED_VALUE"""),"OH")</f>
        <v>OH</v>
      </c>
      <c r="E23" s="8" t="str">
        <f>IFERROR(__xludf.DUMMYFUNCTION("""COMPUTED_VALUE"""),"USA")</f>
        <v>USA</v>
      </c>
      <c r="F23" s="8" t="str">
        <f>IFERROR(__xludf.DUMMYFUNCTION("""COMPUTED_VALUE"""),"Womens A Cricket Dble")</f>
        <v>Womens A Cricket Dble</v>
      </c>
      <c r="G23" s="8" t="str">
        <f>IFERROR(__xludf.DUMMYFUNCTION("""COMPUTED_VALUE"""),"3rd")</f>
        <v>3rd</v>
      </c>
      <c r="H23" s="8" t="str">
        <f>IFERROR(__xludf.DUMMYFUNCTION("""COMPUTED_VALUE"""),"BullShooter 31")</f>
        <v>BullShooter 31</v>
      </c>
      <c r="I23" s="10">
        <f>IFERROR(__xludf.DUMMYFUNCTION("""COMPUTED_VALUE"""),42522.0)</f>
        <v>42522</v>
      </c>
      <c r="J23" s="10">
        <f>IFERROR(__xludf.DUMMYFUNCTION("""COMPUTED_VALUE"""),44713.0)</f>
        <v>44713</v>
      </c>
      <c r="K23" s="1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9" t="str">
        <f>IFERROR(__xludf.DUMMYFUNCTION("""COMPUTED_VALUE"""),"Bock")</f>
        <v>Bock</v>
      </c>
      <c r="B24" s="8" t="str">
        <f>IFERROR(__xludf.DUMMYFUNCTION("""COMPUTED_VALUE"""),"Sarah")</f>
        <v>Sarah</v>
      </c>
      <c r="C24" s="8" t="str">
        <f>IFERROR(__xludf.DUMMYFUNCTION("""COMPUTED_VALUE"""),"Newark")</f>
        <v>Newark</v>
      </c>
      <c r="D24" s="8" t="str">
        <f>IFERROR(__xludf.DUMMYFUNCTION("""COMPUTED_VALUE"""),"NY")</f>
        <v>NY</v>
      </c>
      <c r="E24" s="8" t="str">
        <f>IFERROR(__xludf.DUMMYFUNCTION("""COMPUTED_VALUE"""),"USA")</f>
        <v>USA</v>
      </c>
      <c r="F24" s="8" t="str">
        <f>IFERROR(__xludf.DUMMYFUNCTION("""COMPUTED_VALUE"""),"Womens Doubles")</f>
        <v>Womens Doubles</v>
      </c>
      <c r="G24" s="8" t="str">
        <f>IFERROR(__xludf.DUMMYFUNCTION("""COMPUTED_VALUE"""),"3rd")</f>
        <v>3rd</v>
      </c>
      <c r="H24" s="8" t="str">
        <f>IFERROR(__xludf.DUMMYFUNCTION("""COMPUTED_VALUE"""),"NY Regional 32")</f>
        <v>NY Regional 32</v>
      </c>
      <c r="I24" s="10">
        <f>IFERROR(__xludf.DUMMYFUNCTION("""COMPUTED_VALUE"""),42887.0)</f>
        <v>42887</v>
      </c>
      <c r="J24" s="10">
        <f>IFERROR(__xludf.DUMMYFUNCTION("""COMPUTED_VALUE"""),43983.0)</f>
        <v>43983</v>
      </c>
      <c r="K24" s="1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12" t="str">
        <f>IFERROR(__xludf.DUMMYFUNCTION("""COMPUTED_VALUE"""),"Boguslawski")</f>
        <v>Boguslawski</v>
      </c>
      <c r="B25" s="13" t="str">
        <f>IFERROR(__xludf.DUMMYFUNCTION("""COMPUTED_VALUE"""),"Megan")</f>
        <v>Megan</v>
      </c>
      <c r="C25" s="13" t="str">
        <f>IFERROR(__xludf.DUMMYFUNCTION("""COMPUTED_VALUE"""),"La Porte")</f>
        <v>La Porte</v>
      </c>
      <c r="D25" s="13" t="str">
        <f>IFERROR(__xludf.DUMMYFUNCTION("""COMPUTED_VALUE"""),"IN")</f>
        <v>IN</v>
      </c>
      <c r="E25" s="13" t="str">
        <f>IFERROR(__xludf.DUMMYFUNCTION("""COMPUTED_VALUE"""),"USA")</f>
        <v>USA</v>
      </c>
      <c r="F25" s="13" t="str">
        <f>IFERROR(__xludf.DUMMYFUNCTION("""COMPUTED_VALUE"""),"TopGun B Mixed Triples")</f>
        <v>TopGun B Mixed Triples</v>
      </c>
      <c r="G25" s="13" t="str">
        <f>IFERROR(__xludf.DUMMYFUNCTION("""COMPUTED_VALUE"""),"2nd")</f>
        <v>2nd</v>
      </c>
      <c r="H25" s="13" t="str">
        <f>IFERROR(__xludf.DUMMYFUNCTION("""COMPUTED_VALUE"""),"BullShooter 34 Finals")</f>
        <v>BullShooter 34 Finals</v>
      </c>
      <c r="I25" s="14">
        <f>IFERROR(__xludf.DUMMYFUNCTION("""COMPUTED_VALUE"""),43617.0)</f>
        <v>43617</v>
      </c>
      <c r="J25" s="14">
        <f>IFERROR(__xludf.DUMMYFUNCTION("""COMPUTED_VALUE"""),44713.0)</f>
        <v>44713</v>
      </c>
      <c r="K25" s="11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9" t="str">
        <f>IFERROR(__xludf.DUMMYFUNCTION("""COMPUTED_VALUE"""),"Bonnewell")</f>
        <v>Bonnewell</v>
      </c>
      <c r="B26" s="8" t="str">
        <f>IFERROR(__xludf.DUMMYFUNCTION("""COMPUTED_VALUE"""),"Michelle")</f>
        <v>Michelle</v>
      </c>
      <c r="C26" s="8" t="str">
        <f>IFERROR(__xludf.DUMMYFUNCTION("""COMPUTED_VALUE"""),"Sioux City")</f>
        <v>Sioux City</v>
      </c>
      <c r="D26" s="8" t="str">
        <f>IFERROR(__xludf.DUMMYFUNCTION("""COMPUTED_VALUE"""),"IA")</f>
        <v>IA</v>
      </c>
      <c r="E26" s="8" t="str">
        <f>IFERROR(__xludf.DUMMYFUNCTION("""COMPUTED_VALUE"""),"USA")</f>
        <v>USA</v>
      </c>
      <c r="F26" s="8" t="str">
        <f>IFERROR(__xludf.DUMMYFUNCTION("""COMPUTED_VALUE"""),"Womens Doubles")</f>
        <v>Womens Doubles</v>
      </c>
      <c r="G26" s="8" t="str">
        <f>IFERROR(__xludf.DUMMYFUNCTION("""COMPUTED_VALUE"""),"3rd")</f>
        <v>3rd</v>
      </c>
      <c r="H26" s="8" t="str">
        <f>IFERROR(__xludf.DUMMYFUNCTION("""COMPUTED_VALUE"""),"NE Regional 32")</f>
        <v>NE Regional 32</v>
      </c>
      <c r="I26" s="10">
        <f>IFERROR(__xludf.DUMMYFUNCTION("""COMPUTED_VALUE"""),42887.0)</f>
        <v>42887</v>
      </c>
      <c r="J26" s="10">
        <f>IFERROR(__xludf.DUMMYFUNCTION("""COMPUTED_VALUE"""),43983.0)</f>
        <v>43983</v>
      </c>
      <c r="K26" s="1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9" t="str">
        <f>IFERROR(__xludf.DUMMYFUNCTION("""COMPUTED_VALUE"""),"Borland")</f>
        <v>Borland</v>
      </c>
      <c r="B27" s="8" t="str">
        <f>IFERROR(__xludf.DUMMYFUNCTION("""COMPUTED_VALUE"""),"Amy")</f>
        <v>Amy</v>
      </c>
      <c r="C27" s="8" t="str">
        <f>IFERROR(__xludf.DUMMYFUNCTION("""COMPUTED_VALUE"""),"Dixon")</f>
        <v>Dixon</v>
      </c>
      <c r="D27" s="8" t="str">
        <f>IFERROR(__xludf.DUMMYFUNCTION("""COMPUTED_VALUE"""),"IL")</f>
        <v>IL</v>
      </c>
      <c r="E27" s="8" t="str">
        <f>IFERROR(__xludf.DUMMYFUNCTION("""COMPUTED_VALUE"""),"USA")</f>
        <v>USA</v>
      </c>
      <c r="F27" s="8" t="str">
        <f>IFERROR(__xludf.DUMMYFUNCTION("""COMPUTED_VALUE"""),"")</f>
        <v/>
      </c>
      <c r="G27" s="8" t="str">
        <f>IFERROR(__xludf.DUMMYFUNCTION("""COMPUTED_VALUE"""),"")</f>
        <v/>
      </c>
      <c r="H27" s="8" t="str">
        <f>IFERROR(__xludf.DUMMYFUNCTION("""COMPUTED_VALUE"""),"BS 30 Finals")</f>
        <v>BS 30 Finals</v>
      </c>
      <c r="I27" s="10">
        <f>IFERROR(__xludf.DUMMYFUNCTION("""COMPUTED_VALUE"""),43252.0)</f>
        <v>43252</v>
      </c>
      <c r="J27" s="10">
        <f>IFERROR(__xludf.DUMMYFUNCTION("""COMPUTED_VALUE"""),44348.0)</f>
        <v>44348</v>
      </c>
      <c r="K27" s="1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9" t="str">
        <f>IFERROR(__xludf.DUMMYFUNCTION("""COMPUTED_VALUE"""),"Brace")</f>
        <v>Brace</v>
      </c>
      <c r="B28" s="8" t="str">
        <f>IFERROR(__xludf.DUMMYFUNCTION("""COMPUTED_VALUE"""),"Kimberly")</f>
        <v>Kimberly</v>
      </c>
      <c r="C28" s="8" t="str">
        <f>IFERROR(__xludf.DUMMYFUNCTION("""COMPUTED_VALUE"""),"Erie")</f>
        <v>Erie</v>
      </c>
      <c r="D28" s="8" t="str">
        <f>IFERROR(__xludf.DUMMYFUNCTION("""COMPUTED_VALUE"""),"PA")</f>
        <v>PA</v>
      </c>
      <c r="E28" s="8" t="str">
        <f>IFERROR(__xludf.DUMMYFUNCTION("""COMPUTED_VALUE"""),"USA")</f>
        <v>USA</v>
      </c>
      <c r="F28" s="8" t="str">
        <f>IFERROR(__xludf.DUMMYFUNCTION("""COMPUTED_VALUE"""),"Women 301 Doubles")</f>
        <v>Women 301 Doubles</v>
      </c>
      <c r="G28" s="8" t="str">
        <f>IFERROR(__xludf.DUMMYFUNCTION("""COMPUTED_VALUE"""),"3rd")</f>
        <v>3rd</v>
      </c>
      <c r="H28" s="8" t="str">
        <f>IFERROR(__xludf.DUMMYFUNCTION("""COMPUTED_VALUE"""),"New York BS 34")</f>
        <v>New York BS 34</v>
      </c>
      <c r="I28" s="10">
        <f>IFERROR(__xludf.DUMMYFUNCTION("""COMPUTED_VALUE"""),43617.0)</f>
        <v>43617</v>
      </c>
      <c r="J28" s="10">
        <f>IFERROR(__xludf.DUMMYFUNCTION("""COMPUTED_VALUE"""),44713.0)</f>
        <v>44713</v>
      </c>
      <c r="K28" s="11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9" t="str">
        <f>IFERROR(__xludf.DUMMYFUNCTION("""COMPUTED_VALUE"""),"Bragg")</f>
        <v>Bragg</v>
      </c>
      <c r="B29" s="8" t="str">
        <f>IFERROR(__xludf.DUMMYFUNCTION("""COMPUTED_VALUE"""),"Valerie")</f>
        <v>Valerie</v>
      </c>
      <c r="C29" s="8" t="str">
        <f>IFERROR(__xludf.DUMMYFUNCTION("""COMPUTED_VALUE"""),"Morrisonvile")</f>
        <v>Morrisonvile</v>
      </c>
      <c r="D29" s="8" t="str">
        <f>IFERROR(__xludf.DUMMYFUNCTION("""COMPUTED_VALUE"""),"NY")</f>
        <v>NY</v>
      </c>
      <c r="E29" s="8" t="str">
        <f>IFERROR(__xludf.DUMMYFUNCTION("""COMPUTED_VALUE"""),"USA")</f>
        <v>USA</v>
      </c>
      <c r="F29" s="8" t="str">
        <f>IFERROR(__xludf.DUMMYFUNCTION("""COMPUTED_VALUE"""),"Womens Singles")</f>
        <v>Womens Singles</v>
      </c>
      <c r="G29" s="8" t="str">
        <f>IFERROR(__xludf.DUMMYFUNCTION("""COMPUTED_VALUE"""),"3rd")</f>
        <v>3rd</v>
      </c>
      <c r="H29" s="8" t="str">
        <f>IFERROR(__xludf.DUMMYFUNCTION("""COMPUTED_VALUE"""),"NY Regional 33")</f>
        <v>NY Regional 33</v>
      </c>
      <c r="I29" s="10">
        <f>IFERROR(__xludf.DUMMYFUNCTION("""COMPUTED_VALUE"""),42522.0)</f>
        <v>42522</v>
      </c>
      <c r="J29" s="10">
        <f>IFERROR(__xludf.DUMMYFUNCTION("""COMPUTED_VALUE"""),44348.0)</f>
        <v>44348</v>
      </c>
      <c r="K29" s="11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9" t="str">
        <f>IFERROR(__xludf.DUMMYFUNCTION("""COMPUTED_VALUE"""),"Brand")</f>
        <v>Brand</v>
      </c>
      <c r="B30" s="8" t="str">
        <f>IFERROR(__xludf.DUMMYFUNCTION("""COMPUTED_VALUE"""),"Mary")</f>
        <v>Mary</v>
      </c>
      <c r="C30" s="8" t="str">
        <f>IFERROR(__xludf.DUMMYFUNCTION("""COMPUTED_VALUE"""),"Mc Henry")</f>
        <v>Mc Henry</v>
      </c>
      <c r="D30" s="8" t="str">
        <f>IFERROR(__xludf.DUMMYFUNCTION("""COMPUTED_VALUE"""),"IL")</f>
        <v>IL</v>
      </c>
      <c r="E30" s="8" t="str">
        <f>IFERROR(__xludf.DUMMYFUNCTION("""COMPUTED_VALUE"""),"USA")</f>
        <v>USA</v>
      </c>
      <c r="F30" s="8" t="str">
        <f>IFERROR(__xludf.DUMMYFUNCTION("""COMPUTED_VALUE"""),"Womens B Doubles")</f>
        <v>Womens B Doubles</v>
      </c>
      <c r="G30" s="8" t="str">
        <f>IFERROR(__xludf.DUMMYFUNCTION("""COMPUTED_VALUE"""),"4th")</f>
        <v>4th</v>
      </c>
      <c r="H30" s="8" t="str">
        <f>IFERROR(__xludf.DUMMYFUNCTION("""COMPUTED_VALUE"""),"BS 33 Finals")</f>
        <v>BS 33 Finals</v>
      </c>
      <c r="I30" s="10">
        <f>IFERROR(__xludf.DUMMYFUNCTION("""COMPUTED_VALUE"""),43252.0)</f>
        <v>43252</v>
      </c>
      <c r="J30" s="10">
        <f>IFERROR(__xludf.DUMMYFUNCTION("""COMPUTED_VALUE"""),44348.0)</f>
        <v>44348</v>
      </c>
      <c r="K30" s="11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12" t="str">
        <f>IFERROR(__xludf.DUMMYFUNCTION("""COMPUTED_VALUE"""),"Briggs")</f>
        <v>Briggs</v>
      </c>
      <c r="B31" s="13" t="str">
        <f>IFERROR(__xludf.DUMMYFUNCTION("""COMPUTED_VALUE"""),"Vicki")</f>
        <v>Vicki</v>
      </c>
      <c r="C31" s="13" t="str">
        <f>IFERROR(__xludf.DUMMYFUNCTION("""COMPUTED_VALUE"""),"")</f>
        <v/>
      </c>
      <c r="D31" s="13" t="str">
        <f>IFERROR(__xludf.DUMMYFUNCTION("""COMPUTED_VALUE"""),"UNK")</f>
        <v>UNK</v>
      </c>
      <c r="E31" s="13" t="str">
        <f>IFERROR(__xludf.DUMMYFUNCTION("""COMPUTED_VALUE"""),"USA")</f>
        <v>USA</v>
      </c>
      <c r="F31" s="13" t="str">
        <f>IFERROR(__xludf.DUMMYFUNCTION("""COMPUTED_VALUE"""),"ADO 2016")</f>
        <v>ADO 2016</v>
      </c>
      <c r="G31" s="13" t="str">
        <f>IFERROR(__xludf.DUMMYFUNCTION("""COMPUTED_VALUE"""),"19th")</f>
        <v>19th</v>
      </c>
      <c r="H31" s="13" t="str">
        <f>IFERROR(__xludf.DUMMYFUNCTION("""COMPUTED_VALUE"""),"ADO 2016")</f>
        <v>ADO 2016</v>
      </c>
      <c r="I31" s="14">
        <f>IFERROR(__xludf.DUMMYFUNCTION("""COMPUTED_VALUE"""),42401.0)</f>
        <v>42401</v>
      </c>
      <c r="J31" s="14">
        <f>IFERROR(__xludf.DUMMYFUNCTION("""COMPUTED_VALUE"""),44713.0)</f>
        <v>44713</v>
      </c>
      <c r="K31" s="11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9" t="str">
        <f>IFERROR(__xludf.DUMMYFUNCTION("""COMPUTED_VALUE"""),"Brigulio")</f>
        <v>Brigulio</v>
      </c>
      <c r="B32" s="8" t="str">
        <f>IFERROR(__xludf.DUMMYFUNCTION("""COMPUTED_VALUE"""),"Angela")</f>
        <v>Angela</v>
      </c>
      <c r="C32" s="8" t="str">
        <f>IFERROR(__xludf.DUMMYFUNCTION("""COMPUTED_VALUE"""),"Pasadena")</f>
        <v>Pasadena</v>
      </c>
      <c r="D32" s="8" t="str">
        <f>IFERROR(__xludf.DUMMYFUNCTION("""COMPUTED_VALUE"""),"CA")</f>
        <v>CA</v>
      </c>
      <c r="E32" s="8" t="str">
        <f>IFERROR(__xludf.DUMMYFUNCTION("""COMPUTED_VALUE"""),"USA")</f>
        <v>USA</v>
      </c>
      <c r="F32" s="8" t="str">
        <f>IFERROR(__xludf.DUMMYFUNCTION("""COMPUTED_VALUE"""),"Womens Doubles")</f>
        <v>Womens Doubles</v>
      </c>
      <c r="G32" s="8" t="str">
        <f>IFERROR(__xludf.DUMMYFUNCTION("""COMPUTED_VALUE"""),"3rd")</f>
        <v>3rd</v>
      </c>
      <c r="H32" s="8" t="str">
        <f>IFERROR(__xludf.DUMMYFUNCTION("""COMPUTED_VALUE"""),"NV Regional 32")</f>
        <v>NV Regional 32</v>
      </c>
      <c r="I32" s="10">
        <f>IFERROR(__xludf.DUMMYFUNCTION("""COMPUTED_VALUE"""),42887.0)</f>
        <v>42887</v>
      </c>
      <c r="J32" s="10">
        <f>IFERROR(__xludf.DUMMYFUNCTION("""COMPUTED_VALUE"""),43983.0)</f>
        <v>43983</v>
      </c>
      <c r="K32" s="1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9" t="str">
        <f>IFERROR(__xludf.DUMMYFUNCTION("""COMPUTED_VALUE"""),"Bromberg")</f>
        <v>Bromberg</v>
      </c>
      <c r="B33" s="8" t="str">
        <f>IFERROR(__xludf.DUMMYFUNCTION("""COMPUTED_VALUE"""),"Stacy")</f>
        <v>Stacy</v>
      </c>
      <c r="C33" s="8" t="str">
        <f>IFERROR(__xludf.DUMMYFUNCTION("""COMPUTED_VALUE"""),"Las Vegas")</f>
        <v>Las Vegas</v>
      </c>
      <c r="D33" s="8" t="str">
        <f>IFERROR(__xludf.DUMMYFUNCTION("""COMPUTED_VALUE"""),"NV")</f>
        <v>NV</v>
      </c>
      <c r="E33" s="8" t="str">
        <f>IFERROR(__xludf.DUMMYFUNCTION("""COMPUTED_VALUE"""),"USA")</f>
        <v>USA</v>
      </c>
      <c r="F33" s="8" t="str">
        <f>IFERROR(__xludf.DUMMYFUNCTION("""COMPUTED_VALUE"""),"In Honor of Acheivements")</f>
        <v>In Honor of Acheivements</v>
      </c>
      <c r="G33" s="8" t="str">
        <f>IFERROR(__xludf.DUMMYFUNCTION("""COMPUTED_VALUE"""),"1st")</f>
        <v>1st</v>
      </c>
      <c r="H33" s="8" t="str">
        <f>IFERROR(__xludf.DUMMYFUNCTION("""COMPUTED_VALUE"""),"In Honor of Acheivements")</f>
        <v>In Honor of Acheivements</v>
      </c>
      <c r="I33" s="10" t="str">
        <f>IFERROR(__xludf.DUMMYFUNCTION("""COMPUTED_VALUE"""),"")</f>
        <v/>
      </c>
      <c r="J33" s="10" t="str">
        <f>IFERROR(__xludf.DUMMYFUNCTION("""COMPUTED_VALUE"""),"")</f>
        <v/>
      </c>
      <c r="K33" s="11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9" t="str">
        <f>IFERROR(__xludf.DUMMYFUNCTION("""COMPUTED_VALUE"""),"Brown")</f>
        <v>Brown</v>
      </c>
      <c r="B34" s="8" t="str">
        <f>IFERROR(__xludf.DUMMYFUNCTION("""COMPUTED_VALUE"""),"Jessica")</f>
        <v>Jessica</v>
      </c>
      <c r="C34" s="8" t="str">
        <f>IFERROR(__xludf.DUMMYFUNCTION("""COMPUTED_VALUE"""),"Plattsburgh")</f>
        <v>Plattsburgh</v>
      </c>
      <c r="D34" s="8" t="str">
        <f>IFERROR(__xludf.DUMMYFUNCTION("""COMPUTED_VALUE"""),"NY")</f>
        <v>NY</v>
      </c>
      <c r="E34" s="8" t="str">
        <f>IFERROR(__xludf.DUMMYFUNCTION("""COMPUTED_VALUE"""),"USA")</f>
        <v>USA</v>
      </c>
      <c r="F34" s="8" t="str">
        <f>IFERROR(__xludf.DUMMYFUNCTION("""COMPUTED_VALUE"""),"Women 301 Doubles")</f>
        <v>Women 301 Doubles</v>
      </c>
      <c r="G34" s="8" t="str">
        <f>IFERROR(__xludf.DUMMYFUNCTION("""COMPUTED_VALUE"""),"2nd")</f>
        <v>2nd</v>
      </c>
      <c r="H34" s="8" t="str">
        <f>IFERROR(__xludf.DUMMYFUNCTION("""COMPUTED_VALUE"""),"New York BS 34")</f>
        <v>New York BS 34</v>
      </c>
      <c r="I34" s="10">
        <f>IFERROR(__xludf.DUMMYFUNCTION("""COMPUTED_VALUE"""),43617.0)</f>
        <v>43617</v>
      </c>
      <c r="J34" s="10">
        <f>IFERROR(__xludf.DUMMYFUNCTION("""COMPUTED_VALUE"""),44713.0)</f>
        <v>44713</v>
      </c>
      <c r="K34" s="11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9" t="str">
        <f>IFERROR(__xludf.DUMMYFUNCTION("""COMPUTED_VALUE"""),"Budden")</f>
        <v>Budden</v>
      </c>
      <c r="B35" s="8" t="str">
        <f>IFERROR(__xludf.DUMMYFUNCTION("""COMPUTED_VALUE"""),"Raegan")</f>
        <v>Raegan</v>
      </c>
      <c r="C35" s="8" t="str">
        <f>IFERROR(__xludf.DUMMYFUNCTION("""COMPUTED_VALUE"""),"Freeport")</f>
        <v>Freeport</v>
      </c>
      <c r="D35" s="8" t="str">
        <f>IFERROR(__xludf.DUMMYFUNCTION("""COMPUTED_VALUE"""),"IL")</f>
        <v>IL</v>
      </c>
      <c r="E35" s="8" t="str">
        <f>IFERROR(__xludf.DUMMYFUNCTION("""COMPUTED_VALUE"""),"USA")</f>
        <v>USA</v>
      </c>
      <c r="F35" s="8" t="str">
        <f>IFERROR(__xludf.DUMMYFUNCTION("""COMPUTED_VALUE"""),"Women Combo Singles")</f>
        <v>Women Combo Singles</v>
      </c>
      <c r="G35" s="8" t="str">
        <f>IFERROR(__xludf.DUMMYFUNCTION("""COMPUTED_VALUE"""),"2nd")</f>
        <v>2nd</v>
      </c>
      <c r="H35" s="8" t="str">
        <f>IFERROR(__xludf.DUMMYFUNCTION("""COMPUTED_VALUE"""),"Wisconsin BS 34")</f>
        <v>Wisconsin BS 34</v>
      </c>
      <c r="I35" s="10">
        <f>IFERROR(__xludf.DUMMYFUNCTION("""COMPUTED_VALUE"""),43617.0)</f>
        <v>43617</v>
      </c>
      <c r="J35" s="10">
        <f>IFERROR(__xludf.DUMMYFUNCTION("""COMPUTED_VALUE"""),44713.0)</f>
        <v>44713</v>
      </c>
      <c r="K35" s="11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9" t="str">
        <f>IFERROR(__xludf.DUMMYFUNCTION("""COMPUTED_VALUE"""),"Bunnell")</f>
        <v>Bunnell</v>
      </c>
      <c r="B36" s="8" t="str">
        <f>IFERROR(__xludf.DUMMYFUNCTION("""COMPUTED_VALUE"""),"Camilla")</f>
        <v>Camilla</v>
      </c>
      <c r="C36" s="8" t="str">
        <f>IFERROR(__xludf.DUMMYFUNCTION("""COMPUTED_VALUE"""),"Pawleys Island")</f>
        <v>Pawleys Island</v>
      </c>
      <c r="D36" s="8" t="str">
        <f>IFERROR(__xludf.DUMMYFUNCTION("""COMPUTED_VALUE"""),"SC")</f>
        <v>SC</v>
      </c>
      <c r="E36" s="8" t="str">
        <f>IFERROR(__xludf.DUMMYFUNCTION("""COMPUTED_VALUE"""),"USA")</f>
        <v>USA</v>
      </c>
      <c r="F36" s="8" t="str">
        <f>IFERROR(__xludf.DUMMYFUNCTION("""COMPUTED_VALUE"""),"Women Combo Singles")</f>
        <v>Women Combo Singles</v>
      </c>
      <c r="G36" s="8" t="str">
        <f>IFERROR(__xludf.DUMMYFUNCTION("""COMPUTED_VALUE"""),"1st")</f>
        <v>1st</v>
      </c>
      <c r="H36" s="8" t="str">
        <f>IFERROR(__xludf.DUMMYFUNCTION("""COMPUTED_VALUE"""),"South Carolina BS 34")</f>
        <v>South Carolina BS 34</v>
      </c>
      <c r="I36" s="10">
        <f>IFERROR(__xludf.DUMMYFUNCTION("""COMPUTED_VALUE"""),43617.0)</f>
        <v>43617</v>
      </c>
      <c r="J36" s="10">
        <f>IFERROR(__xludf.DUMMYFUNCTION("""COMPUTED_VALUE"""),44713.0)</f>
        <v>44713</v>
      </c>
      <c r="K36" s="1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9" t="str">
        <f>IFERROR(__xludf.DUMMYFUNCTION("""COMPUTED_VALUE"""),"Burkeen")</f>
        <v>Burkeen</v>
      </c>
      <c r="B37" s="8" t="str">
        <f>IFERROR(__xludf.DUMMYFUNCTION("""COMPUTED_VALUE"""),"Jennifer")</f>
        <v>Jennifer</v>
      </c>
      <c r="C37" s="8" t="str">
        <f>IFERROR(__xludf.DUMMYFUNCTION("""COMPUTED_VALUE"""),"Millington")</f>
        <v>Millington</v>
      </c>
      <c r="D37" s="8" t="str">
        <f>IFERROR(__xludf.DUMMYFUNCTION("""COMPUTED_VALUE"""),"TN")</f>
        <v>TN</v>
      </c>
      <c r="E37" s="8" t="str">
        <f>IFERROR(__xludf.DUMMYFUNCTION("""COMPUTED_VALUE"""),"USA")</f>
        <v>USA</v>
      </c>
      <c r="F37" s="8" t="str">
        <f>IFERROR(__xludf.DUMMYFUNCTION("""COMPUTED_VALUE"""),"Womens Doubles")</f>
        <v>Womens Doubles</v>
      </c>
      <c r="G37" s="8" t="str">
        <f>IFERROR(__xludf.DUMMYFUNCTION("""COMPUTED_VALUE"""),"2nd")</f>
        <v>2nd</v>
      </c>
      <c r="H37" s="8" t="str">
        <f>IFERROR(__xludf.DUMMYFUNCTION("""COMPUTED_VALUE"""),"TN Regional 32")</f>
        <v>TN Regional 32</v>
      </c>
      <c r="I37" s="10">
        <f>IFERROR(__xludf.DUMMYFUNCTION("""COMPUTED_VALUE"""),42887.0)</f>
        <v>42887</v>
      </c>
      <c r="J37" s="10">
        <f>IFERROR(__xludf.DUMMYFUNCTION("""COMPUTED_VALUE"""),43983.0)</f>
        <v>43983</v>
      </c>
      <c r="K37" s="1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9" t="str">
        <f>IFERROR(__xludf.DUMMYFUNCTION("""COMPUTED_VALUE"""),"Burns")</f>
        <v>Burns</v>
      </c>
      <c r="B38" s="8" t="str">
        <f>IFERROR(__xludf.DUMMYFUNCTION("""COMPUTED_VALUE"""),"April")</f>
        <v>April</v>
      </c>
      <c r="C38" s="8" t="str">
        <f>IFERROR(__xludf.DUMMYFUNCTION("""COMPUTED_VALUE"""),"Indianapolis")</f>
        <v>Indianapolis</v>
      </c>
      <c r="D38" s="8" t="str">
        <f>IFERROR(__xludf.DUMMYFUNCTION("""COMPUTED_VALUE"""),"IN")</f>
        <v>IN</v>
      </c>
      <c r="E38" s="8" t="str">
        <f>IFERROR(__xludf.DUMMYFUNCTION("""COMPUTED_VALUE"""),"USA")</f>
        <v>USA</v>
      </c>
      <c r="F38" s="8" t="str">
        <f>IFERROR(__xludf.DUMMYFUNCTION("""COMPUTED_VALUE"""),"Womens Dbls Combo")</f>
        <v>Womens Dbls Combo</v>
      </c>
      <c r="G38" s="8" t="str">
        <f>IFERROR(__xludf.DUMMYFUNCTION("""COMPUTED_VALUE"""),"1st")</f>
        <v>1st</v>
      </c>
      <c r="H38" s="8" t="str">
        <f>IFERROR(__xludf.DUMMYFUNCTION("""COMPUTED_VALUE"""),"IN Regional 32")</f>
        <v>IN Regional 32</v>
      </c>
      <c r="I38" s="10">
        <f>IFERROR(__xludf.DUMMYFUNCTION("""COMPUTED_VALUE"""),42887.0)</f>
        <v>42887</v>
      </c>
      <c r="J38" s="10">
        <f>IFERROR(__xludf.DUMMYFUNCTION("""COMPUTED_VALUE"""),43983.0)</f>
        <v>43983</v>
      </c>
      <c r="K38" s="1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9" t="str">
        <f>IFERROR(__xludf.DUMMYFUNCTION("""COMPUTED_VALUE"""),"Burrow")</f>
        <v>Burrow</v>
      </c>
      <c r="B39" s="8" t="str">
        <f>IFERROR(__xludf.DUMMYFUNCTION("""COMPUTED_VALUE"""),"Amanda")</f>
        <v>Amanda</v>
      </c>
      <c r="C39" s="8" t="str">
        <f>IFERROR(__xludf.DUMMYFUNCTION("""COMPUTED_VALUE"""),"Portland")</f>
        <v>Portland</v>
      </c>
      <c r="D39" s="8" t="str">
        <f>IFERROR(__xludf.DUMMYFUNCTION("""COMPUTED_VALUE"""),"TX")</f>
        <v>TX</v>
      </c>
      <c r="E39" s="8" t="str">
        <f>IFERROR(__xludf.DUMMYFUNCTION("""COMPUTED_VALUE"""),"USA")</f>
        <v>USA</v>
      </c>
      <c r="F39" s="8" t="str">
        <f>IFERROR(__xludf.DUMMYFUNCTION("""COMPUTED_VALUE"""),"Womens Singles")</f>
        <v>Womens Singles</v>
      </c>
      <c r="G39" s="8" t="str">
        <f>IFERROR(__xludf.DUMMYFUNCTION("""COMPUTED_VALUE"""),"3rd")</f>
        <v>3rd</v>
      </c>
      <c r="H39" s="8" t="str">
        <f>IFERROR(__xludf.DUMMYFUNCTION("""COMPUTED_VALUE"""),"TX Regional 32")</f>
        <v>TX Regional 32</v>
      </c>
      <c r="I39" s="10">
        <f>IFERROR(__xludf.DUMMYFUNCTION("""COMPUTED_VALUE"""),42887.0)</f>
        <v>42887</v>
      </c>
      <c r="J39" s="10">
        <f>IFERROR(__xludf.DUMMYFUNCTION("""COMPUTED_VALUE"""),43983.0)</f>
        <v>43983</v>
      </c>
      <c r="K39" s="1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9" t="str">
        <f>IFERROR(__xludf.DUMMYFUNCTION("""COMPUTED_VALUE"""),"Byrd")</f>
        <v>Byrd</v>
      </c>
      <c r="B40" s="8" t="str">
        <f>IFERROR(__xludf.DUMMYFUNCTION("""COMPUTED_VALUE"""),"Christina")</f>
        <v>Christina</v>
      </c>
      <c r="C40" s="8" t="str">
        <f>IFERROR(__xludf.DUMMYFUNCTION("""COMPUTED_VALUE"""),"Indianapolis")</f>
        <v>Indianapolis</v>
      </c>
      <c r="D40" s="8" t="str">
        <f>IFERROR(__xludf.DUMMYFUNCTION("""COMPUTED_VALUE"""),"IN")</f>
        <v>IN</v>
      </c>
      <c r="E40" s="8" t="str">
        <f>IFERROR(__xludf.DUMMYFUNCTION("""COMPUTED_VALUE"""),"USA")</f>
        <v>USA</v>
      </c>
      <c r="F40" s="8" t="str">
        <f>IFERROR(__xludf.DUMMYFUNCTION("""COMPUTED_VALUE"""),"Womens B Doubles")</f>
        <v>Womens B Doubles</v>
      </c>
      <c r="G40" s="8" t="str">
        <f>IFERROR(__xludf.DUMMYFUNCTION("""COMPUTED_VALUE"""),"4th")</f>
        <v>4th</v>
      </c>
      <c r="H40" s="8" t="str">
        <f>IFERROR(__xludf.DUMMYFUNCTION("""COMPUTED_VALUE"""),"BullShooter 32")</f>
        <v>BullShooter 32</v>
      </c>
      <c r="I40" s="10">
        <f>IFERROR(__xludf.DUMMYFUNCTION("""COMPUTED_VALUE"""),42887.0)</f>
        <v>42887</v>
      </c>
      <c r="J40" s="10">
        <f>IFERROR(__xludf.DUMMYFUNCTION("""COMPUTED_VALUE"""),43983.0)</f>
        <v>43983</v>
      </c>
      <c r="K40" s="1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9" t="str">
        <f>IFERROR(__xludf.DUMMYFUNCTION("""COMPUTED_VALUE"""),"Byrd")</f>
        <v>Byrd</v>
      </c>
      <c r="B41" s="8" t="str">
        <f>IFERROR(__xludf.DUMMYFUNCTION("""COMPUTED_VALUE"""),"Rachell")</f>
        <v>Rachell</v>
      </c>
      <c r="C41" s="8" t="str">
        <f>IFERROR(__xludf.DUMMYFUNCTION("""COMPUTED_VALUE"""),"Omaha")</f>
        <v>Omaha</v>
      </c>
      <c r="D41" s="8" t="str">
        <f>IFERROR(__xludf.DUMMYFUNCTION("""COMPUTED_VALUE"""),"NE")</f>
        <v>NE</v>
      </c>
      <c r="E41" s="8" t="str">
        <f>IFERROR(__xludf.DUMMYFUNCTION("""COMPUTED_VALUE"""),"USA")</f>
        <v>USA</v>
      </c>
      <c r="F41" s="8" t="str">
        <f>IFERROR(__xludf.DUMMYFUNCTION("""COMPUTED_VALUE"""),"Women Combo Singles")</f>
        <v>Women Combo Singles</v>
      </c>
      <c r="G41" s="8" t="str">
        <f>IFERROR(__xludf.DUMMYFUNCTION("""COMPUTED_VALUE"""),"2nd")</f>
        <v>2nd</v>
      </c>
      <c r="H41" s="8" t="str">
        <f>IFERROR(__xludf.DUMMYFUNCTION("""COMPUTED_VALUE"""),"Nebraska BS 34")</f>
        <v>Nebraska BS 34</v>
      </c>
      <c r="I41" s="10">
        <f>IFERROR(__xludf.DUMMYFUNCTION("""COMPUTED_VALUE"""),43617.0)</f>
        <v>43617</v>
      </c>
      <c r="J41" s="10">
        <f>IFERROR(__xludf.DUMMYFUNCTION("""COMPUTED_VALUE"""),44713.0)</f>
        <v>44713</v>
      </c>
      <c r="K41" s="1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9" t="str">
        <f>IFERROR(__xludf.DUMMYFUNCTION("""COMPUTED_VALUE"""),"Cade")</f>
        <v>Cade</v>
      </c>
      <c r="B42" s="8" t="str">
        <f>IFERROR(__xludf.DUMMYFUNCTION("""COMPUTED_VALUE"""),"Olga")</f>
        <v>Olga</v>
      </c>
      <c r="C42" s="8" t="str">
        <f>IFERROR(__xludf.DUMMYFUNCTION("""COMPUTED_VALUE"""),"")</f>
        <v/>
      </c>
      <c r="D42" s="8" t="str">
        <f>IFERROR(__xludf.DUMMYFUNCTION("""COMPUTED_VALUE"""),"CA")</f>
        <v>CA</v>
      </c>
      <c r="E42" s="8" t="str">
        <f>IFERROR(__xludf.DUMMYFUNCTION("""COMPUTED_VALUE"""),"USA")</f>
        <v>USA</v>
      </c>
      <c r="F42" s="8" t="str">
        <f>IFERROR(__xludf.DUMMYFUNCTION("""COMPUTED_VALUE"""),"Womens Doubles")</f>
        <v>Womens Doubles</v>
      </c>
      <c r="G42" s="8" t="str">
        <f>IFERROR(__xludf.DUMMYFUNCTION("""COMPUTED_VALUE"""),"2nd")</f>
        <v>2nd</v>
      </c>
      <c r="H42" s="8" t="str">
        <f>IFERROR(__xludf.DUMMYFUNCTION("""COMPUTED_VALUE"""),"CA Regional 33")</f>
        <v>CA Regional 33</v>
      </c>
      <c r="I42" s="10">
        <f>IFERROR(__xludf.DUMMYFUNCTION("""COMPUTED_VALUE"""),43252.0)</f>
        <v>43252</v>
      </c>
      <c r="J42" s="10">
        <f>IFERROR(__xludf.DUMMYFUNCTION("""COMPUTED_VALUE"""),44348.0)</f>
        <v>44348</v>
      </c>
      <c r="K42" s="1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9" t="str">
        <f>IFERROR(__xludf.DUMMYFUNCTION("""COMPUTED_VALUE"""),"Cain")</f>
        <v>Cain</v>
      </c>
      <c r="B43" s="8" t="str">
        <f>IFERROR(__xludf.DUMMYFUNCTION("""COMPUTED_VALUE"""),"Jacqueline")</f>
        <v>Jacqueline</v>
      </c>
      <c r="C43" s="8" t="str">
        <f>IFERROR(__xludf.DUMMYFUNCTION("""COMPUTED_VALUE"""),"Jacksonville")</f>
        <v>Jacksonville</v>
      </c>
      <c r="D43" s="8" t="str">
        <f>IFERROR(__xludf.DUMMYFUNCTION("""COMPUTED_VALUE"""),"FL")</f>
        <v>FL</v>
      </c>
      <c r="E43" s="8" t="str">
        <f>IFERROR(__xludf.DUMMYFUNCTION("""COMPUTED_VALUE"""),"USA")</f>
        <v>USA</v>
      </c>
      <c r="F43" s="8" t="str">
        <f>IFERROR(__xludf.DUMMYFUNCTION("""COMPUTED_VALUE"""),"Womens A Cricket Dbls")</f>
        <v>Womens A Cricket Dbls</v>
      </c>
      <c r="G43" s="8" t="str">
        <f>IFERROR(__xludf.DUMMYFUNCTION("""COMPUTED_VALUE"""),"4th")</f>
        <v>4th</v>
      </c>
      <c r="H43" s="8" t="str">
        <f>IFERROR(__xludf.DUMMYFUNCTION("""COMPUTED_VALUE"""),"BullShooter 31")</f>
        <v>BullShooter 31</v>
      </c>
      <c r="I43" s="10">
        <f>IFERROR(__xludf.DUMMYFUNCTION("""COMPUTED_VALUE"""),42522.0)</f>
        <v>42522</v>
      </c>
      <c r="J43" s="10">
        <f>IFERROR(__xludf.DUMMYFUNCTION("""COMPUTED_VALUE"""),44713.0)</f>
        <v>44713</v>
      </c>
      <c r="K43" s="1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12" t="str">
        <f>IFERROR(__xludf.DUMMYFUNCTION("""COMPUTED_VALUE"""),"Campbell")</f>
        <v>Campbell</v>
      </c>
      <c r="B44" s="13" t="str">
        <f>IFERROR(__xludf.DUMMYFUNCTION("""COMPUTED_VALUE"""),"Jammie")</f>
        <v>Jammie</v>
      </c>
      <c r="C44" s="13" t="str">
        <f>IFERROR(__xludf.DUMMYFUNCTION("""COMPUTED_VALUE"""),"Chattanooga")</f>
        <v>Chattanooga</v>
      </c>
      <c r="D44" s="13" t="str">
        <f>IFERROR(__xludf.DUMMYFUNCTION("""COMPUTED_VALUE"""),"TN")</f>
        <v>TN</v>
      </c>
      <c r="E44" s="13" t="str">
        <f>IFERROR(__xludf.DUMMYFUNCTION("""COMPUTED_VALUE"""),"USA")</f>
        <v>USA</v>
      </c>
      <c r="F44" s="13" t="str">
        <f>IFERROR(__xludf.DUMMYFUNCTION("""COMPUTED_VALUE"""),"Womens Singles")</f>
        <v>Womens Singles</v>
      </c>
      <c r="G44" s="13" t="str">
        <f>IFERROR(__xludf.DUMMYFUNCTION("""COMPUTED_VALUE"""),"2nd")</f>
        <v>2nd</v>
      </c>
      <c r="H44" s="13" t="str">
        <f>IFERROR(__xludf.DUMMYFUNCTION("""COMPUTED_VALUE"""),"TN Regional 33")</f>
        <v>TN Regional 33</v>
      </c>
      <c r="I44" s="14">
        <f>IFERROR(__xludf.DUMMYFUNCTION("""COMPUTED_VALUE"""),43252.0)</f>
        <v>43252</v>
      </c>
      <c r="J44" s="14">
        <f>IFERROR(__xludf.DUMMYFUNCTION("""COMPUTED_VALUE"""),44348.0)</f>
        <v>44348</v>
      </c>
      <c r="K44" s="1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9" t="str">
        <f>IFERROR(__xludf.DUMMYFUNCTION("""COMPUTED_VALUE"""),"Carl")</f>
        <v>Carl</v>
      </c>
      <c r="B45" s="8" t="str">
        <f>IFERROR(__xludf.DUMMYFUNCTION("""COMPUTED_VALUE"""),"Angela")</f>
        <v>Angela</v>
      </c>
      <c r="C45" s="8" t="str">
        <f>IFERROR(__xludf.DUMMYFUNCTION("""COMPUTED_VALUE"""),"Hegans")</f>
        <v>Hegans</v>
      </c>
      <c r="D45" s="8" t="str">
        <f>IFERROR(__xludf.DUMMYFUNCTION("""COMPUTED_VALUE"""),"PA")</f>
        <v>PA</v>
      </c>
      <c r="E45" s="8" t="str">
        <f>IFERROR(__xludf.DUMMYFUNCTION("""COMPUTED_VALUE"""),"USA")</f>
        <v>USA</v>
      </c>
      <c r="F45" s="8" t="str">
        <f>IFERROR(__xludf.DUMMYFUNCTION("""COMPUTED_VALUE"""),"Women Combo Doubles")</f>
        <v>Women Combo Doubles</v>
      </c>
      <c r="G45" s="8" t="str">
        <f>IFERROR(__xludf.DUMMYFUNCTION("""COMPUTED_VALUE"""),"1st")</f>
        <v>1st</v>
      </c>
      <c r="H45" s="8" t="str">
        <f>IFERROR(__xludf.DUMMYFUNCTION("""COMPUTED_VALUE"""),"Pennsylvania BS 34")</f>
        <v>Pennsylvania BS 34</v>
      </c>
      <c r="I45" s="10">
        <f>IFERROR(__xludf.DUMMYFUNCTION("""COMPUTED_VALUE"""),43617.0)</f>
        <v>43617</v>
      </c>
      <c r="J45" s="10">
        <f>IFERROR(__xludf.DUMMYFUNCTION("""COMPUTED_VALUE"""),44713.0)</f>
        <v>44713</v>
      </c>
      <c r="K45" s="1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9" t="str">
        <f>IFERROR(__xludf.DUMMYFUNCTION("""COMPUTED_VALUE"""),"Carpenter")</f>
        <v>Carpenter</v>
      </c>
      <c r="B46" s="8" t="str">
        <f>IFERROR(__xludf.DUMMYFUNCTION("""COMPUTED_VALUE"""),"Darcy")</f>
        <v>Darcy</v>
      </c>
      <c r="C46" s="8" t="str">
        <f>IFERROR(__xludf.DUMMYFUNCTION("""COMPUTED_VALUE"""),"Streator")</f>
        <v>Streator</v>
      </c>
      <c r="D46" s="8" t="str">
        <f>IFERROR(__xludf.DUMMYFUNCTION("""COMPUTED_VALUE"""),"IL")</f>
        <v>IL</v>
      </c>
      <c r="E46" s="8" t="str">
        <f>IFERROR(__xludf.DUMMYFUNCTION("""COMPUTED_VALUE"""),"USA")</f>
        <v>USA</v>
      </c>
      <c r="F46" s="8" t="str">
        <f>IFERROR(__xludf.DUMMYFUNCTION("""COMPUTED_VALUE"""),"Womens Doubles Combo")</f>
        <v>Womens Doubles Combo</v>
      </c>
      <c r="G46" s="8" t="str">
        <f>IFERROR(__xludf.DUMMYFUNCTION("""COMPUTED_VALUE"""),"3rd")</f>
        <v>3rd</v>
      </c>
      <c r="H46" s="8" t="str">
        <f>IFERROR(__xludf.DUMMYFUNCTION("""COMPUTED_VALUE"""),"WI Regional 33")</f>
        <v>WI Regional 33</v>
      </c>
      <c r="I46" s="10">
        <f>IFERROR(__xludf.DUMMYFUNCTION("""COMPUTED_VALUE"""),42522.0)</f>
        <v>42522</v>
      </c>
      <c r="J46" s="10">
        <f>IFERROR(__xludf.DUMMYFUNCTION("""COMPUTED_VALUE"""),44348.0)</f>
        <v>44348</v>
      </c>
      <c r="K46" s="11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9" t="str">
        <f>IFERROR(__xludf.DUMMYFUNCTION("""COMPUTED_VALUE"""),"Carpenter")</f>
        <v>Carpenter</v>
      </c>
      <c r="B47" s="8" t="str">
        <f>IFERROR(__xludf.DUMMYFUNCTION("""COMPUTED_VALUE"""),"Jennifer")</f>
        <v>Jennifer</v>
      </c>
      <c r="C47" s="8" t="str">
        <f>IFERROR(__xludf.DUMMYFUNCTION("""COMPUTED_VALUE"""),"Rockford")</f>
        <v>Rockford</v>
      </c>
      <c r="D47" s="8" t="str">
        <f>IFERROR(__xludf.DUMMYFUNCTION("""COMPUTED_VALUE"""),"IL")</f>
        <v>IL</v>
      </c>
      <c r="E47" s="8" t="str">
        <f>IFERROR(__xludf.DUMMYFUNCTION("""COMPUTED_VALUE"""),"USA")</f>
        <v>USA</v>
      </c>
      <c r="F47" s="8" t="str">
        <f>IFERROR(__xludf.DUMMYFUNCTION("""COMPUTED_VALUE"""),"Women 301 Doubles")</f>
        <v>Women 301 Doubles</v>
      </c>
      <c r="G47" s="8" t="str">
        <f>IFERROR(__xludf.DUMMYFUNCTION("""COMPUTED_VALUE"""),"1st")</f>
        <v>1st</v>
      </c>
      <c r="H47" s="8" t="str">
        <f>IFERROR(__xludf.DUMMYFUNCTION("""COMPUTED_VALUE"""),"Wisconsin BS 34")</f>
        <v>Wisconsin BS 34</v>
      </c>
      <c r="I47" s="10">
        <f>IFERROR(__xludf.DUMMYFUNCTION("""COMPUTED_VALUE"""),43617.0)</f>
        <v>43617</v>
      </c>
      <c r="J47" s="10">
        <f>IFERROR(__xludf.DUMMYFUNCTION("""COMPUTED_VALUE"""),44713.0)</f>
        <v>44713</v>
      </c>
      <c r="K47" s="11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9" t="str">
        <f>IFERROR(__xludf.DUMMYFUNCTION("""COMPUTED_VALUE"""),"Carpenter")</f>
        <v>Carpenter</v>
      </c>
      <c r="B48" s="8" t="str">
        <f>IFERROR(__xludf.DUMMYFUNCTION("""COMPUTED_VALUE"""),"Patricia")</f>
        <v>Patricia</v>
      </c>
      <c r="C48" s="8" t="str">
        <f>IFERROR(__xludf.DUMMYFUNCTION("""COMPUTED_VALUE"""),"Clarksville")</f>
        <v>Clarksville</v>
      </c>
      <c r="D48" s="8" t="str">
        <f>IFERROR(__xludf.DUMMYFUNCTION("""COMPUTED_VALUE"""),"TN")</f>
        <v>TN</v>
      </c>
      <c r="E48" s="8" t="str">
        <f>IFERROR(__xludf.DUMMYFUNCTION("""COMPUTED_VALUE"""),"USA")</f>
        <v>USA</v>
      </c>
      <c r="F48" s="8" t="str">
        <f>IFERROR(__xludf.DUMMYFUNCTION("""COMPUTED_VALUE"""),"Women Combo Doubles")</f>
        <v>Women Combo Doubles</v>
      </c>
      <c r="G48" s="8" t="str">
        <f>IFERROR(__xludf.DUMMYFUNCTION("""COMPUTED_VALUE"""),"3rd")</f>
        <v>3rd</v>
      </c>
      <c r="H48" s="8" t="str">
        <f>IFERROR(__xludf.DUMMYFUNCTION("""COMPUTED_VALUE"""),"Tennessee BS 34")</f>
        <v>Tennessee BS 34</v>
      </c>
      <c r="I48" s="10">
        <f>IFERROR(__xludf.DUMMYFUNCTION("""COMPUTED_VALUE"""),43617.0)</f>
        <v>43617</v>
      </c>
      <c r="J48" s="10">
        <f>IFERROR(__xludf.DUMMYFUNCTION("""COMPUTED_VALUE"""),44713.0)</f>
        <v>44713</v>
      </c>
      <c r="K48" s="11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9" t="str">
        <f>IFERROR(__xludf.DUMMYFUNCTION("""COMPUTED_VALUE"""),"Carrillo")</f>
        <v>Carrillo</v>
      </c>
      <c r="B49" s="8" t="str">
        <f>IFERROR(__xludf.DUMMYFUNCTION("""COMPUTED_VALUE"""),"Esther")</f>
        <v>Esther</v>
      </c>
      <c r="C49" s="8" t="str">
        <f>IFERROR(__xludf.DUMMYFUNCTION("""COMPUTED_VALUE"""),"")</f>
        <v/>
      </c>
      <c r="D49" s="8" t="str">
        <f>IFERROR(__xludf.DUMMYFUNCTION("""COMPUTED_VALUE"""),"")</f>
        <v/>
      </c>
      <c r="E49" s="8" t="str">
        <f>IFERROR(__xludf.DUMMYFUNCTION("""COMPUTED_VALUE"""),"SPAIN")</f>
        <v>SPAIN</v>
      </c>
      <c r="F49" s="8" t="str">
        <f>IFERROR(__xludf.DUMMYFUNCTION("""COMPUTED_VALUE"""),"Women B 301 Doubles")</f>
        <v>Women B 301 Doubles</v>
      </c>
      <c r="G49" s="8" t="str">
        <f>IFERROR(__xludf.DUMMYFUNCTION("""COMPUTED_VALUE"""),"1st")</f>
        <v>1st</v>
      </c>
      <c r="H49" s="8" t="str">
        <f>IFERROR(__xludf.DUMMYFUNCTION("""COMPUTED_VALUE"""),"BullShooter 34 Finals")</f>
        <v>BullShooter 34 Finals</v>
      </c>
      <c r="I49" s="10">
        <f>IFERROR(__xludf.DUMMYFUNCTION("""COMPUTED_VALUE"""),43617.0)</f>
        <v>43617</v>
      </c>
      <c r="J49" s="10">
        <f>IFERROR(__xludf.DUMMYFUNCTION("""COMPUTED_VALUE"""),44713.0)</f>
        <v>44713</v>
      </c>
      <c r="K49" s="11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9" t="str">
        <f>IFERROR(__xludf.DUMMYFUNCTION("""COMPUTED_VALUE"""),"Carter")</f>
        <v>Carter</v>
      </c>
      <c r="B50" s="8" t="str">
        <f>IFERROR(__xludf.DUMMYFUNCTION("""COMPUTED_VALUE"""),"Vera")</f>
        <v>Vera</v>
      </c>
      <c r="C50" s="8" t="str">
        <f>IFERROR(__xludf.DUMMYFUNCTION("""COMPUTED_VALUE"""),"Auburn")</f>
        <v>Auburn</v>
      </c>
      <c r="D50" s="8" t="str">
        <f>IFERROR(__xludf.DUMMYFUNCTION("""COMPUTED_VALUE"""),"AL")</f>
        <v>AL</v>
      </c>
      <c r="E50" s="8" t="str">
        <f>IFERROR(__xludf.DUMMYFUNCTION("""COMPUTED_VALUE"""),"USA")</f>
        <v>USA</v>
      </c>
      <c r="F50" s="8" t="str">
        <f>IFERROR(__xludf.DUMMYFUNCTION("""COMPUTED_VALUE"""),"Womens Doubles")</f>
        <v>Womens Doubles</v>
      </c>
      <c r="G50" s="8" t="str">
        <f>IFERROR(__xludf.DUMMYFUNCTION("""COMPUTED_VALUE"""),"2nd")</f>
        <v>2nd</v>
      </c>
      <c r="H50" s="8" t="str">
        <f>IFERROR(__xludf.DUMMYFUNCTION("""COMPUTED_VALUE"""),"GA Regional 32")</f>
        <v>GA Regional 32</v>
      </c>
      <c r="I50" s="10">
        <f>IFERROR(__xludf.DUMMYFUNCTION("""COMPUTED_VALUE"""),42887.0)</f>
        <v>42887</v>
      </c>
      <c r="J50" s="10">
        <f>IFERROR(__xludf.DUMMYFUNCTION("""COMPUTED_VALUE"""),43983.0)</f>
        <v>43983</v>
      </c>
      <c r="K50" s="11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9" t="str">
        <f>IFERROR(__xludf.DUMMYFUNCTION("""COMPUTED_VALUE"""),"Cervantes")</f>
        <v>Cervantes</v>
      </c>
      <c r="B51" s="8" t="str">
        <f>IFERROR(__xludf.DUMMYFUNCTION("""COMPUTED_VALUE"""),"Megan")</f>
        <v>Megan</v>
      </c>
      <c r="C51" s="8" t="str">
        <f>IFERROR(__xludf.DUMMYFUNCTION("""COMPUTED_VALUE"""),"Navasota")</f>
        <v>Navasota</v>
      </c>
      <c r="D51" s="8" t="str">
        <f>IFERROR(__xludf.DUMMYFUNCTION("""COMPUTED_VALUE"""),"TX")</f>
        <v>TX</v>
      </c>
      <c r="E51" s="8" t="str">
        <f>IFERROR(__xludf.DUMMYFUNCTION("""COMPUTED_VALUE"""),"USA")</f>
        <v>USA</v>
      </c>
      <c r="F51" s="8" t="str">
        <f>IFERROR(__xludf.DUMMYFUNCTION("""COMPUTED_VALUE"""),"Women Combo Singles")</f>
        <v>Women Combo Singles</v>
      </c>
      <c r="G51" s="8" t="str">
        <f>IFERROR(__xludf.DUMMYFUNCTION("""COMPUTED_VALUE"""),"1st")</f>
        <v>1st</v>
      </c>
      <c r="H51" s="8" t="str">
        <f>IFERROR(__xludf.DUMMYFUNCTION("""COMPUTED_VALUE"""),"Texas BS 34")</f>
        <v>Texas BS 34</v>
      </c>
      <c r="I51" s="10">
        <f>IFERROR(__xludf.DUMMYFUNCTION("""COMPUTED_VALUE"""),43617.0)</f>
        <v>43617</v>
      </c>
      <c r="J51" s="10">
        <f>IFERROR(__xludf.DUMMYFUNCTION("""COMPUTED_VALUE"""),44713.0)</f>
        <v>44713</v>
      </c>
      <c r="K51" s="11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9" t="str">
        <f>IFERROR(__xludf.DUMMYFUNCTION("""COMPUTED_VALUE"""),"Champagne")</f>
        <v>Champagne</v>
      </c>
      <c r="B52" s="8" t="str">
        <f>IFERROR(__xludf.DUMMYFUNCTION("""COMPUTED_VALUE"""),"Carrie")</f>
        <v>Carrie</v>
      </c>
      <c r="C52" s="8" t="str">
        <f>IFERROR(__xludf.DUMMYFUNCTION("""COMPUTED_VALUE"""),"Crivitz")</f>
        <v>Crivitz</v>
      </c>
      <c r="D52" s="8" t="str">
        <f>IFERROR(__xludf.DUMMYFUNCTION("""COMPUTED_VALUE"""),"WI")</f>
        <v>WI</v>
      </c>
      <c r="E52" s="8" t="str">
        <f>IFERROR(__xludf.DUMMYFUNCTION("""COMPUTED_VALUE"""),"USA")</f>
        <v>USA</v>
      </c>
      <c r="F52" s="8" t="str">
        <f>IFERROR(__xludf.DUMMYFUNCTION("""COMPUTED_VALUE"""),"Mixed 701 Triples")</f>
        <v>Mixed 701 Triples</v>
      </c>
      <c r="G52" s="8" t="str">
        <f>IFERROR(__xludf.DUMMYFUNCTION("""COMPUTED_VALUE"""),"1st")</f>
        <v>1st</v>
      </c>
      <c r="H52" s="8" t="str">
        <f>IFERROR(__xludf.DUMMYFUNCTION("""COMPUTED_VALUE"""),"BullShooter 34 Finals")</f>
        <v>BullShooter 34 Finals</v>
      </c>
      <c r="I52" s="10">
        <f>IFERROR(__xludf.DUMMYFUNCTION("""COMPUTED_VALUE"""),43617.0)</f>
        <v>43617</v>
      </c>
      <c r="J52" s="10">
        <f>IFERROR(__xludf.DUMMYFUNCTION("""COMPUTED_VALUE"""),44713.0)</f>
        <v>44713</v>
      </c>
      <c r="K52" s="11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9" t="str">
        <f>IFERROR(__xludf.DUMMYFUNCTION("""COMPUTED_VALUE"""),"Chaparro")</f>
        <v>Chaparro</v>
      </c>
      <c r="B53" s="8" t="str">
        <f>IFERROR(__xludf.DUMMYFUNCTION("""COMPUTED_VALUE"""),"Isi")</f>
        <v>Isi</v>
      </c>
      <c r="C53" s="8" t="str">
        <f>IFERROR(__xludf.DUMMYFUNCTION("""COMPUTED_VALUE"""),"")</f>
        <v/>
      </c>
      <c r="D53" s="8" t="str">
        <f>IFERROR(__xludf.DUMMYFUNCTION("""COMPUTED_VALUE"""),"")</f>
        <v/>
      </c>
      <c r="E53" s="8" t="str">
        <f>IFERROR(__xludf.DUMMYFUNCTION("""COMPUTED_VALUE"""),"Spain")</f>
        <v>Spain</v>
      </c>
      <c r="F53" s="8" t="str">
        <f>IFERROR(__xludf.DUMMYFUNCTION("""COMPUTED_VALUE"""),"Womens A 501 Doubles")</f>
        <v>Womens A 501 Doubles</v>
      </c>
      <c r="G53" s="8" t="str">
        <f>IFERROR(__xludf.DUMMYFUNCTION("""COMPUTED_VALUE"""),"1st")</f>
        <v>1st</v>
      </c>
      <c r="H53" s="8" t="str">
        <f>IFERROR(__xludf.DUMMYFUNCTION("""COMPUTED_VALUE"""),"Off AA List")</f>
        <v>Off AA List</v>
      </c>
      <c r="I53" s="10">
        <f>IFERROR(__xludf.DUMMYFUNCTION("""COMPUTED_VALUE"""),42887.0)</f>
        <v>42887</v>
      </c>
      <c r="J53" s="10">
        <f>IFERROR(__xludf.DUMMYFUNCTION("""COMPUTED_VALUE"""),43983.0)</f>
        <v>43983</v>
      </c>
      <c r="K53" s="11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9" t="str">
        <f>IFERROR(__xludf.DUMMYFUNCTION("""COMPUTED_VALUE"""),"Charboneau")</f>
        <v>Charboneau</v>
      </c>
      <c r="B54" s="8" t="str">
        <f>IFERROR(__xludf.DUMMYFUNCTION("""COMPUTED_VALUE"""),"Tammy")</f>
        <v>Tammy</v>
      </c>
      <c r="C54" s="8" t="str">
        <f>IFERROR(__xludf.DUMMYFUNCTION("""COMPUTED_VALUE"""),"Dearborn Hts")</f>
        <v>Dearborn Hts</v>
      </c>
      <c r="D54" s="8" t="str">
        <f>IFERROR(__xludf.DUMMYFUNCTION("""COMPUTED_VALUE"""),"MI")</f>
        <v>MI</v>
      </c>
      <c r="E54" s="8" t="str">
        <f>IFERROR(__xludf.DUMMYFUNCTION("""COMPUTED_VALUE"""),"USA")</f>
        <v>USA</v>
      </c>
      <c r="F54" s="8" t="str">
        <f>IFERROR(__xludf.DUMMYFUNCTION("""COMPUTED_VALUE"""),"Womens Doubles")</f>
        <v>Womens Doubles</v>
      </c>
      <c r="G54" s="8" t="str">
        <f>IFERROR(__xludf.DUMMYFUNCTION("""COMPUTED_VALUE"""),"1st")</f>
        <v>1st</v>
      </c>
      <c r="H54" s="8" t="str">
        <f>IFERROR(__xludf.DUMMYFUNCTION("""COMPUTED_VALUE"""),"OH Regional 32")</f>
        <v>OH Regional 32</v>
      </c>
      <c r="I54" s="10">
        <f>IFERROR(__xludf.DUMMYFUNCTION("""COMPUTED_VALUE"""),42887.0)</f>
        <v>42887</v>
      </c>
      <c r="J54" s="10">
        <f>IFERROR(__xludf.DUMMYFUNCTION("""COMPUTED_VALUE"""),43983.0)</f>
        <v>43983</v>
      </c>
      <c r="K54" s="11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9" t="str">
        <f>IFERROR(__xludf.DUMMYFUNCTION("""COMPUTED_VALUE"""),"Cherry")</f>
        <v>Cherry</v>
      </c>
      <c r="B55" s="8" t="str">
        <f>IFERROR(__xludf.DUMMYFUNCTION("""COMPUTED_VALUE"""),"Jillian")</f>
        <v>Jillian</v>
      </c>
      <c r="C55" s="8" t="str">
        <f>IFERROR(__xludf.DUMMYFUNCTION("""COMPUTED_VALUE"""),"Ashland")</f>
        <v>Ashland</v>
      </c>
      <c r="D55" s="8" t="str">
        <f>IFERROR(__xludf.DUMMYFUNCTION("""COMPUTED_VALUE"""),"OH")</f>
        <v>OH</v>
      </c>
      <c r="E55" s="8" t="str">
        <f>IFERROR(__xludf.DUMMYFUNCTION("""COMPUTED_VALUE"""),"USA")</f>
        <v>USA</v>
      </c>
      <c r="F55" s="8" t="str">
        <f>IFERROR(__xludf.DUMMYFUNCTION("""COMPUTED_VALUE"""),"Womens Doubles")</f>
        <v>Womens Doubles</v>
      </c>
      <c r="G55" s="8" t="str">
        <f>IFERROR(__xludf.DUMMYFUNCTION("""COMPUTED_VALUE"""),"3rd")</f>
        <v>3rd</v>
      </c>
      <c r="H55" s="8" t="str">
        <f>IFERROR(__xludf.DUMMYFUNCTION("""COMPUTED_VALUE"""),"OH Regional 32")</f>
        <v>OH Regional 32</v>
      </c>
      <c r="I55" s="10">
        <f>IFERROR(__xludf.DUMMYFUNCTION("""COMPUTED_VALUE"""),42887.0)</f>
        <v>42887</v>
      </c>
      <c r="J55" s="10">
        <f>IFERROR(__xludf.DUMMYFUNCTION("""COMPUTED_VALUE"""),43983.0)</f>
        <v>43983</v>
      </c>
      <c r="K55" s="11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9" t="str">
        <f>IFERROR(__xludf.DUMMYFUNCTION("""COMPUTED_VALUE"""),"Churchill")</f>
        <v>Churchill</v>
      </c>
      <c r="B56" s="8" t="str">
        <f>IFERROR(__xludf.DUMMYFUNCTION("""COMPUTED_VALUE"""),"Rebecca")</f>
        <v>Rebecca</v>
      </c>
      <c r="C56" s="8" t="str">
        <f>IFERROR(__xludf.DUMMYFUNCTION("""COMPUTED_VALUE"""),"Erie")</f>
        <v>Erie</v>
      </c>
      <c r="D56" s="8" t="str">
        <f>IFERROR(__xludf.DUMMYFUNCTION("""COMPUTED_VALUE"""),"PA")</f>
        <v>PA</v>
      </c>
      <c r="E56" s="8" t="str">
        <f>IFERROR(__xludf.DUMMYFUNCTION("""COMPUTED_VALUE"""),"USA")</f>
        <v>USA</v>
      </c>
      <c r="F56" s="8" t="str">
        <f>IFERROR(__xludf.DUMMYFUNCTION("""COMPUTED_VALUE"""),"Womens Doubles")</f>
        <v>Womens Doubles</v>
      </c>
      <c r="G56" s="8" t="str">
        <f>IFERROR(__xludf.DUMMYFUNCTION("""COMPUTED_VALUE"""),"3rd")</f>
        <v>3rd</v>
      </c>
      <c r="H56" s="8" t="str">
        <f>IFERROR(__xludf.DUMMYFUNCTION("""COMPUTED_VALUE"""),"NY Regional 33")</f>
        <v>NY Regional 33</v>
      </c>
      <c r="I56" s="10">
        <f>IFERROR(__xludf.DUMMYFUNCTION("""COMPUTED_VALUE"""),43252.0)</f>
        <v>43252</v>
      </c>
      <c r="J56" s="10">
        <f>IFERROR(__xludf.DUMMYFUNCTION("""COMPUTED_VALUE"""),44348.0)</f>
        <v>44348</v>
      </c>
      <c r="K56" s="11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9" t="str">
        <f>IFERROR(__xludf.DUMMYFUNCTION("""COMPUTED_VALUE"""),"Clark")</f>
        <v>Clark</v>
      </c>
      <c r="B57" s="8" t="str">
        <f>IFERROR(__xludf.DUMMYFUNCTION("""COMPUTED_VALUE"""),"Jamie")</f>
        <v>Jamie</v>
      </c>
      <c r="C57" s="8" t="str">
        <f>IFERROR(__xludf.DUMMYFUNCTION("""COMPUTED_VALUE"""),"Covington")</f>
        <v>Covington</v>
      </c>
      <c r="D57" s="8" t="str">
        <f>IFERROR(__xludf.DUMMYFUNCTION("""COMPUTED_VALUE"""),"LA")</f>
        <v>LA</v>
      </c>
      <c r="E57" s="8" t="str">
        <f>IFERROR(__xludf.DUMMYFUNCTION("""COMPUTED_VALUE"""),"USA")</f>
        <v>USA</v>
      </c>
      <c r="F57" s="8" t="str">
        <f>IFERROR(__xludf.DUMMYFUNCTION("""COMPUTED_VALUE"""),"Womens Doubles")</f>
        <v>Womens Doubles</v>
      </c>
      <c r="G57" s="8" t="str">
        <f>IFERROR(__xludf.DUMMYFUNCTION("""COMPUTED_VALUE"""),"2nd")</f>
        <v>2nd</v>
      </c>
      <c r="H57" s="8" t="str">
        <f>IFERROR(__xludf.DUMMYFUNCTION("""COMPUTED_VALUE"""),"TX Regional 33")</f>
        <v>TX Regional 33</v>
      </c>
      <c r="I57" s="10">
        <f>IFERROR(__xludf.DUMMYFUNCTION("""COMPUTED_VALUE"""),43252.0)</f>
        <v>43252</v>
      </c>
      <c r="J57" s="10">
        <f>IFERROR(__xludf.DUMMYFUNCTION("""COMPUTED_VALUE"""),44348.0)</f>
        <v>44348</v>
      </c>
      <c r="K57" s="11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9" t="str">
        <f>IFERROR(__xludf.DUMMYFUNCTION("""COMPUTED_VALUE"""),"Clayton")</f>
        <v>Clayton</v>
      </c>
      <c r="B58" s="8" t="str">
        <f>IFERROR(__xludf.DUMMYFUNCTION("""COMPUTED_VALUE"""),"Penny")</f>
        <v>Penny</v>
      </c>
      <c r="C58" s="8" t="str">
        <f>IFERROR(__xludf.DUMMYFUNCTION("""COMPUTED_VALUE"""),"Colona")</f>
        <v>Colona</v>
      </c>
      <c r="D58" s="8" t="str">
        <f>IFERROR(__xludf.DUMMYFUNCTION("""COMPUTED_VALUE"""),"IL")</f>
        <v>IL</v>
      </c>
      <c r="E58" s="8" t="str">
        <f>IFERROR(__xludf.DUMMYFUNCTION("""COMPUTED_VALUE"""),"USA")</f>
        <v>USA</v>
      </c>
      <c r="F58" s="8" t="str">
        <f>IFERROR(__xludf.DUMMYFUNCTION("""COMPUTED_VALUE"""),"Top Gun Womens Singles")</f>
        <v>Top Gun Womens Singles</v>
      </c>
      <c r="G58" s="8" t="str">
        <f>IFERROR(__xludf.DUMMYFUNCTION("""COMPUTED_VALUE"""),"3rd/4th")</f>
        <v>3rd/4th</v>
      </c>
      <c r="H58" s="8" t="str">
        <f>IFERROR(__xludf.DUMMYFUNCTION("""COMPUTED_VALUE"""),"BullShooter 32")</f>
        <v>BullShooter 32</v>
      </c>
      <c r="I58" s="10">
        <f>IFERROR(__xludf.DUMMYFUNCTION("""COMPUTED_VALUE"""),42887.0)</f>
        <v>42887</v>
      </c>
      <c r="J58" s="10">
        <f>IFERROR(__xludf.DUMMYFUNCTION("""COMPUTED_VALUE"""),43983.0)</f>
        <v>43983</v>
      </c>
      <c r="K58" s="11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9" t="str">
        <f>IFERROR(__xludf.DUMMYFUNCTION("""COMPUTED_VALUE"""),"Cleveland")</f>
        <v>Cleveland</v>
      </c>
      <c r="B59" s="8" t="str">
        <f>IFERROR(__xludf.DUMMYFUNCTION("""COMPUTED_VALUE"""),"Jennifer")</f>
        <v>Jennifer</v>
      </c>
      <c r="C59" s="8" t="str">
        <f>IFERROR(__xludf.DUMMYFUNCTION("""COMPUTED_VALUE"""),"Acworth")</f>
        <v>Acworth</v>
      </c>
      <c r="D59" s="8" t="str">
        <f>IFERROR(__xludf.DUMMYFUNCTION("""COMPUTED_VALUE"""),"GA")</f>
        <v>GA</v>
      </c>
      <c r="E59" s="8" t="str">
        <f>IFERROR(__xludf.DUMMYFUNCTION("""COMPUTED_VALUE"""),"USA")</f>
        <v>USA</v>
      </c>
      <c r="F59" s="8" t="str">
        <f>IFERROR(__xludf.DUMMYFUNCTION("""COMPUTED_VALUE"""),"Women Combo Singles")</f>
        <v>Women Combo Singles</v>
      </c>
      <c r="G59" s="8" t="str">
        <f>IFERROR(__xludf.DUMMYFUNCTION("""COMPUTED_VALUE"""),"1st")</f>
        <v>1st</v>
      </c>
      <c r="H59" s="8" t="str">
        <f>IFERROR(__xludf.DUMMYFUNCTION("""COMPUTED_VALUE"""),"Tennessee BS 34")</f>
        <v>Tennessee BS 34</v>
      </c>
      <c r="I59" s="10">
        <f>IFERROR(__xludf.DUMMYFUNCTION("""COMPUTED_VALUE"""),43617.0)</f>
        <v>43617</v>
      </c>
      <c r="J59" s="10">
        <f>IFERROR(__xludf.DUMMYFUNCTION("""COMPUTED_VALUE"""),44713.0)</f>
        <v>44713</v>
      </c>
      <c r="K59" s="11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9" t="str">
        <f>IFERROR(__xludf.DUMMYFUNCTION("""COMPUTED_VALUE"""),"Clouse")</f>
        <v>Clouse</v>
      </c>
      <c r="B60" s="8" t="str">
        <f>IFERROR(__xludf.DUMMYFUNCTION("""COMPUTED_VALUE"""),"Lisa")</f>
        <v>Lisa</v>
      </c>
      <c r="C60" s="8" t="str">
        <f>IFERROR(__xludf.DUMMYFUNCTION("""COMPUTED_VALUE"""),"Cumberland")</f>
        <v>Cumberland</v>
      </c>
      <c r="D60" s="8" t="str">
        <f>IFERROR(__xludf.DUMMYFUNCTION("""COMPUTED_VALUE"""),"IN")</f>
        <v>IN</v>
      </c>
      <c r="E60" s="8" t="str">
        <f>IFERROR(__xludf.DUMMYFUNCTION("""COMPUTED_VALUE"""),"USA")</f>
        <v>USA</v>
      </c>
      <c r="F60" s="8" t="str">
        <f>IFERROR(__xludf.DUMMYFUNCTION("""COMPUTED_VALUE"""),"Womens Dbles Combo")</f>
        <v>Womens Dbles Combo</v>
      </c>
      <c r="G60" s="8" t="str">
        <f>IFERROR(__xludf.DUMMYFUNCTION("""COMPUTED_VALUE"""),"1st")</f>
        <v>1st</v>
      </c>
      <c r="H60" s="8" t="str">
        <f>IFERROR(__xludf.DUMMYFUNCTION("""COMPUTED_VALUE"""),"IN Regional 32")</f>
        <v>IN Regional 32</v>
      </c>
      <c r="I60" s="10">
        <f>IFERROR(__xludf.DUMMYFUNCTION("""COMPUTED_VALUE"""),42887.0)</f>
        <v>42887</v>
      </c>
      <c r="J60" s="10">
        <f>IFERROR(__xludf.DUMMYFUNCTION("""COMPUTED_VALUE"""),43983.0)</f>
        <v>43983</v>
      </c>
      <c r="K60" s="11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9" t="str">
        <f>IFERROR(__xludf.DUMMYFUNCTION("""COMPUTED_VALUE"""),"Collingsworth")</f>
        <v>Collingsworth</v>
      </c>
      <c r="B61" s="8" t="str">
        <f>IFERROR(__xludf.DUMMYFUNCTION("""COMPUTED_VALUE"""),"Tessa")</f>
        <v>Tessa</v>
      </c>
      <c r="C61" s="8" t="str">
        <f>IFERROR(__xludf.DUMMYFUNCTION("""COMPUTED_VALUE"""),"Coweta")</f>
        <v>Coweta</v>
      </c>
      <c r="D61" s="8" t="str">
        <f>IFERROR(__xludf.DUMMYFUNCTION("""COMPUTED_VALUE"""),"OK")</f>
        <v>OK</v>
      </c>
      <c r="E61" s="8" t="str">
        <f>IFERROR(__xludf.DUMMYFUNCTION("""COMPUTED_VALUE"""),"USA")</f>
        <v>USA</v>
      </c>
      <c r="F61" s="8" t="str">
        <f>IFERROR(__xludf.DUMMYFUNCTION("""COMPUTED_VALUE"""),"Womens B Combo Luck")</f>
        <v>Womens B Combo Luck</v>
      </c>
      <c r="G61" s="8" t="str">
        <f>IFERROR(__xludf.DUMMYFUNCTION("""COMPUTED_VALUE"""),"4th")</f>
        <v>4th</v>
      </c>
      <c r="H61" s="8" t="str">
        <f>IFERROR(__xludf.DUMMYFUNCTION("""COMPUTED_VALUE"""),"BullShooter 32")</f>
        <v>BullShooter 32</v>
      </c>
      <c r="I61" s="10">
        <f>IFERROR(__xludf.DUMMYFUNCTION("""COMPUTED_VALUE"""),42887.0)</f>
        <v>42887</v>
      </c>
      <c r="J61" s="10">
        <f>IFERROR(__xludf.DUMMYFUNCTION("""COMPUTED_VALUE"""),43983.0)</f>
        <v>43983</v>
      </c>
      <c r="K61" s="11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9" t="str">
        <f>IFERROR(__xludf.DUMMYFUNCTION("""COMPUTED_VALUE"""),"Collins")</f>
        <v>Collins</v>
      </c>
      <c r="B62" s="8" t="str">
        <f>IFERROR(__xludf.DUMMYFUNCTION("""COMPUTED_VALUE"""),"Lea")</f>
        <v>Lea</v>
      </c>
      <c r="C62" s="8" t="str">
        <f>IFERROR(__xludf.DUMMYFUNCTION("""COMPUTED_VALUE"""),"Dayton")</f>
        <v>Dayton</v>
      </c>
      <c r="D62" s="8" t="str">
        <f>IFERROR(__xludf.DUMMYFUNCTION("""COMPUTED_VALUE"""),"OH")</f>
        <v>OH</v>
      </c>
      <c r="E62" s="8" t="str">
        <f>IFERROR(__xludf.DUMMYFUNCTION("""COMPUTED_VALUE"""),"USA")</f>
        <v>USA</v>
      </c>
      <c r="F62" s="8" t="str">
        <f>IFERROR(__xludf.DUMMYFUNCTION("""COMPUTED_VALUE"""),"")</f>
        <v/>
      </c>
      <c r="G62" s="8" t="str">
        <f>IFERROR(__xludf.DUMMYFUNCTION("""COMPUTED_VALUE"""),"")</f>
        <v/>
      </c>
      <c r="H62" s="8" t="str">
        <f>IFERROR(__xludf.DUMMYFUNCTION("""COMPUTED_VALUE"""),"BS 30 Finals")</f>
        <v>BS 30 Finals</v>
      </c>
      <c r="I62" s="10">
        <f>IFERROR(__xludf.DUMMYFUNCTION("""COMPUTED_VALUE"""),43252.0)</f>
        <v>43252</v>
      </c>
      <c r="J62" s="10">
        <f>IFERROR(__xludf.DUMMYFUNCTION("""COMPUTED_VALUE"""),44348.0)</f>
        <v>44348</v>
      </c>
      <c r="K62" s="11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9" t="str">
        <f>IFERROR(__xludf.DUMMYFUNCTION("""COMPUTED_VALUE"""),"Collins")</f>
        <v>Collins</v>
      </c>
      <c r="B63" s="8" t="str">
        <f>IFERROR(__xludf.DUMMYFUNCTION("""COMPUTED_VALUE"""),"Beth")</f>
        <v>Beth</v>
      </c>
      <c r="C63" s="8" t="str">
        <f>IFERROR(__xludf.DUMMYFUNCTION("""COMPUTED_VALUE"""),"Fort Wayne")</f>
        <v>Fort Wayne</v>
      </c>
      <c r="D63" s="8" t="str">
        <f>IFERROR(__xludf.DUMMYFUNCTION("""COMPUTED_VALUE"""),"IN")</f>
        <v>IN</v>
      </c>
      <c r="E63" s="8" t="str">
        <f>IFERROR(__xludf.DUMMYFUNCTION("""COMPUTED_VALUE"""),"USA")</f>
        <v>USA</v>
      </c>
      <c r="F63" s="8" t="str">
        <f>IFERROR(__xludf.DUMMYFUNCTION("""COMPUTED_VALUE"""),"Women 301 Doubles")</f>
        <v>Women 301 Doubles</v>
      </c>
      <c r="G63" s="8" t="str">
        <f>IFERROR(__xludf.DUMMYFUNCTION("""COMPUTED_VALUE"""),"1st")</f>
        <v>1st</v>
      </c>
      <c r="H63" s="8" t="str">
        <f>IFERROR(__xludf.DUMMYFUNCTION("""COMPUTED_VALUE"""),"Indiana BS 34")</f>
        <v>Indiana BS 34</v>
      </c>
      <c r="I63" s="10">
        <f>IFERROR(__xludf.DUMMYFUNCTION("""COMPUTED_VALUE"""),43617.0)</f>
        <v>43617</v>
      </c>
      <c r="J63" s="10">
        <f>IFERROR(__xludf.DUMMYFUNCTION("""COMPUTED_VALUE"""),44713.0)</f>
        <v>44713</v>
      </c>
      <c r="K63" s="11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9" t="str">
        <f>IFERROR(__xludf.DUMMYFUNCTION("""COMPUTED_VALUE"""),"Conti")</f>
        <v>Conti</v>
      </c>
      <c r="B64" s="8" t="str">
        <f>IFERROR(__xludf.DUMMYFUNCTION("""COMPUTED_VALUE"""),"Sisanne")</f>
        <v>Sisanne</v>
      </c>
      <c r="C64" s="8" t="str">
        <f>IFERROR(__xludf.DUMMYFUNCTION("""COMPUTED_VALUE"""),"Erie")</f>
        <v>Erie</v>
      </c>
      <c r="D64" s="8" t="str">
        <f>IFERROR(__xludf.DUMMYFUNCTION("""COMPUTED_VALUE"""),"PA")</f>
        <v>PA</v>
      </c>
      <c r="E64" s="8" t="str">
        <f>IFERROR(__xludf.DUMMYFUNCTION("""COMPUTED_VALUE"""),"USA")</f>
        <v>USA</v>
      </c>
      <c r="F64" s="8" t="str">
        <f>IFERROR(__xludf.DUMMYFUNCTION("""COMPUTED_VALUE"""),"Women 301 Doubles")</f>
        <v>Women 301 Doubles</v>
      </c>
      <c r="G64" s="8" t="str">
        <f>IFERROR(__xludf.DUMMYFUNCTION("""COMPUTED_VALUE"""),"3rd")</f>
        <v>3rd</v>
      </c>
      <c r="H64" s="8" t="str">
        <f>IFERROR(__xludf.DUMMYFUNCTION("""COMPUTED_VALUE"""),"New York BS 34")</f>
        <v>New York BS 34</v>
      </c>
      <c r="I64" s="10">
        <f>IFERROR(__xludf.DUMMYFUNCTION("""COMPUTED_VALUE"""),43617.0)</f>
        <v>43617</v>
      </c>
      <c r="J64" s="10">
        <f>IFERROR(__xludf.DUMMYFUNCTION("""COMPUTED_VALUE"""),44713.0)</f>
        <v>44713</v>
      </c>
      <c r="K64" s="11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9" t="str">
        <f>IFERROR(__xludf.DUMMYFUNCTION("""COMPUTED_VALUE"""),"Coontz")</f>
        <v>Coontz</v>
      </c>
      <c r="B65" s="8" t="str">
        <f>IFERROR(__xludf.DUMMYFUNCTION("""COMPUTED_VALUE"""),"Wanda")</f>
        <v>Wanda</v>
      </c>
      <c r="C65" s="8" t="str">
        <f>IFERROR(__xludf.DUMMYFUNCTION("""COMPUTED_VALUE"""),"Mansfield")</f>
        <v>Mansfield</v>
      </c>
      <c r="D65" s="8" t="str">
        <f>IFERROR(__xludf.DUMMYFUNCTION("""COMPUTED_VALUE"""),"OH")</f>
        <v>OH</v>
      </c>
      <c r="E65" s="8" t="str">
        <f>IFERROR(__xludf.DUMMYFUNCTION("""COMPUTED_VALUE"""),"USA")</f>
        <v>USA</v>
      </c>
      <c r="F65" s="8" t="str">
        <f>IFERROR(__xludf.DUMMYFUNCTION("""COMPUTED_VALUE"""),"Womens Doubles")</f>
        <v>Womens Doubles</v>
      </c>
      <c r="G65" s="8" t="str">
        <f>IFERROR(__xludf.DUMMYFUNCTION("""COMPUTED_VALUE"""),"1st")</f>
        <v>1st</v>
      </c>
      <c r="H65" s="8" t="str">
        <f>IFERROR(__xludf.DUMMYFUNCTION("""COMPUTED_VALUE"""),"TN Regional 33")</f>
        <v>TN Regional 33</v>
      </c>
      <c r="I65" s="10">
        <f>IFERROR(__xludf.DUMMYFUNCTION("""COMPUTED_VALUE"""),43252.0)</f>
        <v>43252</v>
      </c>
      <c r="J65" s="10">
        <f>IFERROR(__xludf.DUMMYFUNCTION("""COMPUTED_VALUE"""),44348.0)</f>
        <v>44348</v>
      </c>
      <c r="K65" s="11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9" t="str">
        <f>IFERROR(__xludf.DUMMYFUNCTION("""COMPUTED_VALUE"""),"Criss")</f>
        <v>Criss</v>
      </c>
      <c r="B66" s="8" t="str">
        <f>IFERROR(__xludf.DUMMYFUNCTION("""COMPUTED_VALUE"""),"Kalika")</f>
        <v>Kalika</v>
      </c>
      <c r="C66" s="8" t="str">
        <f>IFERROR(__xludf.DUMMYFUNCTION("""COMPUTED_VALUE"""),"Plattsburgh")</f>
        <v>Plattsburgh</v>
      </c>
      <c r="D66" s="8" t="str">
        <f>IFERROR(__xludf.DUMMYFUNCTION("""COMPUTED_VALUE"""),"NY")</f>
        <v>NY</v>
      </c>
      <c r="E66" s="8" t="str">
        <f>IFERROR(__xludf.DUMMYFUNCTION("""COMPUTED_VALUE"""),"USA")</f>
        <v>USA</v>
      </c>
      <c r="F66" s="8" t="str">
        <f>IFERROR(__xludf.DUMMYFUNCTION("""COMPUTED_VALUE"""),"Women B 301 Doubles")</f>
        <v>Women B 301 Doubles</v>
      </c>
      <c r="G66" s="8" t="str">
        <f>IFERROR(__xludf.DUMMYFUNCTION("""COMPUTED_VALUE"""),"2nd")</f>
        <v>2nd</v>
      </c>
      <c r="H66" s="8" t="str">
        <f>IFERROR(__xludf.DUMMYFUNCTION("""COMPUTED_VALUE"""),"BullShooter 34 Finals")</f>
        <v>BullShooter 34 Finals</v>
      </c>
      <c r="I66" s="10">
        <f>IFERROR(__xludf.DUMMYFUNCTION("""COMPUTED_VALUE"""),43617.0)</f>
        <v>43617</v>
      </c>
      <c r="J66" s="10">
        <f>IFERROR(__xludf.DUMMYFUNCTION("""COMPUTED_VALUE"""),44713.0)</f>
        <v>44713</v>
      </c>
      <c r="K66" s="11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9" t="str">
        <f>IFERROR(__xludf.DUMMYFUNCTION("""COMPUTED_VALUE"""),"Criswell")</f>
        <v>Criswell</v>
      </c>
      <c r="B67" s="8" t="str">
        <f>IFERROR(__xludf.DUMMYFUNCTION("""COMPUTED_VALUE"""),"Kelli")</f>
        <v>Kelli</v>
      </c>
      <c r="C67" s="8" t="str">
        <f>IFERROR(__xludf.DUMMYFUNCTION("""COMPUTED_VALUE"""),"Wheeling")</f>
        <v>Wheeling</v>
      </c>
      <c r="D67" s="8" t="str">
        <f>IFERROR(__xludf.DUMMYFUNCTION("""COMPUTED_VALUE"""),"WV")</f>
        <v>WV</v>
      </c>
      <c r="E67" s="8" t="str">
        <f>IFERROR(__xludf.DUMMYFUNCTION("""COMPUTED_VALUE"""),"USA")</f>
        <v>USA</v>
      </c>
      <c r="F67" s="8" t="str">
        <f>IFERROR(__xludf.DUMMYFUNCTION("""COMPUTED_VALUE"""),"Women Combo Doubles")</f>
        <v>Women Combo Doubles</v>
      </c>
      <c r="G67" s="8" t="str">
        <f>IFERROR(__xludf.DUMMYFUNCTION("""COMPUTED_VALUE"""),"3rd")</f>
        <v>3rd</v>
      </c>
      <c r="H67" s="8" t="str">
        <f>IFERROR(__xludf.DUMMYFUNCTION("""COMPUTED_VALUE"""),"Ohio BS 34")</f>
        <v>Ohio BS 34</v>
      </c>
      <c r="I67" s="10">
        <f>IFERROR(__xludf.DUMMYFUNCTION("""COMPUTED_VALUE"""),43617.0)</f>
        <v>43617</v>
      </c>
      <c r="J67" s="10">
        <f>IFERROR(__xludf.DUMMYFUNCTION("""COMPUTED_VALUE"""),44713.0)</f>
        <v>44713</v>
      </c>
      <c r="K67" s="11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9" t="str">
        <f>IFERROR(__xludf.DUMMYFUNCTION("""COMPUTED_VALUE"""),"Cunningham")</f>
        <v>Cunningham</v>
      </c>
      <c r="B68" s="8" t="str">
        <f>IFERROR(__xludf.DUMMYFUNCTION("""COMPUTED_VALUE"""),"Teena Marie")</f>
        <v>Teena Marie</v>
      </c>
      <c r="C68" s="8" t="str">
        <f>IFERROR(__xludf.DUMMYFUNCTION("""COMPUTED_VALUE"""),"")</f>
        <v/>
      </c>
      <c r="D68" s="8" t="str">
        <f>IFERROR(__xludf.DUMMYFUNCTION("""COMPUTED_VALUE"""),"CA")</f>
        <v>CA</v>
      </c>
      <c r="E68" s="8" t="str">
        <f>IFERROR(__xludf.DUMMYFUNCTION("""COMPUTED_VALUE"""),"USA")</f>
        <v>USA</v>
      </c>
      <c r="F68" s="8" t="str">
        <f>IFERROR(__xludf.DUMMYFUNCTION("""COMPUTED_VALUE"""),"Womens Doubles")</f>
        <v>Womens Doubles</v>
      </c>
      <c r="G68" s="8" t="str">
        <f>IFERROR(__xludf.DUMMYFUNCTION("""COMPUTED_VALUE"""),"3rd")</f>
        <v>3rd</v>
      </c>
      <c r="H68" s="8" t="str">
        <f>IFERROR(__xludf.DUMMYFUNCTION("""COMPUTED_VALUE"""),"CA Regional 33")</f>
        <v>CA Regional 33</v>
      </c>
      <c r="I68" s="10">
        <f>IFERROR(__xludf.DUMMYFUNCTION("""COMPUTED_VALUE"""),43252.0)</f>
        <v>43252</v>
      </c>
      <c r="J68" s="10">
        <f>IFERROR(__xludf.DUMMYFUNCTION("""COMPUTED_VALUE"""),44348.0)</f>
        <v>44348</v>
      </c>
      <c r="K68" s="11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9" t="str">
        <f>IFERROR(__xludf.DUMMYFUNCTION("""COMPUTED_VALUE"""),"Cupp")</f>
        <v>Cupp</v>
      </c>
      <c r="B69" s="8" t="str">
        <f>IFERROR(__xludf.DUMMYFUNCTION("""COMPUTED_VALUE"""),"Dawn")</f>
        <v>Dawn</v>
      </c>
      <c r="C69" s="8" t="str">
        <f>IFERROR(__xludf.DUMMYFUNCTION("""COMPUTED_VALUE"""),"Canton")</f>
        <v>Canton</v>
      </c>
      <c r="D69" s="8" t="str">
        <f>IFERROR(__xludf.DUMMYFUNCTION("""COMPUTED_VALUE"""),"OH")</f>
        <v>OH</v>
      </c>
      <c r="E69" s="8" t="str">
        <f>IFERROR(__xludf.DUMMYFUNCTION("""COMPUTED_VALUE"""),"USA")</f>
        <v>USA</v>
      </c>
      <c r="F69" s="8" t="str">
        <f>IFERROR(__xludf.DUMMYFUNCTION("""COMPUTED_VALUE"""),"Womens Dbls Combo")</f>
        <v>Womens Dbls Combo</v>
      </c>
      <c r="G69" s="8" t="str">
        <f>IFERROR(__xludf.DUMMYFUNCTION("""COMPUTED_VALUE"""),"2nd")</f>
        <v>2nd</v>
      </c>
      <c r="H69" s="8" t="str">
        <f>IFERROR(__xludf.DUMMYFUNCTION("""COMPUTED_VALUE"""),"OH Regional 32")</f>
        <v>OH Regional 32</v>
      </c>
      <c r="I69" s="10">
        <f>IFERROR(__xludf.DUMMYFUNCTION("""COMPUTED_VALUE"""),42887.0)</f>
        <v>42887</v>
      </c>
      <c r="J69" s="10">
        <f>IFERROR(__xludf.DUMMYFUNCTION("""COMPUTED_VALUE"""),43983.0)</f>
        <v>43983</v>
      </c>
      <c r="K69" s="11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9" t="str">
        <f>IFERROR(__xludf.DUMMYFUNCTION("""COMPUTED_VALUE"""),"Daniels")</f>
        <v>Daniels</v>
      </c>
      <c r="B70" s="8" t="str">
        <f>IFERROR(__xludf.DUMMYFUNCTION("""COMPUTED_VALUE"""),"Andrea")</f>
        <v>Andrea</v>
      </c>
      <c r="C70" s="8" t="str">
        <f>IFERROR(__xludf.DUMMYFUNCTION("""COMPUTED_VALUE"""),"Cold Springs")</f>
        <v>Cold Springs</v>
      </c>
      <c r="D70" s="8" t="str">
        <f>IFERROR(__xludf.DUMMYFUNCTION("""COMPUTED_VALUE"""),"KY")</f>
        <v>KY</v>
      </c>
      <c r="E70" s="8" t="str">
        <f>IFERROR(__xludf.DUMMYFUNCTION("""COMPUTED_VALUE"""),"USA")</f>
        <v>USA</v>
      </c>
      <c r="F70" s="8" t="str">
        <f>IFERROR(__xludf.DUMMYFUNCTION("""COMPUTED_VALUE"""),"Women 301 Doubles")</f>
        <v>Women 301 Doubles</v>
      </c>
      <c r="G70" s="8" t="str">
        <f>IFERROR(__xludf.DUMMYFUNCTION("""COMPUTED_VALUE"""),"3rd")</f>
        <v>3rd</v>
      </c>
      <c r="H70" s="8" t="str">
        <f>IFERROR(__xludf.DUMMYFUNCTION("""COMPUTED_VALUE"""),"Indiana BS 34")</f>
        <v>Indiana BS 34</v>
      </c>
      <c r="I70" s="10">
        <f>IFERROR(__xludf.DUMMYFUNCTION("""COMPUTED_VALUE"""),43617.0)</f>
        <v>43617</v>
      </c>
      <c r="J70" s="10">
        <f>IFERROR(__xludf.DUMMYFUNCTION("""COMPUTED_VALUE"""),44713.0)</f>
        <v>44713</v>
      </c>
      <c r="K70" s="11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9" t="str">
        <f>IFERROR(__xludf.DUMMYFUNCTION("""COMPUTED_VALUE"""),"Dauer")</f>
        <v>Dauer</v>
      </c>
      <c r="B71" s="8" t="str">
        <f>IFERROR(__xludf.DUMMYFUNCTION("""COMPUTED_VALUE"""),"Jessica")</f>
        <v>Jessica</v>
      </c>
      <c r="C71" s="8" t="str">
        <f>IFERROR(__xludf.DUMMYFUNCTION("""COMPUTED_VALUE"""),"Clay")</f>
        <v>Clay</v>
      </c>
      <c r="D71" s="8" t="str">
        <f>IFERROR(__xludf.DUMMYFUNCTION("""COMPUTED_VALUE"""),"NY")</f>
        <v>NY</v>
      </c>
      <c r="E71" s="8" t="str">
        <f>IFERROR(__xludf.DUMMYFUNCTION("""COMPUTED_VALUE"""),"USA")</f>
        <v>USA</v>
      </c>
      <c r="F71" s="8" t="str">
        <f>IFERROR(__xludf.DUMMYFUNCTION("""COMPUTED_VALUE"""),"Women Combo Singles")</f>
        <v>Women Combo Singles</v>
      </c>
      <c r="G71" s="8" t="str">
        <f>IFERROR(__xludf.DUMMYFUNCTION("""COMPUTED_VALUE"""),"2nd")</f>
        <v>2nd</v>
      </c>
      <c r="H71" s="8" t="str">
        <f>IFERROR(__xludf.DUMMYFUNCTION("""COMPUTED_VALUE"""),"New York BS 34")</f>
        <v>New York BS 34</v>
      </c>
      <c r="I71" s="10">
        <f>IFERROR(__xludf.DUMMYFUNCTION("""COMPUTED_VALUE"""),43617.0)</f>
        <v>43617</v>
      </c>
      <c r="J71" s="10">
        <f>IFERROR(__xludf.DUMMYFUNCTION("""COMPUTED_VALUE"""),44713.0)</f>
        <v>44713</v>
      </c>
      <c r="K71" s="11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9" t="str">
        <f>IFERROR(__xludf.DUMMYFUNCTION("""COMPUTED_VALUE"""),"Dault")</f>
        <v>Dault</v>
      </c>
      <c r="B72" s="8" t="str">
        <f>IFERROR(__xludf.DUMMYFUNCTION("""COMPUTED_VALUE"""),"Jessica")</f>
        <v>Jessica</v>
      </c>
      <c r="C72" s="8" t="str">
        <f>IFERROR(__xludf.DUMMYFUNCTION("""COMPUTED_VALUE"""),"Indianapolis")</f>
        <v>Indianapolis</v>
      </c>
      <c r="D72" s="8" t="str">
        <f>IFERROR(__xludf.DUMMYFUNCTION("""COMPUTED_VALUE"""),"IN")</f>
        <v>IN</v>
      </c>
      <c r="E72" s="8" t="str">
        <f>IFERROR(__xludf.DUMMYFUNCTION("""COMPUTED_VALUE"""),"USA")</f>
        <v>USA</v>
      </c>
      <c r="F72" s="8" t="str">
        <f>IFERROR(__xludf.DUMMYFUNCTION("""COMPUTED_VALUE"""),"Women Combo Doubles")</f>
        <v>Women Combo Doubles</v>
      </c>
      <c r="G72" s="8" t="str">
        <f>IFERROR(__xludf.DUMMYFUNCTION("""COMPUTED_VALUE"""),"3rd")</f>
        <v>3rd</v>
      </c>
      <c r="H72" s="8" t="str">
        <f>IFERROR(__xludf.DUMMYFUNCTION("""COMPUTED_VALUE"""),"Indiana BS 34")</f>
        <v>Indiana BS 34</v>
      </c>
      <c r="I72" s="10">
        <f>IFERROR(__xludf.DUMMYFUNCTION("""COMPUTED_VALUE"""),43617.0)</f>
        <v>43617</v>
      </c>
      <c r="J72" s="10">
        <f>IFERROR(__xludf.DUMMYFUNCTION("""COMPUTED_VALUE"""),44713.0)</f>
        <v>44713</v>
      </c>
      <c r="K72" s="11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9" t="str">
        <f>IFERROR(__xludf.DUMMYFUNCTION("""COMPUTED_VALUE"""),"Davis")</f>
        <v>Davis</v>
      </c>
      <c r="B73" s="8" t="str">
        <f>IFERROR(__xludf.DUMMYFUNCTION("""COMPUTED_VALUE"""),"Kristy")</f>
        <v>Kristy</v>
      </c>
      <c r="C73" s="8" t="str">
        <f>IFERROR(__xludf.DUMMYFUNCTION("""COMPUTED_VALUE"""),"Deer Park")</f>
        <v>Deer Park</v>
      </c>
      <c r="D73" s="8" t="str">
        <f>IFERROR(__xludf.DUMMYFUNCTION("""COMPUTED_VALUE"""),"TX")</f>
        <v>TX</v>
      </c>
      <c r="E73" s="8" t="str">
        <f>IFERROR(__xludf.DUMMYFUNCTION("""COMPUTED_VALUE"""),"USA")</f>
        <v>USA</v>
      </c>
      <c r="F73" s="8" t="str">
        <f>IFERROR(__xludf.DUMMYFUNCTION("""COMPUTED_VALUE"""),"Women 301 Doubles")</f>
        <v>Women 301 Doubles</v>
      </c>
      <c r="G73" s="8" t="str">
        <f>IFERROR(__xludf.DUMMYFUNCTION("""COMPUTED_VALUE"""),"1st")</f>
        <v>1st</v>
      </c>
      <c r="H73" s="8" t="str">
        <f>IFERROR(__xludf.DUMMYFUNCTION("""COMPUTED_VALUE"""),"Texas BS 34")</f>
        <v>Texas BS 34</v>
      </c>
      <c r="I73" s="10">
        <f>IFERROR(__xludf.DUMMYFUNCTION("""COMPUTED_VALUE"""),43617.0)</f>
        <v>43617</v>
      </c>
      <c r="J73" s="10">
        <f>IFERROR(__xludf.DUMMYFUNCTION("""COMPUTED_VALUE"""),44713.0)</f>
        <v>44713</v>
      </c>
      <c r="K73" s="11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9" t="str">
        <f>IFERROR(__xludf.DUMMYFUNCTION("""COMPUTED_VALUE"""),"De Los Santos")</f>
        <v>De Los Santos</v>
      </c>
      <c r="B74" s="8" t="str">
        <f>IFERROR(__xludf.DUMMYFUNCTION("""COMPUTED_VALUE"""),"Cynthia")</f>
        <v>Cynthia</v>
      </c>
      <c r="C74" s="8" t="str">
        <f>IFERROR(__xludf.DUMMYFUNCTION("""COMPUTED_VALUE"""),"San Antonio")</f>
        <v>San Antonio</v>
      </c>
      <c r="D74" s="8" t="str">
        <f>IFERROR(__xludf.DUMMYFUNCTION("""COMPUTED_VALUE"""),"TX")</f>
        <v>TX</v>
      </c>
      <c r="E74" s="8" t="str">
        <f>IFERROR(__xludf.DUMMYFUNCTION("""COMPUTED_VALUE"""),"USA")</f>
        <v>USA</v>
      </c>
      <c r="F74" s="8" t="str">
        <f>IFERROR(__xludf.DUMMYFUNCTION("""COMPUTED_VALUE"""),"Womens Singles")</f>
        <v>Womens Singles</v>
      </c>
      <c r="G74" s="8" t="str">
        <f>IFERROR(__xludf.DUMMYFUNCTION("""COMPUTED_VALUE"""),"2nd")</f>
        <v>2nd</v>
      </c>
      <c r="H74" s="8" t="str">
        <f>IFERROR(__xludf.DUMMYFUNCTION("""COMPUTED_VALUE"""),"TX Regional 33")</f>
        <v>TX Regional 33</v>
      </c>
      <c r="I74" s="10">
        <f>IFERROR(__xludf.DUMMYFUNCTION("""COMPUTED_VALUE"""),42887.0)</f>
        <v>42887</v>
      </c>
      <c r="J74" s="10">
        <f>IFERROR(__xludf.DUMMYFUNCTION("""COMPUTED_VALUE"""),44348.0)</f>
        <v>44348</v>
      </c>
      <c r="K74" s="11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9" t="str">
        <f>IFERROR(__xludf.DUMMYFUNCTION("""COMPUTED_VALUE"""),"Dees")</f>
        <v>Dees</v>
      </c>
      <c r="B75" s="8" t="str">
        <f>IFERROR(__xludf.DUMMYFUNCTION("""COMPUTED_VALUE"""),"Courtney")</f>
        <v>Courtney</v>
      </c>
      <c r="C75" s="8" t="str">
        <f>IFERROR(__xludf.DUMMYFUNCTION("""COMPUTED_VALUE"""),"")</f>
        <v/>
      </c>
      <c r="D75" s="8" t="str">
        <f>IFERROR(__xludf.DUMMYFUNCTION("""COMPUTED_VALUE"""),"")</f>
        <v/>
      </c>
      <c r="E75" s="8" t="str">
        <f>IFERROR(__xludf.DUMMYFUNCTION("""COMPUTED_VALUE"""),"UNK")</f>
        <v>UNK</v>
      </c>
      <c r="F75" s="8" t="str">
        <f>IFERROR(__xludf.DUMMYFUNCTION("""COMPUTED_VALUE"""),"ADO 2014")</f>
        <v>ADO 2014</v>
      </c>
      <c r="G75" s="8" t="str">
        <f>IFERROR(__xludf.DUMMYFUNCTION("""COMPUTED_VALUE"""),"19th")</f>
        <v>19th</v>
      </c>
      <c r="H75" s="8" t="str">
        <f>IFERROR(__xludf.DUMMYFUNCTION("""COMPUTED_VALUE"""),"Off AA List")</f>
        <v>Off AA List</v>
      </c>
      <c r="I75" s="10">
        <f>IFERROR(__xludf.DUMMYFUNCTION("""COMPUTED_VALUE"""),42887.0)</f>
        <v>42887</v>
      </c>
      <c r="J75" s="10">
        <f>IFERROR(__xludf.DUMMYFUNCTION("""COMPUTED_VALUE"""),43983.0)</f>
        <v>43983</v>
      </c>
      <c r="K75" s="11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9" t="str">
        <f>IFERROR(__xludf.DUMMYFUNCTION("""COMPUTED_VALUE"""),"Dellmire")</f>
        <v>Dellmire</v>
      </c>
      <c r="B76" s="8" t="str">
        <f>IFERROR(__xludf.DUMMYFUNCTION("""COMPUTED_VALUE"""),"Julie")</f>
        <v>Julie</v>
      </c>
      <c r="C76" s="8" t="str">
        <f>IFERROR(__xludf.DUMMYFUNCTION("""COMPUTED_VALUE"""),"Junction City")</f>
        <v>Junction City</v>
      </c>
      <c r="D76" s="8" t="str">
        <f>IFERROR(__xludf.DUMMYFUNCTION("""COMPUTED_VALUE"""),"KS")</f>
        <v>KS</v>
      </c>
      <c r="E76" s="8" t="str">
        <f>IFERROR(__xludf.DUMMYFUNCTION("""COMPUTED_VALUE"""),"USA")</f>
        <v>USA</v>
      </c>
      <c r="F76" s="8" t="str">
        <f>IFERROR(__xludf.DUMMYFUNCTION("""COMPUTED_VALUE"""),"Womens Dbles Combo")</f>
        <v>Womens Dbles Combo</v>
      </c>
      <c r="G76" s="8" t="str">
        <f>IFERROR(__xludf.DUMMYFUNCTION("""COMPUTED_VALUE"""),"1st")</f>
        <v>1st</v>
      </c>
      <c r="H76" s="8" t="str">
        <f>IFERROR(__xludf.DUMMYFUNCTION("""COMPUTED_VALUE"""),"NE Regional 32")</f>
        <v>NE Regional 32</v>
      </c>
      <c r="I76" s="10">
        <f>IFERROR(__xludf.DUMMYFUNCTION("""COMPUTED_VALUE"""),42887.0)</f>
        <v>42887</v>
      </c>
      <c r="J76" s="10">
        <f>IFERROR(__xludf.DUMMYFUNCTION("""COMPUTED_VALUE"""),43983.0)</f>
        <v>43983</v>
      </c>
      <c r="K76" s="11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9" t="str">
        <f>IFERROR(__xludf.DUMMYFUNCTION("""COMPUTED_VALUE"""),"Delp")</f>
        <v>Delp</v>
      </c>
      <c r="B77" s="8" t="str">
        <f>IFERROR(__xludf.DUMMYFUNCTION("""COMPUTED_VALUE"""),"Lisa")</f>
        <v>Lisa</v>
      </c>
      <c r="C77" s="8" t="str">
        <f>IFERROR(__xludf.DUMMYFUNCTION("""COMPUTED_VALUE"""),"Roanoke")</f>
        <v>Roanoke</v>
      </c>
      <c r="D77" s="8" t="str">
        <f>IFERROR(__xludf.DUMMYFUNCTION("""COMPUTED_VALUE"""),"VA")</f>
        <v>VA</v>
      </c>
      <c r="E77" s="8" t="str">
        <f>IFERROR(__xludf.DUMMYFUNCTION("""COMPUTED_VALUE"""),"USA")</f>
        <v>USA</v>
      </c>
      <c r="F77" s="8" t="str">
        <f>IFERROR(__xludf.DUMMYFUNCTION("""COMPUTED_VALUE"""),"Women 301 Doubles")</f>
        <v>Women 301 Doubles</v>
      </c>
      <c r="G77" s="8" t="str">
        <f>IFERROR(__xludf.DUMMYFUNCTION("""COMPUTED_VALUE"""),"2nd")</f>
        <v>2nd</v>
      </c>
      <c r="H77" s="8" t="str">
        <f>IFERROR(__xludf.DUMMYFUNCTION("""COMPUTED_VALUE"""),"South Carolina BS 34")</f>
        <v>South Carolina BS 34</v>
      </c>
      <c r="I77" s="10">
        <f>IFERROR(__xludf.DUMMYFUNCTION("""COMPUTED_VALUE"""),43617.0)</f>
        <v>43617</v>
      </c>
      <c r="J77" s="10">
        <f>IFERROR(__xludf.DUMMYFUNCTION("""COMPUTED_VALUE"""),44713.0)</f>
        <v>44713</v>
      </c>
      <c r="K77" s="11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9" t="str">
        <f>IFERROR(__xludf.DUMMYFUNCTION("""COMPUTED_VALUE"""),"Demers")</f>
        <v>Demers</v>
      </c>
      <c r="B78" s="8" t="str">
        <f>IFERROR(__xludf.DUMMYFUNCTION("""COMPUTED_VALUE"""),"Debra")</f>
        <v>Debra</v>
      </c>
      <c r="C78" s="8" t="str">
        <f>IFERROR(__xludf.DUMMYFUNCTION("""COMPUTED_VALUE"""),"Carmel")</f>
        <v>Carmel</v>
      </c>
      <c r="D78" s="8" t="str">
        <f>IFERROR(__xludf.DUMMYFUNCTION("""COMPUTED_VALUE"""),"IN")</f>
        <v>IN</v>
      </c>
      <c r="E78" s="8" t="str">
        <f>IFERROR(__xludf.DUMMYFUNCTION("""COMPUTED_VALUE"""),"USA")</f>
        <v>USA</v>
      </c>
      <c r="F78" s="8" t="str">
        <f>IFERROR(__xludf.DUMMYFUNCTION("""COMPUTED_VALUE"""),"Womens Dbls Combo")</f>
        <v>Womens Dbls Combo</v>
      </c>
      <c r="G78" s="8" t="str">
        <f>IFERROR(__xludf.DUMMYFUNCTION("""COMPUTED_VALUE"""),"3rd")</f>
        <v>3rd</v>
      </c>
      <c r="H78" s="8" t="str">
        <f>IFERROR(__xludf.DUMMYFUNCTION("""COMPUTED_VALUE"""),"IN Regional 32")</f>
        <v>IN Regional 32</v>
      </c>
      <c r="I78" s="10">
        <f>IFERROR(__xludf.DUMMYFUNCTION("""COMPUTED_VALUE"""),42887.0)</f>
        <v>42887</v>
      </c>
      <c r="J78" s="10">
        <f>IFERROR(__xludf.DUMMYFUNCTION("""COMPUTED_VALUE"""),43983.0)</f>
        <v>43983</v>
      </c>
      <c r="K78" s="11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9" t="str">
        <f>IFERROR(__xludf.DUMMYFUNCTION("""COMPUTED_VALUE"""),"Deperkins")</f>
        <v>Deperkins</v>
      </c>
      <c r="B79" s="8" t="str">
        <f>IFERROR(__xludf.DUMMYFUNCTION("""COMPUTED_VALUE"""),"Deanna")</f>
        <v>Deanna</v>
      </c>
      <c r="C79" s="8" t="str">
        <f>IFERROR(__xludf.DUMMYFUNCTION("""COMPUTED_VALUE"""),"Omaha")</f>
        <v>Omaha</v>
      </c>
      <c r="D79" s="8" t="str">
        <f>IFERROR(__xludf.DUMMYFUNCTION("""COMPUTED_VALUE"""),"NE")</f>
        <v>NE</v>
      </c>
      <c r="E79" s="8" t="str">
        <f>IFERROR(__xludf.DUMMYFUNCTION("""COMPUTED_VALUE"""),"USA")</f>
        <v>USA</v>
      </c>
      <c r="F79" s="8" t="str">
        <f>IFERROR(__xludf.DUMMYFUNCTION("""COMPUTED_VALUE"""),"Women Combo Singles")</f>
        <v>Women Combo Singles</v>
      </c>
      <c r="G79" s="8" t="str">
        <f>IFERROR(__xludf.DUMMYFUNCTION("""COMPUTED_VALUE"""),"3rd")</f>
        <v>3rd</v>
      </c>
      <c r="H79" s="8" t="str">
        <f>IFERROR(__xludf.DUMMYFUNCTION("""COMPUTED_VALUE"""),"Nebraska BS 34")</f>
        <v>Nebraska BS 34</v>
      </c>
      <c r="I79" s="10">
        <f>IFERROR(__xludf.DUMMYFUNCTION("""COMPUTED_VALUE"""),43617.0)</f>
        <v>43617</v>
      </c>
      <c r="J79" s="10">
        <f>IFERROR(__xludf.DUMMYFUNCTION("""COMPUTED_VALUE"""),44713.0)</f>
        <v>44713</v>
      </c>
      <c r="K79" s="1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9" t="str">
        <f>IFERROR(__xludf.DUMMYFUNCTION("""COMPUTED_VALUE"""),"Desch")</f>
        <v>Desch</v>
      </c>
      <c r="B80" s="8" t="str">
        <f>IFERROR(__xludf.DUMMYFUNCTION("""COMPUTED_VALUE"""),"Ruby")</f>
        <v>Ruby</v>
      </c>
      <c r="C80" s="8" t="str">
        <f>IFERROR(__xludf.DUMMYFUNCTION("""COMPUTED_VALUE"""),"Midland")</f>
        <v>Midland</v>
      </c>
      <c r="D80" s="8" t="str">
        <f>IFERROR(__xludf.DUMMYFUNCTION("""COMPUTED_VALUE"""),"GA")</f>
        <v>GA</v>
      </c>
      <c r="E80" s="8" t="str">
        <f>IFERROR(__xludf.DUMMYFUNCTION("""COMPUTED_VALUE"""),"USA")</f>
        <v>USA</v>
      </c>
      <c r="F80" s="8" t="str">
        <f>IFERROR(__xludf.DUMMYFUNCTION("""COMPUTED_VALUE"""),"Women Combo Doubles")</f>
        <v>Women Combo Doubles</v>
      </c>
      <c r="G80" s="8" t="str">
        <f>IFERROR(__xludf.DUMMYFUNCTION("""COMPUTED_VALUE"""),"2nd")</f>
        <v>2nd</v>
      </c>
      <c r="H80" s="8" t="str">
        <f>IFERROR(__xludf.DUMMYFUNCTION("""COMPUTED_VALUE"""),"Georgia BS 34")</f>
        <v>Georgia BS 34</v>
      </c>
      <c r="I80" s="10">
        <f>IFERROR(__xludf.DUMMYFUNCTION("""COMPUTED_VALUE"""),43617.0)</f>
        <v>43617</v>
      </c>
      <c r="J80" s="10">
        <f>IFERROR(__xludf.DUMMYFUNCTION("""COMPUTED_VALUE"""),44713.0)</f>
        <v>44713</v>
      </c>
      <c r="K80" s="11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9" t="str">
        <f>IFERROR(__xludf.DUMMYFUNCTION("""COMPUTED_VALUE"""),"Dessein")</f>
        <v>Dessein</v>
      </c>
      <c r="B81" s="8" t="str">
        <f>IFERROR(__xludf.DUMMYFUNCTION("""COMPUTED_VALUE"""),"Carine")</f>
        <v>Carine</v>
      </c>
      <c r="C81" s="8" t="str">
        <f>IFERROR(__xludf.DUMMYFUNCTION("""COMPUTED_VALUE"""),"")</f>
        <v/>
      </c>
      <c r="D81" s="8" t="str">
        <f>IFERROR(__xludf.DUMMYFUNCTION("""COMPUTED_VALUE"""),"UNK")</f>
        <v>UNK</v>
      </c>
      <c r="E81" s="8" t="str">
        <f>IFERROR(__xludf.DUMMYFUNCTION("""COMPUTED_VALUE"""),"Belgium")</f>
        <v>Belgium</v>
      </c>
      <c r="F81" s="8" t="str">
        <f>IFERROR(__xludf.DUMMYFUNCTION("""COMPUTED_VALUE"""),"Womens A 501 Doubles")</f>
        <v>Womens A 501 Doubles</v>
      </c>
      <c r="G81" s="8" t="str">
        <f>IFERROR(__xludf.DUMMYFUNCTION("""COMPUTED_VALUE"""),"1st")</f>
        <v>1st</v>
      </c>
      <c r="H81" s="8" t="str">
        <f>IFERROR(__xludf.DUMMYFUNCTION("""COMPUTED_VALUE"""),"Off AA List")</f>
        <v>Off AA List</v>
      </c>
      <c r="I81" s="10">
        <f>IFERROR(__xludf.DUMMYFUNCTION("""COMPUTED_VALUE"""),42887.0)</f>
        <v>42887</v>
      </c>
      <c r="J81" s="10">
        <f>IFERROR(__xludf.DUMMYFUNCTION("""COMPUTED_VALUE"""),43983.0)</f>
        <v>43983</v>
      </c>
      <c r="K81" s="11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9" t="str">
        <f>IFERROR(__xludf.DUMMYFUNCTION("""COMPUTED_VALUE"""),"DeVries")</f>
        <v>DeVries</v>
      </c>
      <c r="B82" s="8" t="str">
        <f>IFERROR(__xludf.DUMMYFUNCTION("""COMPUTED_VALUE"""),"Crystal")</f>
        <v>Crystal</v>
      </c>
      <c r="C82" s="8" t="str">
        <f>IFERROR(__xludf.DUMMYFUNCTION("""COMPUTED_VALUE"""),"Oshkosh")</f>
        <v>Oshkosh</v>
      </c>
      <c r="D82" s="8" t="str">
        <f>IFERROR(__xludf.DUMMYFUNCTION("""COMPUTED_VALUE"""),"WI")</f>
        <v>WI</v>
      </c>
      <c r="E82" s="8" t="str">
        <f>IFERROR(__xludf.DUMMYFUNCTION("""COMPUTED_VALUE"""),"USA")</f>
        <v>USA</v>
      </c>
      <c r="F82" s="8" t="str">
        <f>IFERROR(__xludf.DUMMYFUNCTION("""COMPUTED_VALUE"""),"Top Gun Triples")</f>
        <v>Top Gun Triples</v>
      </c>
      <c r="G82" s="8" t="str">
        <f>IFERROR(__xludf.DUMMYFUNCTION("""COMPUTED_VALUE"""),"3rd")</f>
        <v>3rd</v>
      </c>
      <c r="H82" s="8" t="str">
        <f>IFERROR(__xludf.DUMMYFUNCTION("""COMPUTED_VALUE"""),"BS 33 Finals")</f>
        <v>BS 33 Finals</v>
      </c>
      <c r="I82" s="10">
        <f>IFERROR(__xludf.DUMMYFUNCTION("""COMPUTED_VALUE"""),43252.0)</f>
        <v>43252</v>
      </c>
      <c r="J82" s="10">
        <f>IFERROR(__xludf.DUMMYFUNCTION("""COMPUTED_VALUE"""),44348.0)</f>
        <v>44348</v>
      </c>
      <c r="K82" s="11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9" t="str">
        <f>IFERROR(__xludf.DUMMYFUNCTION("""COMPUTED_VALUE"""),"DeWald")</f>
        <v>DeWald</v>
      </c>
      <c r="B83" s="8" t="str">
        <f>IFERROR(__xludf.DUMMYFUNCTION("""COMPUTED_VALUE"""),"Racel")</f>
        <v>Racel</v>
      </c>
      <c r="C83" s="8" t="str">
        <f>IFERROR(__xludf.DUMMYFUNCTION("""COMPUTED_VALUE"""),"Florissant")</f>
        <v>Florissant</v>
      </c>
      <c r="D83" s="8" t="str">
        <f>IFERROR(__xludf.DUMMYFUNCTION("""COMPUTED_VALUE"""),"MO")</f>
        <v>MO</v>
      </c>
      <c r="E83" s="8" t="str">
        <f>IFERROR(__xludf.DUMMYFUNCTION("""COMPUTED_VALUE"""),"USA")</f>
        <v>USA</v>
      </c>
      <c r="F83" s="8" t="str">
        <f>IFERROR(__xludf.DUMMYFUNCTION("""COMPUTED_VALUE"""),"Womens B Cricket")</f>
        <v>Womens B Cricket</v>
      </c>
      <c r="G83" s="8" t="str">
        <f>IFERROR(__xludf.DUMMYFUNCTION("""COMPUTED_VALUE"""),"3rd")</f>
        <v>3rd</v>
      </c>
      <c r="H83" s="8" t="str">
        <f>IFERROR(__xludf.DUMMYFUNCTION("""COMPUTED_VALUE"""),"BS 33 Finals")</f>
        <v>BS 33 Finals</v>
      </c>
      <c r="I83" s="10">
        <f>IFERROR(__xludf.DUMMYFUNCTION("""COMPUTED_VALUE"""),43252.0)</f>
        <v>43252</v>
      </c>
      <c r="J83" s="10">
        <f>IFERROR(__xludf.DUMMYFUNCTION("""COMPUTED_VALUE"""),44348.0)</f>
        <v>44348</v>
      </c>
      <c r="K83" s="1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9" t="str">
        <f>IFERROR(__xludf.DUMMYFUNCTION("""COMPUTED_VALUE"""),"DeWitt")</f>
        <v>DeWitt</v>
      </c>
      <c r="B84" s="8" t="str">
        <f>IFERROR(__xludf.DUMMYFUNCTION("""COMPUTED_VALUE"""),"Darlene")</f>
        <v>Darlene</v>
      </c>
      <c r="C84" s="8" t="str">
        <f>IFERROR(__xludf.DUMMYFUNCTION("""COMPUTED_VALUE"""),"Hammondsport")</f>
        <v>Hammondsport</v>
      </c>
      <c r="D84" s="8" t="str">
        <f>IFERROR(__xludf.DUMMYFUNCTION("""COMPUTED_VALUE"""),"NY")</f>
        <v>NY</v>
      </c>
      <c r="E84" s="8" t="str">
        <f>IFERROR(__xludf.DUMMYFUNCTION("""COMPUTED_VALUE"""),"USA")</f>
        <v>USA</v>
      </c>
      <c r="F84" s="8" t="str">
        <f>IFERROR(__xludf.DUMMYFUNCTION("""COMPUTED_VALUE"""),"Womens Doubles")</f>
        <v>Womens Doubles</v>
      </c>
      <c r="G84" s="8" t="str">
        <f>IFERROR(__xludf.DUMMYFUNCTION("""COMPUTED_VALUE"""),"2nd")</f>
        <v>2nd</v>
      </c>
      <c r="H84" s="8" t="str">
        <f>IFERROR(__xludf.DUMMYFUNCTION("""COMPUTED_VALUE"""),"NY Regional 32")</f>
        <v>NY Regional 32</v>
      </c>
      <c r="I84" s="10">
        <f>IFERROR(__xludf.DUMMYFUNCTION("""COMPUTED_VALUE"""),42887.0)</f>
        <v>42887</v>
      </c>
      <c r="J84" s="10">
        <f>IFERROR(__xludf.DUMMYFUNCTION("""COMPUTED_VALUE"""),43983.0)</f>
        <v>43983</v>
      </c>
      <c r="K84" s="11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9" t="str">
        <f>IFERROR(__xludf.DUMMYFUNCTION("""COMPUTED_VALUE"""),"Dicus")</f>
        <v>Dicus</v>
      </c>
      <c r="B85" s="8" t="str">
        <f>IFERROR(__xludf.DUMMYFUNCTION("""COMPUTED_VALUE"""),"Jennifer")</f>
        <v>Jennifer</v>
      </c>
      <c r="C85" s="8" t="str">
        <f>IFERROR(__xludf.DUMMYFUNCTION("""COMPUTED_VALUE"""),"Altoona")</f>
        <v>Altoona</v>
      </c>
      <c r="D85" s="8" t="str">
        <f>IFERROR(__xludf.DUMMYFUNCTION("""COMPUTED_VALUE"""),"PA")</f>
        <v>PA</v>
      </c>
      <c r="E85" s="8" t="str">
        <f>IFERROR(__xludf.DUMMYFUNCTION("""COMPUTED_VALUE"""),"USA")</f>
        <v>USA</v>
      </c>
      <c r="F85" s="8" t="str">
        <f>IFERROR(__xludf.DUMMYFUNCTION("""COMPUTED_VALUE"""),"Women 301 Doubles")</f>
        <v>Women 301 Doubles</v>
      </c>
      <c r="G85" s="8" t="str">
        <f>IFERROR(__xludf.DUMMYFUNCTION("""COMPUTED_VALUE"""),"2nd")</f>
        <v>2nd</v>
      </c>
      <c r="H85" s="8" t="str">
        <f>IFERROR(__xludf.DUMMYFUNCTION("""COMPUTED_VALUE"""),"Pennsylvania BS 34")</f>
        <v>Pennsylvania BS 34</v>
      </c>
      <c r="I85" s="10">
        <f>IFERROR(__xludf.DUMMYFUNCTION("""COMPUTED_VALUE"""),43617.0)</f>
        <v>43617</v>
      </c>
      <c r="J85" s="10">
        <f>IFERROR(__xludf.DUMMYFUNCTION("""COMPUTED_VALUE"""),44713.0)</f>
        <v>44713</v>
      </c>
      <c r="K85" s="11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9" t="str">
        <f>IFERROR(__xludf.DUMMYFUNCTION("""COMPUTED_VALUE"""),"Dixon")</f>
        <v>Dixon</v>
      </c>
      <c r="B86" s="8" t="str">
        <f>IFERROR(__xludf.DUMMYFUNCTION("""COMPUTED_VALUE"""),"Bridget")</f>
        <v>Bridget</v>
      </c>
      <c r="C86" s="8" t="str">
        <f>IFERROR(__xludf.DUMMYFUNCTION("""COMPUTED_VALUE"""),"Clarksville")</f>
        <v>Clarksville</v>
      </c>
      <c r="D86" s="8" t="str">
        <f>IFERROR(__xludf.DUMMYFUNCTION("""COMPUTED_VALUE"""),"TN")</f>
        <v>TN</v>
      </c>
      <c r="E86" s="8" t="str">
        <f>IFERROR(__xludf.DUMMYFUNCTION("""COMPUTED_VALUE"""),"USA")</f>
        <v>USA</v>
      </c>
      <c r="F86" s="8" t="str">
        <f>IFERROR(__xludf.DUMMYFUNCTION("""COMPUTED_VALUE"""),"Women Combo Doubles")</f>
        <v>Women Combo Doubles</v>
      </c>
      <c r="G86" s="8" t="str">
        <f>IFERROR(__xludf.DUMMYFUNCTION("""COMPUTED_VALUE"""),"3rd")</f>
        <v>3rd</v>
      </c>
      <c r="H86" s="8" t="str">
        <f>IFERROR(__xludf.DUMMYFUNCTION("""COMPUTED_VALUE"""),"Tennessee BS 34")</f>
        <v>Tennessee BS 34</v>
      </c>
      <c r="I86" s="10">
        <f>IFERROR(__xludf.DUMMYFUNCTION("""COMPUTED_VALUE"""),43617.0)</f>
        <v>43617</v>
      </c>
      <c r="J86" s="10">
        <f>IFERROR(__xludf.DUMMYFUNCTION("""COMPUTED_VALUE"""),44713.0)</f>
        <v>44713</v>
      </c>
      <c r="K86" s="11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9" t="str">
        <f>IFERROR(__xludf.DUMMYFUNCTION("""COMPUTED_VALUE"""),"Dodson")</f>
        <v>Dodson</v>
      </c>
      <c r="B87" s="8" t="str">
        <f>IFERROR(__xludf.DUMMYFUNCTION("""COMPUTED_VALUE"""),"Wendi")</f>
        <v>Wendi</v>
      </c>
      <c r="C87" s="8" t="str">
        <f>IFERROR(__xludf.DUMMYFUNCTION("""COMPUTED_VALUE"""),"Tempe")</f>
        <v>Tempe</v>
      </c>
      <c r="D87" s="8" t="str">
        <f>IFERROR(__xludf.DUMMYFUNCTION("""COMPUTED_VALUE"""),"AZ")</f>
        <v>AZ</v>
      </c>
      <c r="E87" s="8" t="str">
        <f>IFERROR(__xludf.DUMMYFUNCTION("""COMPUTED_VALUE"""),"USA")</f>
        <v>USA</v>
      </c>
      <c r="F87" s="8" t="str">
        <f>IFERROR(__xludf.DUMMYFUNCTION("""COMPUTED_VALUE"""),"Womens Doubles")</f>
        <v>Womens Doubles</v>
      </c>
      <c r="G87" s="8" t="str">
        <f>IFERROR(__xludf.DUMMYFUNCTION("""COMPUTED_VALUE"""),"2nd")</f>
        <v>2nd</v>
      </c>
      <c r="H87" s="8" t="str">
        <f>IFERROR(__xludf.DUMMYFUNCTION("""COMPUTED_VALUE"""),"NV Regional 32")</f>
        <v>NV Regional 32</v>
      </c>
      <c r="I87" s="10">
        <f>IFERROR(__xludf.DUMMYFUNCTION("""COMPUTED_VALUE"""),42887.0)</f>
        <v>42887</v>
      </c>
      <c r="J87" s="10">
        <f>IFERROR(__xludf.DUMMYFUNCTION("""COMPUTED_VALUE"""),43983.0)</f>
        <v>43983</v>
      </c>
      <c r="K87" s="1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9" t="str">
        <f>IFERROR(__xludf.DUMMYFUNCTION("""COMPUTED_VALUE"""),"Dorey")</f>
        <v>Dorey</v>
      </c>
      <c r="B88" s="8" t="str">
        <f>IFERROR(__xludf.DUMMYFUNCTION("""COMPUTED_VALUE"""),"Natalie")</f>
        <v>Natalie</v>
      </c>
      <c r="C88" s="8" t="str">
        <f>IFERROR(__xludf.DUMMYFUNCTION("""COMPUTED_VALUE"""),"Kenosha")</f>
        <v>Kenosha</v>
      </c>
      <c r="D88" s="8" t="str">
        <f>IFERROR(__xludf.DUMMYFUNCTION("""COMPUTED_VALUE"""),"WI")</f>
        <v>WI</v>
      </c>
      <c r="E88" s="8" t="str">
        <f>IFERROR(__xludf.DUMMYFUNCTION("""COMPUTED_VALUE"""),"USA")</f>
        <v>USA</v>
      </c>
      <c r="F88" s="8" t="str">
        <f>IFERROR(__xludf.DUMMYFUNCTION("""COMPUTED_VALUE"""),"Womens B Cricket")</f>
        <v>Womens B Cricket</v>
      </c>
      <c r="G88" s="8" t="str">
        <f>IFERROR(__xludf.DUMMYFUNCTION("""COMPUTED_VALUE"""),"1st")</f>
        <v>1st</v>
      </c>
      <c r="H88" s="8" t="str">
        <f>IFERROR(__xludf.DUMMYFUNCTION("""COMPUTED_VALUE"""),"BS 33 Finals")</f>
        <v>BS 33 Finals</v>
      </c>
      <c r="I88" s="10">
        <f>IFERROR(__xludf.DUMMYFUNCTION("""COMPUTED_VALUE"""),43252.0)</f>
        <v>43252</v>
      </c>
      <c r="J88" s="10">
        <f>IFERROR(__xludf.DUMMYFUNCTION("""COMPUTED_VALUE"""),44348.0)</f>
        <v>44348</v>
      </c>
      <c r="K88" s="1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9" t="str">
        <f>IFERROR(__xludf.DUMMYFUNCTION("""COMPUTED_VALUE"""),"Dubose")</f>
        <v>Dubose</v>
      </c>
      <c r="B89" s="8" t="str">
        <f>IFERROR(__xludf.DUMMYFUNCTION("""COMPUTED_VALUE"""),"Alvanita")</f>
        <v>Alvanita</v>
      </c>
      <c r="C89" s="8" t="str">
        <f>IFERROR(__xludf.DUMMYFUNCTION("""COMPUTED_VALUE"""),"Peoria")</f>
        <v>Peoria</v>
      </c>
      <c r="D89" s="8" t="str">
        <f>IFERROR(__xludf.DUMMYFUNCTION("""COMPUTED_VALUE"""),"AZ")</f>
        <v>AZ</v>
      </c>
      <c r="E89" s="8" t="str">
        <f>IFERROR(__xludf.DUMMYFUNCTION("""COMPUTED_VALUE"""),"USA")</f>
        <v>USA</v>
      </c>
      <c r="F89" s="8" t="str">
        <f>IFERROR(__xludf.DUMMYFUNCTION("""COMPUTED_VALUE"""),"Womens Singles")</f>
        <v>Womens Singles</v>
      </c>
      <c r="G89" s="8" t="str">
        <f>IFERROR(__xludf.DUMMYFUNCTION("""COMPUTED_VALUE"""),"2nd")</f>
        <v>2nd</v>
      </c>
      <c r="H89" s="8" t="str">
        <f>IFERROR(__xludf.DUMMYFUNCTION("""COMPUTED_VALUE"""),"NV Regional 32")</f>
        <v>NV Regional 32</v>
      </c>
      <c r="I89" s="10">
        <f>IFERROR(__xludf.DUMMYFUNCTION("""COMPUTED_VALUE"""),42887.0)</f>
        <v>42887</v>
      </c>
      <c r="J89" s="10">
        <f>IFERROR(__xludf.DUMMYFUNCTION("""COMPUTED_VALUE"""),43983.0)</f>
        <v>43983</v>
      </c>
      <c r="K89" s="11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9" t="str">
        <f>IFERROR(__xludf.DUMMYFUNCTION("""COMPUTED_VALUE"""),"Dupes")</f>
        <v>Dupes</v>
      </c>
      <c r="B90" s="8" t="str">
        <f>IFERROR(__xludf.DUMMYFUNCTION("""COMPUTED_VALUE"""),"Heather")</f>
        <v>Heather</v>
      </c>
      <c r="C90" s="8" t="str">
        <f>IFERROR(__xludf.DUMMYFUNCTION("""COMPUTED_VALUE"""),"Woodstock")</f>
        <v>Woodstock</v>
      </c>
      <c r="D90" s="8" t="str">
        <f>IFERROR(__xludf.DUMMYFUNCTION("""COMPUTED_VALUE"""),"GA")</f>
        <v>GA</v>
      </c>
      <c r="E90" s="8" t="str">
        <f>IFERROR(__xludf.DUMMYFUNCTION("""COMPUTED_VALUE"""),"USA")</f>
        <v>USA</v>
      </c>
      <c r="F90" s="8" t="str">
        <f>IFERROR(__xludf.DUMMYFUNCTION("""COMPUTED_VALUE"""),"Women 301 Doubles")</f>
        <v>Women 301 Doubles</v>
      </c>
      <c r="G90" s="8" t="str">
        <f>IFERROR(__xludf.DUMMYFUNCTION("""COMPUTED_VALUE"""),"1st")</f>
        <v>1st</v>
      </c>
      <c r="H90" s="8" t="str">
        <f>IFERROR(__xludf.DUMMYFUNCTION("""COMPUTED_VALUE"""),"Georgia BS 34")</f>
        <v>Georgia BS 34</v>
      </c>
      <c r="I90" s="10">
        <f>IFERROR(__xludf.DUMMYFUNCTION("""COMPUTED_VALUE"""),43617.0)</f>
        <v>43617</v>
      </c>
      <c r="J90" s="10">
        <f>IFERROR(__xludf.DUMMYFUNCTION("""COMPUTED_VALUE"""),44713.0)</f>
        <v>44713</v>
      </c>
      <c r="K90" s="11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9" t="str">
        <f>IFERROR(__xludf.DUMMYFUNCTION("""COMPUTED_VALUE"""),"Edinger")</f>
        <v>Edinger</v>
      </c>
      <c r="B91" s="8" t="str">
        <f>IFERROR(__xludf.DUMMYFUNCTION("""COMPUTED_VALUE"""),"Adrienne")</f>
        <v>Adrienne</v>
      </c>
      <c r="C91" s="8" t="str">
        <f>IFERROR(__xludf.DUMMYFUNCTION("""COMPUTED_VALUE"""),"Erie")</f>
        <v>Erie</v>
      </c>
      <c r="D91" s="8" t="str">
        <f>IFERROR(__xludf.DUMMYFUNCTION("""COMPUTED_VALUE"""),"PA")</f>
        <v>PA</v>
      </c>
      <c r="E91" s="8" t="str">
        <f>IFERROR(__xludf.DUMMYFUNCTION("""COMPUTED_VALUE"""),"USA")</f>
        <v>USA</v>
      </c>
      <c r="F91" s="8" t="str">
        <f>IFERROR(__xludf.DUMMYFUNCTION("""COMPUTED_VALUE"""),"Womens Doubles Combo")</f>
        <v>Womens Doubles Combo</v>
      </c>
      <c r="G91" s="8" t="str">
        <f>IFERROR(__xludf.DUMMYFUNCTION("""COMPUTED_VALUE"""),"3rd")</f>
        <v>3rd</v>
      </c>
      <c r="H91" s="8" t="str">
        <f>IFERROR(__xludf.DUMMYFUNCTION("""COMPUTED_VALUE"""),"NY Regional 32")</f>
        <v>NY Regional 32</v>
      </c>
      <c r="I91" s="10">
        <f>IFERROR(__xludf.DUMMYFUNCTION("""COMPUTED_VALUE"""),42887.0)</f>
        <v>42887</v>
      </c>
      <c r="J91" s="10">
        <f>IFERROR(__xludf.DUMMYFUNCTION("""COMPUTED_VALUE"""),43983.0)</f>
        <v>43983</v>
      </c>
      <c r="K91" s="11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9" t="str">
        <f>IFERROR(__xludf.DUMMYFUNCTION("""COMPUTED_VALUE"""),"Eichorn")</f>
        <v>Eichorn</v>
      </c>
      <c r="B92" s="8" t="str">
        <f>IFERROR(__xludf.DUMMYFUNCTION("""COMPUTED_VALUE"""),"Nina")</f>
        <v>Nina</v>
      </c>
      <c r="C92" s="8" t="str">
        <f>IFERROR(__xludf.DUMMYFUNCTION("""COMPUTED_VALUE"""),"Tampa")</f>
        <v>Tampa</v>
      </c>
      <c r="D92" s="8" t="str">
        <f>IFERROR(__xludf.DUMMYFUNCTION("""COMPUTED_VALUE"""),"FL")</f>
        <v>FL</v>
      </c>
      <c r="E92" s="8" t="str">
        <f>IFERROR(__xludf.DUMMYFUNCTION("""COMPUTED_VALUE"""),"USA")</f>
        <v>USA</v>
      </c>
      <c r="F92" s="8" t="str">
        <f>IFERROR(__xludf.DUMMYFUNCTION("""COMPUTED_VALUE"""),"Womens Doubles")</f>
        <v>Womens Doubles</v>
      </c>
      <c r="G92" s="8" t="str">
        <f>IFERROR(__xludf.DUMMYFUNCTION("""COMPUTED_VALUE"""),"3rd")</f>
        <v>3rd</v>
      </c>
      <c r="H92" s="8" t="str">
        <f>IFERROR(__xludf.DUMMYFUNCTION("""COMPUTED_VALUE"""),"SC Regional 33")</f>
        <v>SC Regional 33</v>
      </c>
      <c r="I92" s="10">
        <f>IFERROR(__xludf.DUMMYFUNCTION("""COMPUTED_VALUE"""),42887.0)</f>
        <v>42887</v>
      </c>
      <c r="J92" s="10">
        <f>IFERROR(__xludf.DUMMYFUNCTION("""COMPUTED_VALUE"""),44348.0)</f>
        <v>44348</v>
      </c>
      <c r="K92" s="11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9" t="str">
        <f>IFERROR(__xludf.DUMMYFUNCTION("""COMPUTED_VALUE"""),"Eldridge")</f>
        <v>Eldridge</v>
      </c>
      <c r="B93" s="8" t="str">
        <f>IFERROR(__xludf.DUMMYFUNCTION("""COMPUTED_VALUE"""),"Brandy")</f>
        <v>Brandy</v>
      </c>
      <c r="C93" s="8" t="str">
        <f>IFERROR(__xludf.DUMMYFUNCTION("""COMPUTED_VALUE"""),"Columbus")</f>
        <v>Columbus</v>
      </c>
      <c r="D93" s="8" t="str">
        <f>IFERROR(__xludf.DUMMYFUNCTION("""COMPUTED_VALUE"""),"GA")</f>
        <v>GA</v>
      </c>
      <c r="E93" s="8" t="str">
        <f>IFERROR(__xludf.DUMMYFUNCTION("""COMPUTED_VALUE"""),"USA")</f>
        <v>USA</v>
      </c>
      <c r="F93" s="8" t="str">
        <f>IFERROR(__xludf.DUMMYFUNCTION("""COMPUTED_VALUE"""),"Women Combo Doubles")</f>
        <v>Women Combo Doubles</v>
      </c>
      <c r="G93" s="8" t="str">
        <f>IFERROR(__xludf.DUMMYFUNCTION("""COMPUTED_VALUE"""),"2nd")</f>
        <v>2nd</v>
      </c>
      <c r="H93" s="8" t="str">
        <f>IFERROR(__xludf.DUMMYFUNCTION("""COMPUTED_VALUE"""),"Georgia BS 34")</f>
        <v>Georgia BS 34</v>
      </c>
      <c r="I93" s="10">
        <f>IFERROR(__xludf.DUMMYFUNCTION("""COMPUTED_VALUE"""),43617.0)</f>
        <v>43617</v>
      </c>
      <c r="J93" s="10">
        <f>IFERROR(__xludf.DUMMYFUNCTION("""COMPUTED_VALUE"""),44713.0)</f>
        <v>44713</v>
      </c>
      <c r="K93" s="11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9" t="str">
        <f>IFERROR(__xludf.DUMMYFUNCTION("""COMPUTED_VALUE"""),"Elliott")</f>
        <v>Elliott</v>
      </c>
      <c r="B94" s="8" t="str">
        <f>IFERROR(__xludf.DUMMYFUNCTION("""COMPUTED_VALUE"""),"Beth")</f>
        <v>Beth</v>
      </c>
      <c r="C94" s="8" t="str">
        <f>IFERROR(__xludf.DUMMYFUNCTION("""COMPUTED_VALUE"""),"Louisville")</f>
        <v>Louisville</v>
      </c>
      <c r="D94" s="8" t="str">
        <f>IFERROR(__xludf.DUMMYFUNCTION("""COMPUTED_VALUE"""),"TN")</f>
        <v>TN</v>
      </c>
      <c r="E94" s="8" t="str">
        <f>IFERROR(__xludf.DUMMYFUNCTION("""COMPUTED_VALUE"""),"USA")</f>
        <v>USA</v>
      </c>
      <c r="F94" s="8" t="str">
        <f>IFERROR(__xludf.DUMMYFUNCTION("""COMPUTED_VALUE"""),"Women 301 Doubles")</f>
        <v>Women 301 Doubles</v>
      </c>
      <c r="G94" s="8" t="str">
        <f>IFERROR(__xludf.DUMMYFUNCTION("""COMPUTED_VALUE"""),"2nd")</f>
        <v>2nd</v>
      </c>
      <c r="H94" s="8" t="str">
        <f>IFERROR(__xludf.DUMMYFUNCTION("""COMPUTED_VALUE"""),"Tennessee BS 34")</f>
        <v>Tennessee BS 34</v>
      </c>
      <c r="I94" s="10">
        <f>IFERROR(__xludf.DUMMYFUNCTION("""COMPUTED_VALUE"""),43617.0)</f>
        <v>43617</v>
      </c>
      <c r="J94" s="10">
        <f>IFERROR(__xludf.DUMMYFUNCTION("""COMPUTED_VALUE"""),44713.0)</f>
        <v>44713</v>
      </c>
      <c r="K94" s="11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12" t="str">
        <f>IFERROR(__xludf.DUMMYFUNCTION("""COMPUTED_VALUE"""),"Ellis")</f>
        <v>Ellis</v>
      </c>
      <c r="B95" s="13" t="str">
        <f>IFERROR(__xludf.DUMMYFUNCTION("""COMPUTED_VALUE"""),"Candi")</f>
        <v>Candi</v>
      </c>
      <c r="C95" s="13" t="str">
        <f>IFERROR(__xludf.DUMMYFUNCTION("""COMPUTED_VALUE"""),"Myrtle Beach")</f>
        <v>Myrtle Beach</v>
      </c>
      <c r="D95" s="13" t="str">
        <f>IFERROR(__xludf.DUMMYFUNCTION("""COMPUTED_VALUE"""),"SC")</f>
        <v>SC</v>
      </c>
      <c r="E95" s="13" t="str">
        <f>IFERROR(__xludf.DUMMYFUNCTION("""COMPUTED_VALUE"""),"USA")</f>
        <v>USA</v>
      </c>
      <c r="F95" s="13" t="str">
        <f>IFERROR(__xludf.DUMMYFUNCTION("""COMPUTED_VALUE"""),"Womens Doubles")</f>
        <v>Womens Doubles</v>
      </c>
      <c r="G95" s="13" t="str">
        <f>IFERROR(__xludf.DUMMYFUNCTION("""COMPUTED_VALUE"""),"1st")</f>
        <v>1st</v>
      </c>
      <c r="H95" s="13" t="str">
        <f>IFERROR(__xludf.DUMMYFUNCTION("""COMPUTED_VALUE"""),"SC Regional 33")</f>
        <v>SC Regional 33</v>
      </c>
      <c r="I95" s="15">
        <f>IFERROR(__xludf.DUMMYFUNCTION("""COMPUTED_VALUE"""),43252.0)</f>
        <v>43252</v>
      </c>
      <c r="J95" s="15">
        <f>IFERROR(__xludf.DUMMYFUNCTION("""COMPUTED_VALUE"""),44348.0)</f>
        <v>44348</v>
      </c>
      <c r="K95" s="11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9" t="str">
        <f>IFERROR(__xludf.DUMMYFUNCTION("""COMPUTED_VALUE"""),"Erdenechimeg")</f>
        <v>Erdenechimeg</v>
      </c>
      <c r="B96" s="8" t="str">
        <f>IFERROR(__xludf.DUMMYFUNCTION("""COMPUTED_VALUE"""),"Dondov")</f>
        <v>Dondov</v>
      </c>
      <c r="C96" s="8" t="str">
        <f>IFERROR(__xludf.DUMMYFUNCTION("""COMPUTED_VALUE"""),"")</f>
        <v/>
      </c>
      <c r="D96" s="8" t="str">
        <f>IFERROR(__xludf.DUMMYFUNCTION("""COMPUTED_VALUE"""),"")</f>
        <v/>
      </c>
      <c r="E96" s="8" t="str">
        <f>IFERROR(__xludf.DUMMYFUNCTION("""COMPUTED_VALUE"""),"Mongolia")</f>
        <v>Mongolia</v>
      </c>
      <c r="F96" s="8" t="str">
        <f>IFERROR(__xludf.DUMMYFUNCTION("""COMPUTED_VALUE"""),"Top Gun B Singles")</f>
        <v>Top Gun B Singles</v>
      </c>
      <c r="G96" s="8" t="str">
        <f>IFERROR(__xludf.DUMMYFUNCTION("""COMPUTED_VALUE"""),"3rd")</f>
        <v>3rd</v>
      </c>
      <c r="H96" s="8" t="str">
        <f>IFERROR(__xludf.DUMMYFUNCTION("""COMPUTED_VALUE"""),"BS 33 Finals")</f>
        <v>BS 33 Finals</v>
      </c>
      <c r="I96" s="10">
        <f>IFERROR(__xludf.DUMMYFUNCTION("""COMPUTED_VALUE"""),43252.0)</f>
        <v>43252</v>
      </c>
      <c r="J96" s="10">
        <f>IFERROR(__xludf.DUMMYFUNCTION("""COMPUTED_VALUE"""),44348.0)</f>
        <v>44348</v>
      </c>
      <c r="K96" s="11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9" t="str">
        <f>IFERROR(__xludf.DUMMYFUNCTION("""COMPUTED_VALUE"""),"Evans")</f>
        <v>Evans</v>
      </c>
      <c r="B97" s="8" t="str">
        <f>IFERROR(__xludf.DUMMYFUNCTION("""COMPUTED_VALUE"""),"Stephanie")</f>
        <v>Stephanie</v>
      </c>
      <c r="C97" s="8" t="str">
        <f>IFERROR(__xludf.DUMMYFUNCTION("""COMPUTED_VALUE"""),"Winter Haven")</f>
        <v>Winter Haven</v>
      </c>
      <c r="D97" s="8" t="str">
        <f>IFERROR(__xludf.DUMMYFUNCTION("""COMPUTED_VALUE"""),"FL")</f>
        <v>FL</v>
      </c>
      <c r="E97" s="8" t="str">
        <f>IFERROR(__xludf.DUMMYFUNCTION("""COMPUTED_VALUE"""),"USA")</f>
        <v>USA</v>
      </c>
      <c r="F97" s="8" t="str">
        <f>IFERROR(__xludf.DUMMYFUNCTION("""COMPUTED_VALUE"""),"Womens Dbls Combo")</f>
        <v>Womens Dbls Combo</v>
      </c>
      <c r="G97" s="8" t="str">
        <f>IFERROR(__xludf.DUMMYFUNCTION("""COMPUTED_VALUE"""),"3rd")</f>
        <v>3rd</v>
      </c>
      <c r="H97" s="8" t="str">
        <f>IFERROR(__xludf.DUMMYFUNCTION("""COMPUTED_VALUE"""),"GA Regional 32")</f>
        <v>GA Regional 32</v>
      </c>
      <c r="I97" s="10">
        <f>IFERROR(__xludf.DUMMYFUNCTION("""COMPUTED_VALUE"""),42887.0)</f>
        <v>42887</v>
      </c>
      <c r="J97" s="10">
        <f>IFERROR(__xludf.DUMMYFUNCTION("""COMPUTED_VALUE"""),43983.0)</f>
        <v>43983</v>
      </c>
      <c r="K97" s="11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9" t="str">
        <f>IFERROR(__xludf.DUMMYFUNCTION("""COMPUTED_VALUE"""),"Fajardo")</f>
        <v>Fajardo</v>
      </c>
      <c r="B98" s="8" t="str">
        <f>IFERROR(__xludf.DUMMYFUNCTION("""COMPUTED_VALUE"""),"Almudena")</f>
        <v>Almudena</v>
      </c>
      <c r="C98" s="8" t="str">
        <f>IFERROR(__xludf.DUMMYFUNCTION("""COMPUTED_VALUE"""),"")</f>
        <v/>
      </c>
      <c r="D98" s="8" t="str">
        <f>IFERROR(__xludf.DUMMYFUNCTION("""COMPUTED_VALUE"""),"")</f>
        <v/>
      </c>
      <c r="E98" s="8" t="str">
        <f>IFERROR(__xludf.DUMMYFUNCTION("""COMPUTED_VALUE"""),"DENMARK")</f>
        <v>DENMARK</v>
      </c>
      <c r="F98" s="8" t="str">
        <f>IFERROR(__xludf.DUMMYFUNCTION("""COMPUTED_VALUE"""),"TopGun Women B Singles")</f>
        <v>TopGun Women B Singles</v>
      </c>
      <c r="G98" s="8" t="str">
        <f>IFERROR(__xludf.DUMMYFUNCTION("""COMPUTED_VALUE"""),"1st")</f>
        <v>1st</v>
      </c>
      <c r="H98" s="8" t="str">
        <f>IFERROR(__xludf.DUMMYFUNCTION("""COMPUTED_VALUE"""),"BullShooter 34 Finals")</f>
        <v>BullShooter 34 Finals</v>
      </c>
      <c r="I98" s="10">
        <f>IFERROR(__xludf.DUMMYFUNCTION("""COMPUTED_VALUE"""),43617.0)</f>
        <v>43617</v>
      </c>
      <c r="J98" s="10">
        <f>IFERROR(__xludf.DUMMYFUNCTION("""COMPUTED_VALUE"""),44713.0)</f>
        <v>44713</v>
      </c>
      <c r="K98" s="11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9" t="str">
        <f>IFERROR(__xludf.DUMMYFUNCTION("""COMPUTED_VALUE"""),"Fasick")</f>
        <v>Fasick</v>
      </c>
      <c r="B99" s="8" t="str">
        <f>IFERROR(__xludf.DUMMYFUNCTION("""COMPUTED_VALUE"""),"Tracy")</f>
        <v>Tracy</v>
      </c>
      <c r="C99" s="8" t="str">
        <f>IFERROR(__xludf.DUMMYFUNCTION("""COMPUTED_VALUE"""),"Racine")</f>
        <v>Racine</v>
      </c>
      <c r="D99" s="8" t="str">
        <f>IFERROR(__xludf.DUMMYFUNCTION("""COMPUTED_VALUE"""),"WI")</f>
        <v>WI</v>
      </c>
      <c r="E99" s="8" t="str">
        <f>IFERROR(__xludf.DUMMYFUNCTION("""COMPUTED_VALUE"""),"USA")</f>
        <v>USA</v>
      </c>
      <c r="F99" s="8" t="str">
        <f>IFERROR(__xludf.DUMMYFUNCTION("""COMPUTED_VALUE"""),"Womens B Cricket Dbls")</f>
        <v>Womens B Cricket Dbls</v>
      </c>
      <c r="G99" s="8" t="str">
        <f>IFERROR(__xludf.DUMMYFUNCTION("""COMPUTED_VALUE"""),"1st")</f>
        <v>1st</v>
      </c>
      <c r="H99" s="8" t="str">
        <f>IFERROR(__xludf.DUMMYFUNCTION("""COMPUTED_VALUE"""),"BullShooter 32")</f>
        <v>BullShooter 32</v>
      </c>
      <c r="I99" s="10">
        <f>IFERROR(__xludf.DUMMYFUNCTION("""COMPUTED_VALUE"""),42887.0)</f>
        <v>42887</v>
      </c>
      <c r="J99" s="10">
        <f>IFERROR(__xludf.DUMMYFUNCTION("""COMPUTED_VALUE"""),43983.0)</f>
        <v>43983</v>
      </c>
      <c r="K99" s="11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9" t="str">
        <f>IFERROR(__xludf.DUMMYFUNCTION("""COMPUTED_VALUE"""),"Flood")</f>
        <v>Flood</v>
      </c>
      <c r="B100" s="8" t="str">
        <f>IFERROR(__xludf.DUMMYFUNCTION("""COMPUTED_VALUE"""),"Laura")</f>
        <v>Laura</v>
      </c>
      <c r="C100" s="8" t="str">
        <f>IFERROR(__xludf.DUMMYFUNCTION("""COMPUTED_VALUE"""),"Scottsville")</f>
        <v>Scottsville</v>
      </c>
      <c r="D100" s="8" t="str">
        <f>IFERROR(__xludf.DUMMYFUNCTION("""COMPUTED_VALUE"""),"NY")</f>
        <v>NY</v>
      </c>
      <c r="E100" s="8" t="str">
        <f>IFERROR(__xludf.DUMMYFUNCTION("""COMPUTED_VALUE"""),"USA")</f>
        <v>USA</v>
      </c>
      <c r="F100" s="8" t="str">
        <f>IFERROR(__xludf.DUMMYFUNCTION("""COMPUTED_VALUE"""),"Womens Doubles Combo")</f>
        <v>Womens Doubles Combo</v>
      </c>
      <c r="G100" s="8" t="str">
        <f>IFERROR(__xludf.DUMMYFUNCTION("""COMPUTED_VALUE"""),"2nd")</f>
        <v>2nd</v>
      </c>
      <c r="H100" s="8" t="str">
        <f>IFERROR(__xludf.DUMMYFUNCTION("""COMPUTED_VALUE"""),"NY Regional 32")</f>
        <v>NY Regional 32</v>
      </c>
      <c r="I100" s="10">
        <f>IFERROR(__xludf.DUMMYFUNCTION("""COMPUTED_VALUE"""),42887.0)</f>
        <v>42887</v>
      </c>
      <c r="J100" s="10">
        <f>IFERROR(__xludf.DUMMYFUNCTION("""COMPUTED_VALUE"""),43983.0)</f>
        <v>43983</v>
      </c>
      <c r="K100" s="1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9" t="str">
        <f>IFERROR(__xludf.DUMMYFUNCTION("""COMPUTED_VALUE"""),"Flood")</f>
        <v>Flood</v>
      </c>
      <c r="B101" s="8" t="str">
        <f>IFERROR(__xludf.DUMMYFUNCTION("""COMPUTED_VALUE"""),"Phyllis")</f>
        <v>Phyllis</v>
      </c>
      <c r="C101" s="8" t="str">
        <f>IFERROR(__xludf.DUMMYFUNCTION("""COMPUTED_VALUE"""),"Hector")</f>
        <v>Hector</v>
      </c>
      <c r="D101" s="8" t="str">
        <f>IFERROR(__xludf.DUMMYFUNCTION("""COMPUTED_VALUE"""),"NY")</f>
        <v>NY</v>
      </c>
      <c r="E101" s="8" t="str">
        <f>IFERROR(__xludf.DUMMYFUNCTION("""COMPUTED_VALUE"""),"USA")</f>
        <v>USA</v>
      </c>
      <c r="F101" s="8" t="str">
        <f>IFERROR(__xludf.DUMMYFUNCTION("""COMPUTED_VALUE"""),"Womens Doubles Combo")</f>
        <v>Womens Doubles Combo</v>
      </c>
      <c r="G101" s="8" t="str">
        <f>IFERROR(__xludf.DUMMYFUNCTION("""COMPUTED_VALUE"""),"2nd")</f>
        <v>2nd</v>
      </c>
      <c r="H101" s="8" t="str">
        <f>IFERROR(__xludf.DUMMYFUNCTION("""COMPUTED_VALUE"""),"NY Regional 32")</f>
        <v>NY Regional 32</v>
      </c>
      <c r="I101" s="10">
        <f>IFERROR(__xludf.DUMMYFUNCTION("""COMPUTED_VALUE"""),42887.0)</f>
        <v>42887</v>
      </c>
      <c r="J101" s="10">
        <f>IFERROR(__xludf.DUMMYFUNCTION("""COMPUTED_VALUE"""),43983.0)</f>
        <v>43983</v>
      </c>
      <c r="K101" s="1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9" t="str">
        <f>IFERROR(__xludf.DUMMYFUNCTION("""COMPUTED_VALUE"""),"Flores")</f>
        <v>Flores</v>
      </c>
      <c r="B102" s="8" t="str">
        <f>IFERROR(__xludf.DUMMYFUNCTION("""COMPUTED_VALUE"""),"Gretel")</f>
        <v>Gretel</v>
      </c>
      <c r="C102" s="8" t="str">
        <f>IFERROR(__xludf.DUMMYFUNCTION("""COMPUTED_VALUE"""),"San Bruno")</f>
        <v>San Bruno</v>
      </c>
      <c r="D102" s="8" t="str">
        <f>IFERROR(__xludf.DUMMYFUNCTION("""COMPUTED_VALUE"""),"CA")</f>
        <v>CA</v>
      </c>
      <c r="E102" s="8" t="str">
        <f>IFERROR(__xludf.DUMMYFUNCTION("""COMPUTED_VALUE"""),"USA")</f>
        <v>USA</v>
      </c>
      <c r="F102" s="8" t="str">
        <f>IFERROR(__xludf.DUMMYFUNCTION("""COMPUTED_VALUE"""),"Womens Doubles")</f>
        <v>Womens Doubles</v>
      </c>
      <c r="G102" s="8" t="str">
        <f>IFERROR(__xludf.DUMMYFUNCTION("""COMPUTED_VALUE"""),"2nd")</f>
        <v>2nd</v>
      </c>
      <c r="H102" s="8" t="str">
        <f>IFERROR(__xludf.DUMMYFUNCTION("""COMPUTED_VALUE"""),"CA Regional 33")</f>
        <v>CA Regional 33</v>
      </c>
      <c r="I102" s="10">
        <f>IFERROR(__xludf.DUMMYFUNCTION("""COMPUTED_VALUE"""),42522.0)</f>
        <v>42522</v>
      </c>
      <c r="J102" s="10">
        <f>IFERROR(__xludf.DUMMYFUNCTION("""COMPUTED_VALUE"""),44348.0)</f>
        <v>44348</v>
      </c>
      <c r="K102" s="1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9" t="str">
        <f>IFERROR(__xludf.DUMMYFUNCTION("""COMPUTED_VALUE"""),"Forbes")</f>
        <v>Forbes</v>
      </c>
      <c r="B103" s="8" t="str">
        <f>IFERROR(__xludf.DUMMYFUNCTION("""COMPUTED_VALUE"""),"Rebecca")</f>
        <v>Rebecca</v>
      </c>
      <c r="C103" s="8" t="str">
        <f>IFERROR(__xludf.DUMMYFUNCTION("""COMPUTED_VALUE"""),"Bay City")</f>
        <v>Bay City</v>
      </c>
      <c r="D103" s="8" t="str">
        <f>IFERROR(__xludf.DUMMYFUNCTION("""COMPUTED_VALUE"""),"MI")</f>
        <v>MI</v>
      </c>
      <c r="E103" s="8" t="str">
        <f>IFERROR(__xludf.DUMMYFUNCTION("""COMPUTED_VALUE"""),"USA")</f>
        <v>USA</v>
      </c>
      <c r="F103" s="8" t="str">
        <f>IFERROR(__xludf.DUMMYFUNCTION("""COMPUTED_VALUE"""),"Womens B Doubles")</f>
        <v>Womens B Doubles</v>
      </c>
      <c r="G103" s="8" t="str">
        <f>IFERROR(__xludf.DUMMYFUNCTION("""COMPUTED_VALUE"""),"1st")</f>
        <v>1st</v>
      </c>
      <c r="H103" s="8" t="str">
        <f>IFERROR(__xludf.DUMMYFUNCTION("""COMPUTED_VALUE"""),"BullShooter 32")</f>
        <v>BullShooter 32</v>
      </c>
      <c r="I103" s="10">
        <f>IFERROR(__xludf.DUMMYFUNCTION("""COMPUTED_VALUE"""),42887.0)</f>
        <v>42887</v>
      </c>
      <c r="J103" s="10">
        <f>IFERROR(__xludf.DUMMYFUNCTION("""COMPUTED_VALUE"""),43983.0)</f>
        <v>43983</v>
      </c>
      <c r="K103" s="1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9" t="str">
        <f>IFERROR(__xludf.DUMMYFUNCTION("""COMPUTED_VALUE"""),"Foster")</f>
        <v>Foster</v>
      </c>
      <c r="B104" s="8" t="str">
        <f>IFERROR(__xludf.DUMMYFUNCTION("""COMPUTED_VALUE"""),"Tabitha")</f>
        <v>Tabitha</v>
      </c>
      <c r="C104" s="8" t="str">
        <f>IFERROR(__xludf.DUMMYFUNCTION("""COMPUTED_VALUE"""),"Knoxville")</f>
        <v>Knoxville</v>
      </c>
      <c r="D104" s="8" t="str">
        <f>IFERROR(__xludf.DUMMYFUNCTION("""COMPUTED_VALUE"""),"TN")</f>
        <v>TN</v>
      </c>
      <c r="E104" s="8" t="str">
        <f>IFERROR(__xludf.DUMMYFUNCTION("""COMPUTED_VALUE"""),"USA")</f>
        <v>USA</v>
      </c>
      <c r="F104" s="8" t="str">
        <f>IFERROR(__xludf.DUMMYFUNCTION("""COMPUTED_VALUE"""),"Womens Doubles")</f>
        <v>Womens Doubles</v>
      </c>
      <c r="G104" s="8" t="str">
        <f>IFERROR(__xludf.DUMMYFUNCTION("""COMPUTED_VALUE"""),"3rd")</f>
        <v>3rd</v>
      </c>
      <c r="H104" s="8" t="str">
        <f>IFERROR(__xludf.DUMMYFUNCTION("""COMPUTED_VALUE"""),"TN Regional 33")</f>
        <v>TN Regional 33</v>
      </c>
      <c r="I104" s="10">
        <f>IFERROR(__xludf.DUMMYFUNCTION("""COMPUTED_VALUE"""),42156.0)</f>
        <v>42156</v>
      </c>
      <c r="J104" s="10">
        <f>IFERROR(__xludf.DUMMYFUNCTION("""COMPUTED_VALUE"""),44348.0)</f>
        <v>44348</v>
      </c>
      <c r="K104" s="1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9" t="str">
        <f>IFERROR(__xludf.DUMMYFUNCTION("""COMPUTED_VALUE"""),"Frakine")</f>
        <v>Frakine</v>
      </c>
      <c r="B105" s="8" t="str">
        <f>IFERROR(__xludf.DUMMYFUNCTION("""COMPUTED_VALUE"""),"Toni")</f>
        <v>Toni</v>
      </c>
      <c r="C105" s="8" t="str">
        <f>IFERROR(__xludf.DUMMYFUNCTION("""COMPUTED_VALUE"""),"Carmel")</f>
        <v>Carmel</v>
      </c>
      <c r="D105" s="8" t="str">
        <f>IFERROR(__xludf.DUMMYFUNCTION("""COMPUTED_VALUE"""),"IN")</f>
        <v>IN</v>
      </c>
      <c r="E105" s="8" t="str">
        <f>IFERROR(__xludf.DUMMYFUNCTION("""COMPUTED_VALUE"""),"USA")</f>
        <v>USA</v>
      </c>
      <c r="F105" s="8" t="str">
        <f>IFERROR(__xludf.DUMMYFUNCTION("""COMPUTED_VALUE"""),"Womens Dbls Combo")</f>
        <v>Womens Dbls Combo</v>
      </c>
      <c r="G105" s="8" t="str">
        <f>IFERROR(__xludf.DUMMYFUNCTION("""COMPUTED_VALUE"""),"3rd")</f>
        <v>3rd</v>
      </c>
      <c r="H105" s="8" t="str">
        <f>IFERROR(__xludf.DUMMYFUNCTION("""COMPUTED_VALUE"""),"IN Regional 32")</f>
        <v>IN Regional 32</v>
      </c>
      <c r="I105" s="10">
        <f>IFERROR(__xludf.DUMMYFUNCTION("""COMPUTED_VALUE"""),42887.0)</f>
        <v>42887</v>
      </c>
      <c r="J105" s="10">
        <f>IFERROR(__xludf.DUMMYFUNCTION("""COMPUTED_VALUE"""),43983.0)</f>
        <v>43983</v>
      </c>
      <c r="K105" s="1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9" t="str">
        <f>IFERROR(__xludf.DUMMYFUNCTION("""COMPUTED_VALUE"""),"Frank")</f>
        <v>Frank</v>
      </c>
      <c r="B106" s="8" t="str">
        <f>IFERROR(__xludf.DUMMYFUNCTION("""COMPUTED_VALUE"""),"Sally")</f>
        <v>Sally</v>
      </c>
      <c r="C106" s="8" t="str">
        <f>IFERROR(__xludf.DUMMYFUNCTION("""COMPUTED_VALUE"""),"Indianapolis")</f>
        <v>Indianapolis</v>
      </c>
      <c r="D106" s="8" t="str">
        <f>IFERROR(__xludf.DUMMYFUNCTION("""COMPUTED_VALUE"""),"IN")</f>
        <v>IN</v>
      </c>
      <c r="E106" s="8" t="str">
        <f>IFERROR(__xludf.DUMMYFUNCTION("""COMPUTED_VALUE"""),"USA")</f>
        <v>USA</v>
      </c>
      <c r="F106" s="8" t="str">
        <f>IFERROR(__xludf.DUMMYFUNCTION("""COMPUTED_VALUE"""),"Womens Doubles")</f>
        <v>Womens Doubles</v>
      </c>
      <c r="G106" s="8" t="str">
        <f>IFERROR(__xludf.DUMMYFUNCTION("""COMPUTED_VALUE"""),"1st")</f>
        <v>1st</v>
      </c>
      <c r="H106" s="8" t="str">
        <f>IFERROR(__xludf.DUMMYFUNCTION("""COMPUTED_VALUE"""),"IN Regional 33")</f>
        <v>IN Regional 33</v>
      </c>
      <c r="I106" s="10">
        <f>IFERROR(__xludf.DUMMYFUNCTION("""COMPUTED_VALUE"""),42156.0)</f>
        <v>42156</v>
      </c>
      <c r="J106" s="10">
        <f>IFERROR(__xludf.DUMMYFUNCTION("""COMPUTED_VALUE"""),44348.0)</f>
        <v>44348</v>
      </c>
      <c r="K106" s="1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9" t="str">
        <f>IFERROR(__xludf.DUMMYFUNCTION("""COMPUTED_VALUE"""),"Frost-Womack")</f>
        <v>Frost-Womack</v>
      </c>
      <c r="B107" s="8" t="str">
        <f>IFERROR(__xludf.DUMMYFUNCTION("""COMPUTED_VALUE"""),"Stephanie")</f>
        <v>Stephanie</v>
      </c>
      <c r="C107" s="8" t="str">
        <f>IFERROR(__xludf.DUMMYFUNCTION("""COMPUTED_VALUE"""),"Dalzell")</f>
        <v>Dalzell</v>
      </c>
      <c r="D107" s="8" t="str">
        <f>IFERROR(__xludf.DUMMYFUNCTION("""COMPUTED_VALUE"""),"SC")</f>
        <v>SC</v>
      </c>
      <c r="E107" s="8" t="str">
        <f>IFERROR(__xludf.DUMMYFUNCTION("""COMPUTED_VALUE"""),"USA")</f>
        <v>USA</v>
      </c>
      <c r="F107" s="8" t="str">
        <f>IFERROR(__xludf.DUMMYFUNCTION("""COMPUTED_VALUE"""),"Women Combo Doubles")</f>
        <v>Women Combo Doubles</v>
      </c>
      <c r="G107" s="8" t="str">
        <f>IFERROR(__xludf.DUMMYFUNCTION("""COMPUTED_VALUE"""),"3rd")</f>
        <v>3rd</v>
      </c>
      <c r="H107" s="8" t="str">
        <f>IFERROR(__xludf.DUMMYFUNCTION("""COMPUTED_VALUE"""),"South Carolina BS 34")</f>
        <v>South Carolina BS 34</v>
      </c>
      <c r="I107" s="10">
        <f>IFERROR(__xludf.DUMMYFUNCTION("""COMPUTED_VALUE"""),43617.0)</f>
        <v>43617</v>
      </c>
      <c r="J107" s="10">
        <f>IFERROR(__xludf.DUMMYFUNCTION("""COMPUTED_VALUE"""),44713.0)</f>
        <v>44713</v>
      </c>
      <c r="K107" s="1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9" t="str">
        <f>IFERROR(__xludf.DUMMYFUNCTION("""COMPUTED_VALUE"""),"Fuentes")</f>
        <v>Fuentes</v>
      </c>
      <c r="B108" s="8" t="str">
        <f>IFERROR(__xludf.DUMMYFUNCTION("""COMPUTED_VALUE"""),"Margarita")</f>
        <v>Margarita</v>
      </c>
      <c r="C108" s="8" t="str">
        <f>IFERROR(__xludf.DUMMYFUNCTION("""COMPUTED_VALUE"""),"Orlando")</f>
        <v>Orlando</v>
      </c>
      <c r="D108" s="8" t="str">
        <f>IFERROR(__xludf.DUMMYFUNCTION("""COMPUTED_VALUE"""),"FL")</f>
        <v>FL</v>
      </c>
      <c r="E108" s="8" t="str">
        <f>IFERROR(__xludf.DUMMYFUNCTION("""COMPUTED_VALUE"""),"USA")</f>
        <v>USA</v>
      </c>
      <c r="F108" s="8" t="str">
        <f>IFERROR(__xludf.DUMMYFUNCTION("""COMPUTED_VALUE"""),"Women 301 Doubles")</f>
        <v>Women 301 Doubles</v>
      </c>
      <c r="G108" s="8" t="str">
        <f>IFERROR(__xludf.DUMMYFUNCTION("""COMPUTED_VALUE"""),"3rd")</f>
        <v>3rd</v>
      </c>
      <c r="H108" s="8" t="str">
        <f>IFERROR(__xludf.DUMMYFUNCTION("""COMPUTED_VALUE"""),"Florida BS 34")</f>
        <v>Florida BS 34</v>
      </c>
      <c r="I108" s="10">
        <f>IFERROR(__xludf.DUMMYFUNCTION("""COMPUTED_VALUE"""),43617.0)</f>
        <v>43617</v>
      </c>
      <c r="J108" s="10">
        <f>IFERROR(__xludf.DUMMYFUNCTION("""COMPUTED_VALUE"""),44713.0)</f>
        <v>44713</v>
      </c>
      <c r="K108" s="1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9" t="str">
        <f>IFERROR(__xludf.DUMMYFUNCTION("""COMPUTED_VALUE"""),"Funk")</f>
        <v>Funk</v>
      </c>
      <c r="B109" s="8" t="str">
        <f>IFERROR(__xludf.DUMMYFUNCTION("""COMPUTED_VALUE"""),"Kimberley")</f>
        <v>Kimberley</v>
      </c>
      <c r="C109" s="8" t="str">
        <f>IFERROR(__xludf.DUMMYFUNCTION("""COMPUTED_VALUE"""),"Burlison")</f>
        <v>Burlison</v>
      </c>
      <c r="D109" s="8" t="str">
        <f>IFERROR(__xludf.DUMMYFUNCTION("""COMPUTED_VALUE"""),"TN")</f>
        <v>TN</v>
      </c>
      <c r="E109" s="8" t="str">
        <f>IFERROR(__xludf.DUMMYFUNCTION("""COMPUTED_VALUE"""),"USA")</f>
        <v>USA</v>
      </c>
      <c r="F109" s="8" t="str">
        <f>IFERROR(__xludf.DUMMYFUNCTION("""COMPUTED_VALUE"""),"Womens Dbles Combo")</f>
        <v>Womens Dbles Combo</v>
      </c>
      <c r="G109" s="8" t="str">
        <f>IFERROR(__xludf.DUMMYFUNCTION("""COMPUTED_VALUE"""),"2nd")</f>
        <v>2nd</v>
      </c>
      <c r="H109" s="8" t="str">
        <f>IFERROR(__xludf.DUMMYFUNCTION("""COMPUTED_VALUE"""),"TN Regional 32")</f>
        <v>TN Regional 32</v>
      </c>
      <c r="I109" s="10">
        <f>IFERROR(__xludf.DUMMYFUNCTION("""COMPUTED_VALUE"""),42887.0)</f>
        <v>42887</v>
      </c>
      <c r="J109" s="10">
        <f>IFERROR(__xludf.DUMMYFUNCTION("""COMPUTED_VALUE"""),43983.0)</f>
        <v>43983</v>
      </c>
      <c r="K109" s="11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9" t="str">
        <f>IFERROR(__xludf.DUMMYFUNCTION("""COMPUTED_VALUE"""),"Gainer")</f>
        <v>Gainer</v>
      </c>
      <c r="B110" s="8" t="str">
        <f>IFERROR(__xludf.DUMMYFUNCTION("""COMPUTED_VALUE"""),"Brandy")</f>
        <v>Brandy</v>
      </c>
      <c r="C110" s="8" t="str">
        <f>IFERROR(__xludf.DUMMYFUNCTION("""COMPUTED_VALUE"""),"Yukon")</f>
        <v>Yukon</v>
      </c>
      <c r="D110" s="8" t="str">
        <f>IFERROR(__xludf.DUMMYFUNCTION("""COMPUTED_VALUE"""),"OK")</f>
        <v>OK</v>
      </c>
      <c r="E110" s="8" t="str">
        <f>IFERROR(__xludf.DUMMYFUNCTION("""COMPUTED_VALUE"""),"USA")</f>
        <v>USA</v>
      </c>
      <c r="F110" s="8" t="str">
        <f>IFERROR(__xludf.DUMMYFUNCTION("""COMPUTED_VALUE"""),"Womens B Combo Luck")</f>
        <v>Womens B Combo Luck</v>
      </c>
      <c r="G110" s="8" t="str">
        <f>IFERROR(__xludf.DUMMYFUNCTION("""COMPUTED_VALUE"""),"2nd")</f>
        <v>2nd</v>
      </c>
      <c r="H110" s="8" t="str">
        <f>IFERROR(__xludf.DUMMYFUNCTION("""COMPUTED_VALUE"""),"BullShooter 32")</f>
        <v>BullShooter 32</v>
      </c>
      <c r="I110" s="10">
        <f>IFERROR(__xludf.DUMMYFUNCTION("""COMPUTED_VALUE"""),42887.0)</f>
        <v>42887</v>
      </c>
      <c r="J110" s="10">
        <f>IFERROR(__xludf.DUMMYFUNCTION("""COMPUTED_VALUE"""),43983.0)</f>
        <v>43983</v>
      </c>
      <c r="K110" s="11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9" t="str">
        <f>IFERROR(__xludf.DUMMYFUNCTION("""COMPUTED_VALUE"""),"Galford")</f>
        <v>Galford</v>
      </c>
      <c r="B111" s="8" t="str">
        <f>IFERROR(__xludf.DUMMYFUNCTION("""COMPUTED_VALUE"""),"Teri")</f>
        <v>Teri</v>
      </c>
      <c r="C111" s="8" t="str">
        <f>IFERROR(__xludf.DUMMYFUNCTION("""COMPUTED_VALUE"""),"Hernando")</f>
        <v>Hernando</v>
      </c>
      <c r="D111" s="8" t="str">
        <f>IFERROR(__xludf.DUMMYFUNCTION("""COMPUTED_VALUE"""),"FL")</f>
        <v>FL</v>
      </c>
      <c r="E111" s="8" t="str">
        <f>IFERROR(__xludf.DUMMYFUNCTION("""COMPUTED_VALUE"""),"USA")</f>
        <v>USA</v>
      </c>
      <c r="F111" s="8" t="str">
        <f>IFERROR(__xludf.DUMMYFUNCTION("""COMPUTED_VALUE"""),"Women Combo Singles")</f>
        <v>Women Combo Singles</v>
      </c>
      <c r="G111" s="8" t="str">
        <f>IFERROR(__xludf.DUMMYFUNCTION("""COMPUTED_VALUE"""),"2nd")</f>
        <v>2nd</v>
      </c>
      <c r="H111" s="8" t="str">
        <f>IFERROR(__xludf.DUMMYFUNCTION("""COMPUTED_VALUE"""),"Tennessee BS 34")</f>
        <v>Tennessee BS 34</v>
      </c>
      <c r="I111" s="10">
        <f>IFERROR(__xludf.DUMMYFUNCTION("""COMPUTED_VALUE"""),43617.0)</f>
        <v>43617</v>
      </c>
      <c r="J111" s="10">
        <f>IFERROR(__xludf.DUMMYFUNCTION("""COMPUTED_VALUE"""),44713.0)</f>
        <v>44713</v>
      </c>
      <c r="K111" s="11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9" t="str">
        <f>IFERROR(__xludf.DUMMYFUNCTION("""COMPUTED_VALUE"""),"Galley")</f>
        <v>Galley</v>
      </c>
      <c r="B112" s="8" t="str">
        <f>IFERROR(__xludf.DUMMYFUNCTION("""COMPUTED_VALUE"""),"Catherine")</f>
        <v>Catherine</v>
      </c>
      <c r="C112" s="8" t="str">
        <f>IFERROR(__xludf.DUMMYFUNCTION("""COMPUTED_VALUE"""),"Jeanette")</f>
        <v>Jeanette</v>
      </c>
      <c r="D112" s="8" t="str">
        <f>IFERROR(__xludf.DUMMYFUNCTION("""COMPUTED_VALUE"""),"PA")</f>
        <v>PA</v>
      </c>
      <c r="E112" s="8" t="str">
        <f>IFERROR(__xludf.DUMMYFUNCTION("""COMPUTED_VALUE"""),"USA")</f>
        <v>USA</v>
      </c>
      <c r="F112" s="8" t="str">
        <f>IFERROR(__xludf.DUMMYFUNCTION("""COMPUTED_VALUE"""),"Women Combo Singles")</f>
        <v>Women Combo Singles</v>
      </c>
      <c r="G112" s="8" t="str">
        <f>IFERROR(__xludf.DUMMYFUNCTION("""COMPUTED_VALUE"""),"3rd")</f>
        <v>3rd</v>
      </c>
      <c r="H112" s="8" t="str">
        <f>IFERROR(__xludf.DUMMYFUNCTION("""COMPUTED_VALUE"""),"Ohio BS 34")</f>
        <v>Ohio BS 34</v>
      </c>
      <c r="I112" s="10">
        <f>IFERROR(__xludf.DUMMYFUNCTION("""COMPUTED_VALUE"""),43617.0)</f>
        <v>43617</v>
      </c>
      <c r="J112" s="10">
        <f>IFERROR(__xludf.DUMMYFUNCTION("""COMPUTED_VALUE"""),44713.0)</f>
        <v>44713</v>
      </c>
      <c r="K112" s="11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9" t="str">
        <f>IFERROR(__xludf.DUMMYFUNCTION("""COMPUTED_VALUE"""),"Garcia")</f>
        <v>Garcia</v>
      </c>
      <c r="B113" s="8" t="str">
        <f>IFERROR(__xludf.DUMMYFUNCTION("""COMPUTED_VALUE"""),"Rebecca")</f>
        <v>Rebecca</v>
      </c>
      <c r="C113" s="8" t="str">
        <f>IFERROR(__xludf.DUMMYFUNCTION("""COMPUTED_VALUE"""),"Kingsville")</f>
        <v>Kingsville</v>
      </c>
      <c r="D113" s="8" t="str">
        <f>IFERROR(__xludf.DUMMYFUNCTION("""COMPUTED_VALUE"""),"TX")</f>
        <v>TX</v>
      </c>
      <c r="E113" s="8" t="str">
        <f>IFERROR(__xludf.DUMMYFUNCTION("""COMPUTED_VALUE"""),"USA")</f>
        <v>USA</v>
      </c>
      <c r="F113" s="8" t="str">
        <f>IFERROR(__xludf.DUMMYFUNCTION("""COMPUTED_VALUE"""),"Women 301 Doubles")</f>
        <v>Women 301 Doubles</v>
      </c>
      <c r="G113" s="8" t="str">
        <f>IFERROR(__xludf.DUMMYFUNCTION("""COMPUTED_VALUE"""),"2nd")</f>
        <v>2nd</v>
      </c>
      <c r="H113" s="8" t="str">
        <f>IFERROR(__xludf.DUMMYFUNCTION("""COMPUTED_VALUE"""),"Texas BS 34")</f>
        <v>Texas BS 34</v>
      </c>
      <c r="I113" s="10">
        <f>IFERROR(__xludf.DUMMYFUNCTION("""COMPUTED_VALUE"""),43617.0)</f>
        <v>43617</v>
      </c>
      <c r="J113" s="10">
        <f>IFERROR(__xludf.DUMMYFUNCTION("""COMPUTED_VALUE"""),44713.0)</f>
        <v>44713</v>
      </c>
      <c r="K113" s="11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9" t="str">
        <f>IFERROR(__xludf.DUMMYFUNCTION("""COMPUTED_VALUE"""),"Garrett")</f>
        <v>Garrett</v>
      </c>
      <c r="B114" s="8" t="str">
        <f>IFERROR(__xludf.DUMMYFUNCTION("""COMPUTED_VALUE"""),"Aleatha")</f>
        <v>Aleatha</v>
      </c>
      <c r="C114" s="8" t="str">
        <f>IFERROR(__xludf.DUMMYFUNCTION("""COMPUTED_VALUE"""),"Hamilton")</f>
        <v>Hamilton</v>
      </c>
      <c r="D114" s="8" t="str">
        <f>IFERROR(__xludf.DUMMYFUNCTION("""COMPUTED_VALUE"""),"OH")</f>
        <v>OH</v>
      </c>
      <c r="E114" s="8" t="str">
        <f>IFERROR(__xludf.DUMMYFUNCTION("""COMPUTED_VALUE"""),"USA")</f>
        <v>USA</v>
      </c>
      <c r="F114" s="8" t="str">
        <f>IFERROR(__xludf.DUMMYFUNCTION("""COMPUTED_VALUE"""),"Womens B Doubles")</f>
        <v>Womens B Doubles</v>
      </c>
      <c r="G114" s="8" t="str">
        <f>IFERROR(__xludf.DUMMYFUNCTION("""COMPUTED_VALUE"""),"4th")</f>
        <v>4th</v>
      </c>
      <c r="H114" s="8" t="str">
        <f>IFERROR(__xludf.DUMMYFUNCTION("""COMPUTED_VALUE"""),"BullShooter 32")</f>
        <v>BullShooter 32</v>
      </c>
      <c r="I114" s="10">
        <f>IFERROR(__xludf.DUMMYFUNCTION("""COMPUTED_VALUE"""),42887.0)</f>
        <v>42887</v>
      </c>
      <c r="J114" s="10">
        <f>IFERROR(__xludf.DUMMYFUNCTION("""COMPUTED_VALUE"""),43983.0)</f>
        <v>43983</v>
      </c>
      <c r="K114" s="1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9" t="str">
        <f>IFERROR(__xludf.DUMMYFUNCTION("""COMPUTED_VALUE"""),"Gem")</f>
        <v>Gem</v>
      </c>
      <c r="B115" s="8" t="str">
        <f>IFERROR(__xludf.DUMMYFUNCTION("""COMPUTED_VALUE"""),"Denise")</f>
        <v>Denise</v>
      </c>
      <c r="C115" s="8" t="str">
        <f>IFERROR(__xludf.DUMMYFUNCTION("""COMPUTED_VALUE"""),"Hermitage")</f>
        <v>Hermitage</v>
      </c>
      <c r="D115" s="8" t="str">
        <f>IFERROR(__xludf.DUMMYFUNCTION("""COMPUTED_VALUE"""),"PA")</f>
        <v>PA</v>
      </c>
      <c r="E115" s="8" t="str">
        <f>IFERROR(__xludf.DUMMYFUNCTION("""COMPUTED_VALUE"""),"USA")</f>
        <v>USA</v>
      </c>
      <c r="F115" s="8" t="str">
        <f>IFERROR(__xludf.DUMMYFUNCTION("""COMPUTED_VALUE"""),"Womens Singles")</f>
        <v>Womens Singles</v>
      </c>
      <c r="G115" s="8" t="str">
        <f>IFERROR(__xludf.DUMMYFUNCTION("""COMPUTED_VALUE"""),"2nd")</f>
        <v>2nd</v>
      </c>
      <c r="H115" s="8" t="str">
        <f>IFERROR(__xludf.DUMMYFUNCTION("""COMPUTED_VALUE"""),"PA Regional 32")</f>
        <v>PA Regional 32</v>
      </c>
      <c r="I115" s="10">
        <f>IFERROR(__xludf.DUMMYFUNCTION("""COMPUTED_VALUE"""),42887.0)</f>
        <v>42887</v>
      </c>
      <c r="J115" s="10">
        <f>IFERROR(__xludf.DUMMYFUNCTION("""COMPUTED_VALUE"""),43983.0)</f>
        <v>43983</v>
      </c>
      <c r="K115" s="11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9" t="str">
        <f>IFERROR(__xludf.DUMMYFUNCTION("""COMPUTED_VALUE"""),"George")</f>
        <v>George</v>
      </c>
      <c r="B116" s="8" t="str">
        <f>IFERROR(__xludf.DUMMYFUNCTION("""COMPUTED_VALUE"""),"Erin")</f>
        <v>Erin</v>
      </c>
      <c r="C116" s="8" t="str">
        <f>IFERROR(__xludf.DUMMYFUNCTION("""COMPUTED_VALUE"""),"Kenosha")</f>
        <v>Kenosha</v>
      </c>
      <c r="D116" s="8" t="str">
        <f>IFERROR(__xludf.DUMMYFUNCTION("""COMPUTED_VALUE"""),"WI")</f>
        <v>WI</v>
      </c>
      <c r="E116" s="8" t="str">
        <f>IFERROR(__xludf.DUMMYFUNCTION("""COMPUTED_VALUE"""),"USA")</f>
        <v>USA</v>
      </c>
      <c r="F116" s="8" t="str">
        <f>IFERROR(__xludf.DUMMYFUNCTION("""COMPUTED_VALUE"""),"Women B Combo Luck")</f>
        <v>Women B Combo Luck</v>
      </c>
      <c r="G116" s="8" t="str">
        <f>IFERROR(__xludf.DUMMYFUNCTION("""COMPUTED_VALUE"""),"3rd")</f>
        <v>3rd</v>
      </c>
      <c r="H116" s="8" t="str">
        <f>IFERROR(__xludf.DUMMYFUNCTION("""COMPUTED_VALUE"""),"BullShooter 34 Finals")</f>
        <v>BullShooter 34 Finals</v>
      </c>
      <c r="I116" s="10">
        <f>IFERROR(__xludf.DUMMYFUNCTION("""COMPUTED_VALUE"""),43617.0)</f>
        <v>43617</v>
      </c>
      <c r="J116" s="10">
        <f>IFERROR(__xludf.DUMMYFUNCTION("""COMPUTED_VALUE"""),44713.0)</f>
        <v>44713</v>
      </c>
      <c r="K116" s="11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9" t="str">
        <f>IFERROR(__xludf.DUMMYFUNCTION("""COMPUTED_VALUE"""),"Gil")</f>
        <v>Gil</v>
      </c>
      <c r="B117" s="8" t="str">
        <f>IFERROR(__xludf.DUMMYFUNCTION("""COMPUTED_VALUE"""),"Zelia")</f>
        <v>Zelia</v>
      </c>
      <c r="C117" s="8" t="str">
        <f>IFERROR(__xludf.DUMMYFUNCTION("""COMPUTED_VALUE"""),"")</f>
        <v/>
      </c>
      <c r="D117" s="8" t="str">
        <f>IFERROR(__xludf.DUMMYFUNCTION("""COMPUTED_VALUE"""),"")</f>
        <v/>
      </c>
      <c r="E117" s="8" t="str">
        <f>IFERROR(__xludf.DUMMYFUNCTION("""COMPUTED_VALUE"""),"Portugal")</f>
        <v>Portugal</v>
      </c>
      <c r="F117" s="8" t="str">
        <f>IFERROR(__xludf.DUMMYFUNCTION("""COMPUTED_VALUE"""),"Womens A 501 Singles")</f>
        <v>Womens A 501 Singles</v>
      </c>
      <c r="G117" s="8" t="str">
        <f>IFERROR(__xludf.DUMMYFUNCTION("""COMPUTED_VALUE"""),"1st")</f>
        <v>1st</v>
      </c>
      <c r="H117" s="8" t="str">
        <f>IFERROR(__xludf.DUMMYFUNCTION("""COMPUTED_VALUE"""),"Off AA List")</f>
        <v>Off AA List</v>
      </c>
      <c r="I117" s="10">
        <f>IFERROR(__xludf.DUMMYFUNCTION("""COMPUTED_VALUE"""),42887.0)</f>
        <v>42887</v>
      </c>
      <c r="J117" s="10">
        <f>IFERROR(__xludf.DUMMYFUNCTION("""COMPUTED_VALUE"""),43983.0)</f>
        <v>43983</v>
      </c>
      <c r="K117" s="11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9" t="str">
        <f>IFERROR(__xludf.DUMMYFUNCTION("""COMPUTED_VALUE"""),"Gilreath")</f>
        <v>Gilreath</v>
      </c>
      <c r="B118" s="8" t="str">
        <f>IFERROR(__xludf.DUMMYFUNCTION("""COMPUTED_VALUE"""),"Amberly")</f>
        <v>Amberly</v>
      </c>
      <c r="C118" s="8" t="str">
        <f>IFERROR(__xludf.DUMMYFUNCTION("""COMPUTED_VALUE"""),"Rockmart")</f>
        <v>Rockmart</v>
      </c>
      <c r="D118" s="8" t="str">
        <f>IFERROR(__xludf.DUMMYFUNCTION("""COMPUTED_VALUE"""),"GA")</f>
        <v>GA</v>
      </c>
      <c r="E118" s="8" t="str">
        <f>IFERROR(__xludf.DUMMYFUNCTION("""COMPUTED_VALUE"""),"USA")</f>
        <v>USA</v>
      </c>
      <c r="F118" s="8" t="str">
        <f>IFERROR(__xludf.DUMMYFUNCTION("""COMPUTED_VALUE"""),"Women Combo Singles")</f>
        <v>Women Combo Singles</v>
      </c>
      <c r="G118" s="8" t="str">
        <f>IFERROR(__xludf.DUMMYFUNCTION("""COMPUTED_VALUE"""),"1st")</f>
        <v>1st</v>
      </c>
      <c r="H118" s="8" t="str">
        <f>IFERROR(__xludf.DUMMYFUNCTION("""COMPUTED_VALUE"""),"Georgia BS 34")</f>
        <v>Georgia BS 34</v>
      </c>
      <c r="I118" s="10">
        <f>IFERROR(__xludf.DUMMYFUNCTION("""COMPUTED_VALUE"""),43617.0)</f>
        <v>43617</v>
      </c>
      <c r="J118" s="10">
        <f>IFERROR(__xludf.DUMMYFUNCTION("""COMPUTED_VALUE"""),44713.0)</f>
        <v>44713</v>
      </c>
      <c r="K118" s="11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9" t="str">
        <f>IFERROR(__xludf.DUMMYFUNCTION("""COMPUTED_VALUE"""),"Godsoe")</f>
        <v>Godsoe</v>
      </c>
      <c r="B119" s="8" t="str">
        <f>IFERROR(__xludf.DUMMYFUNCTION("""COMPUTED_VALUE"""),"Terry")</f>
        <v>Terry</v>
      </c>
      <c r="C119" s="8" t="str">
        <f>IFERROR(__xludf.DUMMYFUNCTION("""COMPUTED_VALUE"""),"")</f>
        <v/>
      </c>
      <c r="D119" s="8" t="str">
        <f>IFERROR(__xludf.DUMMYFUNCTION("""COMPUTED_VALUE"""),"UNK")</f>
        <v>UNK</v>
      </c>
      <c r="E119" s="8" t="str">
        <f>IFERROR(__xludf.DUMMYFUNCTION("""COMPUTED_VALUE"""),"USA")</f>
        <v>USA</v>
      </c>
      <c r="F119" s="8" t="str">
        <f>IFERROR(__xludf.DUMMYFUNCTION("""COMPUTED_VALUE"""),"ADO 2017")</f>
        <v>ADO 2017</v>
      </c>
      <c r="G119" s="8" t="str">
        <f>IFERROR(__xludf.DUMMYFUNCTION("""COMPUTED_VALUE"""),"20th")</f>
        <v>20th</v>
      </c>
      <c r="H119" s="8" t="str">
        <f>IFERROR(__xludf.DUMMYFUNCTION("""COMPUTED_VALUE"""),"ADO 2017")</f>
        <v>ADO 2017</v>
      </c>
      <c r="I119" s="10">
        <f>IFERROR(__xludf.DUMMYFUNCTION("""COMPUTED_VALUE"""),42765.0)</f>
        <v>42765</v>
      </c>
      <c r="J119" s="10">
        <f>IFERROR(__xludf.DUMMYFUNCTION("""COMPUTED_VALUE"""),43983.0)</f>
        <v>43983</v>
      </c>
      <c r="K119" s="11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9" t="str">
        <f>IFERROR(__xludf.DUMMYFUNCTION("""COMPUTED_VALUE"""),"Green")</f>
        <v>Green</v>
      </c>
      <c r="B120" s="8" t="str">
        <f>IFERROR(__xludf.DUMMYFUNCTION("""COMPUTED_VALUE"""),"Meghan")</f>
        <v>Meghan</v>
      </c>
      <c r="C120" s="8" t="str">
        <f>IFERROR(__xludf.DUMMYFUNCTION("""COMPUTED_VALUE"""),"Fishers")</f>
        <v>Fishers</v>
      </c>
      <c r="D120" s="8" t="str">
        <f>IFERROR(__xludf.DUMMYFUNCTION("""COMPUTED_VALUE"""),"IN")</f>
        <v>IN</v>
      </c>
      <c r="E120" s="8" t="str">
        <f>IFERROR(__xludf.DUMMYFUNCTION("""COMPUTED_VALUE"""),"USA")</f>
        <v>USA</v>
      </c>
      <c r="F120" s="8" t="str">
        <f>IFERROR(__xludf.DUMMYFUNCTION("""COMPUTED_VALUE"""),"Women 301 Doubles")</f>
        <v>Women 301 Doubles</v>
      </c>
      <c r="G120" s="8" t="str">
        <f>IFERROR(__xludf.DUMMYFUNCTION("""COMPUTED_VALUE"""),"1st")</f>
        <v>1st</v>
      </c>
      <c r="H120" s="8" t="str">
        <f>IFERROR(__xludf.DUMMYFUNCTION("""COMPUTED_VALUE"""),"Indiana BS 34")</f>
        <v>Indiana BS 34</v>
      </c>
      <c r="I120" s="10">
        <f>IFERROR(__xludf.DUMMYFUNCTION("""COMPUTED_VALUE"""),43617.0)</f>
        <v>43617</v>
      </c>
      <c r="J120" s="10">
        <f>IFERROR(__xludf.DUMMYFUNCTION("""COMPUTED_VALUE"""),44713.0)</f>
        <v>44713</v>
      </c>
      <c r="K120" s="11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9" t="str">
        <f>IFERROR(__xludf.DUMMYFUNCTION("""COMPUTED_VALUE"""),"Griffo")</f>
        <v>Griffo</v>
      </c>
      <c r="B121" s="8" t="str">
        <f>IFERROR(__xludf.DUMMYFUNCTION("""COMPUTED_VALUE"""),"Lindsay")</f>
        <v>Lindsay</v>
      </c>
      <c r="C121" s="8" t="str">
        <f>IFERROR(__xludf.DUMMYFUNCTION("""COMPUTED_VALUE"""),"Indianapolis")</f>
        <v>Indianapolis</v>
      </c>
      <c r="D121" s="8" t="str">
        <f>IFERROR(__xludf.DUMMYFUNCTION("""COMPUTED_VALUE"""),"IN")</f>
        <v>IN</v>
      </c>
      <c r="E121" s="8" t="str">
        <f>IFERROR(__xludf.DUMMYFUNCTION("""COMPUTED_VALUE"""),"USA")</f>
        <v>USA</v>
      </c>
      <c r="F121" s="8" t="str">
        <f>IFERROR(__xludf.DUMMYFUNCTION("""COMPUTED_VALUE"""),"Womens B Luck")</f>
        <v>Womens B Luck</v>
      </c>
      <c r="G121" s="8" t="str">
        <f>IFERROR(__xludf.DUMMYFUNCTION("""COMPUTED_VALUE"""),"2nd")</f>
        <v>2nd</v>
      </c>
      <c r="H121" s="8" t="str">
        <f>IFERROR(__xludf.DUMMYFUNCTION("""COMPUTED_VALUE"""),"BS 33 Finals")</f>
        <v>BS 33 Finals</v>
      </c>
      <c r="I121" s="10">
        <f>IFERROR(__xludf.DUMMYFUNCTION("""COMPUTED_VALUE"""),43252.0)</f>
        <v>43252</v>
      </c>
      <c r="J121" s="10">
        <f>IFERROR(__xludf.DUMMYFUNCTION("""COMPUTED_VALUE"""),44348.0)</f>
        <v>44348</v>
      </c>
      <c r="K121" s="11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9" t="str">
        <f>IFERROR(__xludf.DUMMYFUNCTION("""COMPUTED_VALUE"""),"Guerette")</f>
        <v>Guerette</v>
      </c>
      <c r="B122" s="8" t="str">
        <f>IFERROR(__xludf.DUMMYFUNCTION("""COMPUTED_VALUE"""),"Wendy")</f>
        <v>Wendy</v>
      </c>
      <c r="C122" s="8" t="str">
        <f>IFERROR(__xludf.DUMMYFUNCTION("""COMPUTED_VALUE"""),"Goldsboro")</f>
        <v>Goldsboro</v>
      </c>
      <c r="D122" s="8" t="str">
        <f>IFERROR(__xludf.DUMMYFUNCTION("""COMPUTED_VALUE"""),"NC")</f>
        <v>NC</v>
      </c>
      <c r="E122" s="8" t="str">
        <f>IFERROR(__xludf.DUMMYFUNCTION("""COMPUTED_VALUE"""),"USA")</f>
        <v>USA</v>
      </c>
      <c r="F122" s="8" t="str">
        <f>IFERROR(__xludf.DUMMYFUNCTION("""COMPUTED_VALUE"""),"Women Combo Doubles")</f>
        <v>Women Combo Doubles</v>
      </c>
      <c r="G122" s="8" t="str">
        <f>IFERROR(__xludf.DUMMYFUNCTION("""COMPUTED_VALUE"""),"2nd")</f>
        <v>2nd</v>
      </c>
      <c r="H122" s="8" t="str">
        <f>IFERROR(__xludf.DUMMYFUNCTION("""COMPUTED_VALUE"""),"Tennessee BS 34")</f>
        <v>Tennessee BS 34</v>
      </c>
      <c r="I122" s="10">
        <f>IFERROR(__xludf.DUMMYFUNCTION("""COMPUTED_VALUE"""),43617.0)</f>
        <v>43617</v>
      </c>
      <c r="J122" s="10">
        <f>IFERROR(__xludf.DUMMYFUNCTION("""COMPUTED_VALUE"""),44713.0)</f>
        <v>44713</v>
      </c>
      <c r="K122" s="11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9" t="str">
        <f>IFERROR(__xludf.DUMMYFUNCTION("""COMPUTED_VALUE"""),"Haines")</f>
        <v>Haines</v>
      </c>
      <c r="B123" s="8" t="str">
        <f>IFERROR(__xludf.DUMMYFUNCTION("""COMPUTED_VALUE"""),"Becky")</f>
        <v>Becky</v>
      </c>
      <c r="C123" s="8" t="str">
        <f>IFERROR(__xludf.DUMMYFUNCTION("""COMPUTED_VALUE"""),"Porter")</f>
        <v>Porter</v>
      </c>
      <c r="D123" s="8" t="str">
        <f>IFERROR(__xludf.DUMMYFUNCTION("""COMPUTED_VALUE"""),"TX")</f>
        <v>TX</v>
      </c>
      <c r="E123" s="8" t="str">
        <f>IFERROR(__xludf.DUMMYFUNCTION("""COMPUTED_VALUE"""),"USA")</f>
        <v>USA</v>
      </c>
      <c r="F123" s="8" t="str">
        <f>IFERROR(__xludf.DUMMYFUNCTION("""COMPUTED_VALUE"""),"Womens Doubles Combo")</f>
        <v>Womens Doubles Combo</v>
      </c>
      <c r="G123" s="8" t="str">
        <f>IFERROR(__xludf.DUMMYFUNCTION("""COMPUTED_VALUE"""),"3rd")</f>
        <v>3rd</v>
      </c>
      <c r="H123" s="8" t="str">
        <f>IFERROR(__xludf.DUMMYFUNCTION("""COMPUTED_VALUE"""),"TX Regional 33")</f>
        <v>TX Regional 33</v>
      </c>
      <c r="I123" s="10">
        <f>IFERROR(__xludf.DUMMYFUNCTION("""COMPUTED_VALUE"""),43252.0)</f>
        <v>43252</v>
      </c>
      <c r="J123" s="10">
        <f>IFERROR(__xludf.DUMMYFUNCTION("""COMPUTED_VALUE"""),44348.0)</f>
        <v>44348</v>
      </c>
      <c r="K123" s="11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9" t="str">
        <f>IFERROR(__xludf.DUMMYFUNCTION("""COMPUTED_VALUE"""),"Hall")</f>
        <v>Hall</v>
      </c>
      <c r="B124" s="8" t="str">
        <f>IFERROR(__xludf.DUMMYFUNCTION("""COMPUTED_VALUE"""),"Suzie")</f>
        <v>Suzie</v>
      </c>
      <c r="C124" s="8" t="str">
        <f>IFERROR(__xludf.DUMMYFUNCTION("""COMPUTED_VALUE"""),"Hurst")</f>
        <v>Hurst</v>
      </c>
      <c r="D124" s="8" t="str">
        <f>IFERROR(__xludf.DUMMYFUNCTION("""COMPUTED_VALUE"""),"TX")</f>
        <v>TX</v>
      </c>
      <c r="E124" s="8" t="str">
        <f>IFERROR(__xludf.DUMMYFUNCTION("""COMPUTED_VALUE"""),"USA")</f>
        <v>USA</v>
      </c>
      <c r="F124" s="8" t="str">
        <f>IFERROR(__xludf.DUMMYFUNCTION("""COMPUTED_VALUE"""),"Womens AA Doubles X01")</f>
        <v>Womens AA Doubles X01</v>
      </c>
      <c r="G124" s="8" t="str">
        <f>IFERROR(__xludf.DUMMYFUNCTION("""COMPUTED_VALUE"""),"3rd")</f>
        <v>3rd</v>
      </c>
      <c r="H124" s="8" t="str">
        <f>IFERROR(__xludf.DUMMYFUNCTION("""COMPUTED_VALUE"""),"Off AA List")</f>
        <v>Off AA List</v>
      </c>
      <c r="I124" s="10">
        <f>IFERROR(__xludf.DUMMYFUNCTION("""COMPUTED_VALUE"""),42887.0)</f>
        <v>42887</v>
      </c>
      <c r="J124" s="10">
        <f>IFERROR(__xludf.DUMMYFUNCTION("""COMPUTED_VALUE"""),43983.0)</f>
        <v>43983</v>
      </c>
      <c r="K124" s="11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9" t="str">
        <f>IFERROR(__xludf.DUMMYFUNCTION("""COMPUTED_VALUE"""),"Hambleton")</f>
        <v>Hambleton</v>
      </c>
      <c r="B125" s="8" t="str">
        <f>IFERROR(__xludf.DUMMYFUNCTION("""COMPUTED_VALUE"""),"Stacey")</f>
        <v>Stacey</v>
      </c>
      <c r="C125" s="8" t="str">
        <f>IFERROR(__xludf.DUMMYFUNCTION("""COMPUTED_VALUE"""),"Guthrie Center")</f>
        <v>Guthrie Center</v>
      </c>
      <c r="D125" s="8" t="str">
        <f>IFERROR(__xludf.DUMMYFUNCTION("""COMPUTED_VALUE"""),"IA")</f>
        <v>IA</v>
      </c>
      <c r="E125" s="8" t="str">
        <f>IFERROR(__xludf.DUMMYFUNCTION("""COMPUTED_VALUE"""),"USA")</f>
        <v>USA</v>
      </c>
      <c r="F125" s="8" t="str">
        <f>IFERROR(__xludf.DUMMYFUNCTION("""COMPUTED_VALUE"""),"Women 301 Doubles")</f>
        <v>Women 301 Doubles</v>
      </c>
      <c r="G125" s="8" t="str">
        <f>IFERROR(__xludf.DUMMYFUNCTION("""COMPUTED_VALUE"""),"3rd")</f>
        <v>3rd</v>
      </c>
      <c r="H125" s="8" t="str">
        <f>IFERROR(__xludf.DUMMYFUNCTION("""COMPUTED_VALUE"""),"Nebraska BS 34")</f>
        <v>Nebraska BS 34</v>
      </c>
      <c r="I125" s="10">
        <f>IFERROR(__xludf.DUMMYFUNCTION("""COMPUTED_VALUE"""),43617.0)</f>
        <v>43617</v>
      </c>
      <c r="J125" s="10">
        <f>IFERROR(__xludf.DUMMYFUNCTION("""COMPUTED_VALUE"""),44713.0)</f>
        <v>44713</v>
      </c>
      <c r="K125" s="11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9" t="str">
        <f>IFERROR(__xludf.DUMMYFUNCTION("""COMPUTED_VALUE"""),"Hamlin")</f>
        <v>Hamlin</v>
      </c>
      <c r="B126" s="8" t="str">
        <f>IFERROR(__xludf.DUMMYFUNCTION("""COMPUTED_VALUE"""),"Julie")</f>
        <v>Julie</v>
      </c>
      <c r="C126" s="8" t="str">
        <f>IFERROR(__xludf.DUMMYFUNCTION("""COMPUTED_VALUE"""),"Myrtle Beach")</f>
        <v>Myrtle Beach</v>
      </c>
      <c r="D126" s="8" t="str">
        <f>IFERROR(__xludf.DUMMYFUNCTION("""COMPUTED_VALUE"""),"SC")</f>
        <v>SC</v>
      </c>
      <c r="E126" s="8" t="str">
        <f>IFERROR(__xludf.DUMMYFUNCTION("""COMPUTED_VALUE"""),"USA")</f>
        <v>USA</v>
      </c>
      <c r="F126" s="8" t="str">
        <f>IFERROR(__xludf.DUMMYFUNCTION("""COMPUTED_VALUE"""),"Womens Singles")</f>
        <v>Womens Singles</v>
      </c>
      <c r="G126" s="8" t="str">
        <f>IFERROR(__xludf.DUMMYFUNCTION("""COMPUTED_VALUE"""),"2nd")</f>
        <v>2nd</v>
      </c>
      <c r="H126" s="8" t="str">
        <f>IFERROR(__xludf.DUMMYFUNCTION("""COMPUTED_VALUE"""),"SC Regional 32")</f>
        <v>SC Regional 32</v>
      </c>
      <c r="I126" s="10">
        <f>IFERROR(__xludf.DUMMYFUNCTION("""COMPUTED_VALUE"""),42887.0)</f>
        <v>42887</v>
      </c>
      <c r="J126" s="10">
        <f>IFERROR(__xludf.DUMMYFUNCTION("""COMPUTED_VALUE"""),43983.0)</f>
        <v>43983</v>
      </c>
      <c r="K126" s="11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9" t="str">
        <f>IFERROR(__xludf.DUMMYFUNCTION("""COMPUTED_VALUE"""),"Hanssen")</f>
        <v>Hanssen</v>
      </c>
      <c r="B127" s="8" t="str">
        <f>IFERROR(__xludf.DUMMYFUNCTION("""COMPUTED_VALUE"""),"Tammy")</f>
        <v>Tammy</v>
      </c>
      <c r="C127" s="8" t="str">
        <f>IFERROR(__xludf.DUMMYFUNCTION("""COMPUTED_VALUE"""),"Mount Sterling")</f>
        <v>Mount Sterling</v>
      </c>
      <c r="D127" s="8" t="str">
        <f>IFERROR(__xludf.DUMMYFUNCTION("""COMPUTED_VALUE"""),"IL")</f>
        <v>IL</v>
      </c>
      <c r="E127" s="8" t="str">
        <f>IFERROR(__xludf.DUMMYFUNCTION("""COMPUTED_VALUE"""),"USA")</f>
        <v>USA</v>
      </c>
      <c r="F127" s="8" t="str">
        <f>IFERROR(__xludf.DUMMYFUNCTION("""COMPUTED_VALUE"""),"Women B 301 Doubles")</f>
        <v>Women B 301 Doubles</v>
      </c>
      <c r="G127" s="8" t="str">
        <f>IFERROR(__xludf.DUMMYFUNCTION("""COMPUTED_VALUE"""),"4th")</f>
        <v>4th</v>
      </c>
      <c r="H127" s="8" t="str">
        <f>IFERROR(__xludf.DUMMYFUNCTION("""COMPUTED_VALUE"""),"BullShooter 34 Finals")</f>
        <v>BullShooter 34 Finals</v>
      </c>
      <c r="I127" s="10">
        <f>IFERROR(__xludf.DUMMYFUNCTION("""COMPUTED_VALUE"""),43617.0)</f>
        <v>43617</v>
      </c>
      <c r="J127" s="10">
        <f>IFERROR(__xludf.DUMMYFUNCTION("""COMPUTED_VALUE"""),44713.0)</f>
        <v>44713</v>
      </c>
      <c r="K127" s="11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9" t="str">
        <f>IFERROR(__xludf.DUMMYFUNCTION("""COMPUTED_VALUE"""),"Happ")</f>
        <v>Happ</v>
      </c>
      <c r="B128" s="8" t="str">
        <f>IFERROR(__xludf.DUMMYFUNCTION("""COMPUTED_VALUE"""),"Stacy")</f>
        <v>Stacy</v>
      </c>
      <c r="C128" s="8" t="str">
        <f>IFERROR(__xludf.DUMMYFUNCTION("""COMPUTED_VALUE"""),"Kearney")</f>
        <v>Kearney</v>
      </c>
      <c r="D128" s="8" t="str">
        <f>IFERROR(__xludf.DUMMYFUNCTION("""COMPUTED_VALUE"""),"NE")</f>
        <v>NE</v>
      </c>
      <c r="E128" s="8" t="str">
        <f>IFERROR(__xludf.DUMMYFUNCTION("""COMPUTED_VALUE"""),"USA")</f>
        <v>USA</v>
      </c>
      <c r="F128" s="8" t="str">
        <f>IFERROR(__xludf.DUMMYFUNCTION("""COMPUTED_VALUE"""),"Women 301 Doubles")</f>
        <v>Women 301 Doubles</v>
      </c>
      <c r="G128" s="8" t="str">
        <f>IFERROR(__xludf.DUMMYFUNCTION("""COMPUTED_VALUE"""),"2nd")</f>
        <v>2nd</v>
      </c>
      <c r="H128" s="8" t="str">
        <f>IFERROR(__xludf.DUMMYFUNCTION("""COMPUTED_VALUE"""),"Nebraska BS 34")</f>
        <v>Nebraska BS 34</v>
      </c>
      <c r="I128" s="10">
        <f>IFERROR(__xludf.DUMMYFUNCTION("""COMPUTED_VALUE"""),43617.0)</f>
        <v>43617</v>
      </c>
      <c r="J128" s="10">
        <f>IFERROR(__xludf.DUMMYFUNCTION("""COMPUTED_VALUE"""),44713.0)</f>
        <v>44713</v>
      </c>
      <c r="K128" s="11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9" t="str">
        <f>IFERROR(__xludf.DUMMYFUNCTION("""COMPUTED_VALUE"""),"Hardee")</f>
        <v>Hardee</v>
      </c>
      <c r="B129" s="8" t="str">
        <f>IFERROR(__xludf.DUMMYFUNCTION("""COMPUTED_VALUE"""),"Jill")</f>
        <v>Jill</v>
      </c>
      <c r="C129" s="8" t="str">
        <f>IFERROR(__xludf.DUMMYFUNCTION("""COMPUTED_VALUE"""),"Murrells Inlet")</f>
        <v>Murrells Inlet</v>
      </c>
      <c r="D129" s="8" t="str">
        <f>IFERROR(__xludf.DUMMYFUNCTION("""COMPUTED_VALUE"""),"SC")</f>
        <v>SC</v>
      </c>
      <c r="E129" s="8" t="str">
        <f>IFERROR(__xludf.DUMMYFUNCTION("""COMPUTED_VALUE"""),"USA")</f>
        <v>USA</v>
      </c>
      <c r="F129" s="8" t="str">
        <f>IFERROR(__xludf.DUMMYFUNCTION("""COMPUTED_VALUE"""),"Womens Doubles Combo")</f>
        <v>Womens Doubles Combo</v>
      </c>
      <c r="G129" s="8" t="str">
        <f>IFERROR(__xludf.DUMMYFUNCTION("""COMPUTED_VALUE"""),"3rd")</f>
        <v>3rd</v>
      </c>
      <c r="H129" s="8" t="str">
        <f>IFERROR(__xludf.DUMMYFUNCTION("""COMPUTED_VALUE"""),"SC Regional 33")</f>
        <v>SC Regional 33</v>
      </c>
      <c r="I129" s="10">
        <f>IFERROR(__xludf.DUMMYFUNCTION("""COMPUTED_VALUE"""),43252.0)</f>
        <v>43252</v>
      </c>
      <c r="J129" s="10">
        <f>IFERROR(__xludf.DUMMYFUNCTION("""COMPUTED_VALUE"""),44348.0)</f>
        <v>44348</v>
      </c>
      <c r="K129" s="11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9" t="str">
        <f>IFERROR(__xludf.DUMMYFUNCTION("""COMPUTED_VALUE"""),"Haskin")</f>
        <v>Haskin</v>
      </c>
      <c r="B130" s="8" t="str">
        <f>IFERROR(__xludf.DUMMYFUNCTION("""COMPUTED_VALUE"""),"Leasa")</f>
        <v>Leasa</v>
      </c>
      <c r="C130" s="8" t="str">
        <f>IFERROR(__xludf.DUMMYFUNCTION("""COMPUTED_VALUE"""),"Fort Ashby")</f>
        <v>Fort Ashby</v>
      </c>
      <c r="D130" s="8" t="str">
        <f>IFERROR(__xludf.DUMMYFUNCTION("""COMPUTED_VALUE"""),"WV")</f>
        <v>WV</v>
      </c>
      <c r="E130" s="8" t="str">
        <f>IFERROR(__xludf.DUMMYFUNCTION("""COMPUTED_VALUE"""),"USA")</f>
        <v>USA</v>
      </c>
      <c r="F130" s="8" t="str">
        <f>IFERROR(__xludf.DUMMYFUNCTION("""COMPUTED_VALUE"""),"Womens Singles")</f>
        <v>Womens Singles</v>
      </c>
      <c r="G130" s="8" t="str">
        <f>IFERROR(__xludf.DUMMYFUNCTION("""COMPUTED_VALUE"""),"3rd")</f>
        <v>3rd</v>
      </c>
      <c r="H130" s="8" t="str">
        <f>IFERROR(__xludf.DUMMYFUNCTION("""COMPUTED_VALUE"""),"PA Regional 32")</f>
        <v>PA Regional 32</v>
      </c>
      <c r="I130" s="10">
        <f>IFERROR(__xludf.DUMMYFUNCTION("""COMPUTED_VALUE"""),42887.0)</f>
        <v>42887</v>
      </c>
      <c r="J130" s="10">
        <f>IFERROR(__xludf.DUMMYFUNCTION("""COMPUTED_VALUE"""),43983.0)</f>
        <v>43983</v>
      </c>
      <c r="K130" s="11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9" t="str">
        <f>IFERROR(__xludf.DUMMYFUNCTION("""COMPUTED_VALUE"""),"Havey")</f>
        <v>Havey</v>
      </c>
      <c r="B131" s="8" t="str">
        <f>IFERROR(__xludf.DUMMYFUNCTION("""COMPUTED_VALUE"""),"Donna")</f>
        <v>Donna</v>
      </c>
      <c r="C131" s="8" t="str">
        <f>IFERROR(__xludf.DUMMYFUNCTION("""COMPUTED_VALUE"""),"Sullivan")</f>
        <v>Sullivan</v>
      </c>
      <c r="D131" s="8" t="str">
        <f>IFERROR(__xludf.DUMMYFUNCTION("""COMPUTED_VALUE"""),"MO")</f>
        <v>MO</v>
      </c>
      <c r="E131" s="8" t="str">
        <f>IFERROR(__xludf.DUMMYFUNCTION("""COMPUTED_VALUE"""),"USA")</f>
        <v>USA</v>
      </c>
      <c r="F131" s="8" t="str">
        <f>IFERROR(__xludf.DUMMYFUNCTION("""COMPUTED_VALUE"""),"")</f>
        <v/>
      </c>
      <c r="G131" s="8" t="str">
        <f>IFERROR(__xludf.DUMMYFUNCTION("""COMPUTED_VALUE"""),"")</f>
        <v/>
      </c>
      <c r="H131" s="8" t="str">
        <f>IFERROR(__xludf.DUMMYFUNCTION("""COMPUTED_VALUE"""),"BS 30 Finals")</f>
        <v>BS 30 Finals</v>
      </c>
      <c r="I131" s="10">
        <f>IFERROR(__xludf.DUMMYFUNCTION("""COMPUTED_VALUE"""),43252.0)</f>
        <v>43252</v>
      </c>
      <c r="J131" s="10">
        <f>IFERROR(__xludf.DUMMYFUNCTION("""COMPUTED_VALUE"""),44348.0)</f>
        <v>44348</v>
      </c>
      <c r="K131" s="11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9" t="str">
        <f>IFERROR(__xludf.DUMMYFUNCTION("""COMPUTED_VALUE"""),"Haynes")</f>
        <v>Haynes</v>
      </c>
      <c r="B132" s="8" t="str">
        <f>IFERROR(__xludf.DUMMYFUNCTION("""COMPUTED_VALUE"""),"Jessica")</f>
        <v>Jessica</v>
      </c>
      <c r="C132" s="8" t="str">
        <f>IFERROR(__xludf.DUMMYFUNCTION("""COMPUTED_VALUE"""),"Lafayette")</f>
        <v>Lafayette</v>
      </c>
      <c r="D132" s="8" t="str">
        <f>IFERROR(__xludf.DUMMYFUNCTION("""COMPUTED_VALUE"""),"IN")</f>
        <v>IN</v>
      </c>
      <c r="E132" s="8" t="str">
        <f>IFERROR(__xludf.DUMMYFUNCTION("""COMPUTED_VALUE"""),"USA")</f>
        <v>USA</v>
      </c>
      <c r="F132" s="8" t="str">
        <f>IFERROR(__xludf.DUMMYFUNCTION("""COMPUTED_VALUE"""),"Womens Doubles Combo")</f>
        <v>Womens Doubles Combo</v>
      </c>
      <c r="G132" s="8" t="str">
        <f>IFERROR(__xludf.DUMMYFUNCTION("""COMPUTED_VALUE"""),"3rd")</f>
        <v>3rd</v>
      </c>
      <c r="H132" s="8" t="str">
        <f>IFERROR(__xludf.DUMMYFUNCTION("""COMPUTED_VALUE"""),"IN Regional 33")</f>
        <v>IN Regional 33</v>
      </c>
      <c r="I132" s="10">
        <f>IFERROR(__xludf.DUMMYFUNCTION("""COMPUTED_VALUE"""),43252.0)</f>
        <v>43252</v>
      </c>
      <c r="J132" s="10">
        <f>IFERROR(__xludf.DUMMYFUNCTION("""COMPUTED_VALUE"""),44348.0)</f>
        <v>44348</v>
      </c>
      <c r="K132" s="11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9" t="str">
        <f>IFERROR(__xludf.DUMMYFUNCTION("""COMPUTED_VALUE"""),"Hayselden")</f>
        <v>Hayselden</v>
      </c>
      <c r="B133" s="8" t="str">
        <f>IFERROR(__xludf.DUMMYFUNCTION("""COMPUTED_VALUE"""),"Mililani")</f>
        <v>Mililani</v>
      </c>
      <c r="C133" s="8" t="str">
        <f>IFERROR(__xludf.DUMMYFUNCTION("""COMPUTED_VALUE"""),"Kansas City")</f>
        <v>Kansas City</v>
      </c>
      <c r="D133" s="8" t="str">
        <f>IFERROR(__xludf.DUMMYFUNCTION("""COMPUTED_VALUE"""),"MO")</f>
        <v>MO</v>
      </c>
      <c r="E133" s="8" t="str">
        <f>IFERROR(__xludf.DUMMYFUNCTION("""COMPUTED_VALUE"""),"USA")</f>
        <v>USA</v>
      </c>
      <c r="F133" s="8" t="str">
        <f>IFERROR(__xludf.DUMMYFUNCTION("""COMPUTED_VALUE"""),"Womens Doubles Combo")</f>
        <v>Womens Doubles Combo</v>
      </c>
      <c r="G133" s="8" t="str">
        <f>IFERROR(__xludf.DUMMYFUNCTION("""COMPUTED_VALUE"""),"2nd")</f>
        <v>2nd</v>
      </c>
      <c r="H133" s="8" t="str">
        <f>IFERROR(__xludf.DUMMYFUNCTION("""COMPUTED_VALUE"""),"NE Regional 33")</f>
        <v>NE Regional 33</v>
      </c>
      <c r="I133" s="10">
        <f>IFERROR(__xludf.DUMMYFUNCTION("""COMPUTED_VALUE"""),43252.0)</f>
        <v>43252</v>
      </c>
      <c r="J133" s="10">
        <f>IFERROR(__xludf.DUMMYFUNCTION("""COMPUTED_VALUE"""),44348.0)</f>
        <v>44348</v>
      </c>
      <c r="K133" s="11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9" t="str">
        <f>IFERROR(__xludf.DUMMYFUNCTION("""COMPUTED_VALUE"""),"Hearney")</f>
        <v>Hearney</v>
      </c>
      <c r="B134" s="8" t="str">
        <f>IFERROR(__xludf.DUMMYFUNCTION("""COMPUTED_VALUE"""),"Jennifer")</f>
        <v>Jennifer</v>
      </c>
      <c r="C134" s="8" t="str">
        <f>IFERROR(__xludf.DUMMYFUNCTION("""COMPUTED_VALUE"""),"Hilton")</f>
        <v>Hilton</v>
      </c>
      <c r="D134" s="8" t="str">
        <f>IFERROR(__xludf.DUMMYFUNCTION("""COMPUTED_VALUE"""),"NY")</f>
        <v>NY</v>
      </c>
      <c r="E134" s="8" t="str">
        <f>IFERROR(__xludf.DUMMYFUNCTION("""COMPUTED_VALUE"""),"USA")</f>
        <v>USA</v>
      </c>
      <c r="F134" s="8" t="str">
        <f>IFERROR(__xludf.DUMMYFUNCTION("""COMPUTED_VALUE"""),"Womens Doubles")</f>
        <v>Womens Doubles</v>
      </c>
      <c r="G134" s="8" t="str">
        <f>IFERROR(__xludf.DUMMYFUNCTION("""COMPUTED_VALUE"""),"2nd")</f>
        <v>2nd</v>
      </c>
      <c r="H134" s="8" t="str">
        <f>IFERROR(__xludf.DUMMYFUNCTION("""COMPUTED_VALUE"""),"NY Regional 33")</f>
        <v>NY Regional 33</v>
      </c>
      <c r="I134" s="10">
        <f>IFERROR(__xludf.DUMMYFUNCTION("""COMPUTED_VALUE"""),43252.0)</f>
        <v>43252</v>
      </c>
      <c r="J134" s="10">
        <f>IFERROR(__xludf.DUMMYFUNCTION("""COMPUTED_VALUE"""),44348.0)</f>
        <v>44348</v>
      </c>
      <c r="K134" s="11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9" t="str">
        <f>IFERROR(__xludf.DUMMYFUNCTION("""COMPUTED_VALUE"""),"Hedrick")</f>
        <v>Hedrick</v>
      </c>
      <c r="B135" s="8" t="str">
        <f>IFERROR(__xludf.DUMMYFUNCTION("""COMPUTED_VALUE"""),"Nicole")</f>
        <v>Nicole</v>
      </c>
      <c r="C135" s="8" t="str">
        <f>IFERROR(__xludf.DUMMYFUNCTION("""COMPUTED_VALUE"""),"Loudinville")</f>
        <v>Loudinville</v>
      </c>
      <c r="D135" s="8" t="str">
        <f>IFERROR(__xludf.DUMMYFUNCTION("""COMPUTED_VALUE"""),"OH")</f>
        <v>OH</v>
      </c>
      <c r="E135" s="8" t="str">
        <f>IFERROR(__xludf.DUMMYFUNCTION("""COMPUTED_VALUE"""),"USA")</f>
        <v>USA</v>
      </c>
      <c r="F135" s="8" t="str">
        <f>IFERROR(__xludf.DUMMYFUNCTION("""COMPUTED_VALUE"""),"Womens Doubles")</f>
        <v>Womens Doubles</v>
      </c>
      <c r="G135" s="8" t="str">
        <f>IFERROR(__xludf.DUMMYFUNCTION("""COMPUTED_VALUE"""),"1st")</f>
        <v>1st</v>
      </c>
      <c r="H135" s="8" t="str">
        <f>IFERROR(__xludf.DUMMYFUNCTION("""COMPUTED_VALUE"""),"NY Regional 32")</f>
        <v>NY Regional 32</v>
      </c>
      <c r="I135" s="10">
        <f>IFERROR(__xludf.DUMMYFUNCTION("""COMPUTED_VALUE"""),42887.0)</f>
        <v>42887</v>
      </c>
      <c r="J135" s="10">
        <f>IFERROR(__xludf.DUMMYFUNCTION("""COMPUTED_VALUE"""),43983.0)</f>
        <v>43983</v>
      </c>
      <c r="K135" s="11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9" t="str">
        <f>IFERROR(__xludf.DUMMYFUNCTION("""COMPUTED_VALUE"""),"Hedrick")</f>
        <v>Hedrick</v>
      </c>
      <c r="B136" s="8" t="str">
        <f>IFERROR(__xludf.DUMMYFUNCTION("""COMPUTED_VALUE"""),"Tiffany")</f>
        <v>Tiffany</v>
      </c>
      <c r="C136" s="8" t="str">
        <f>IFERROR(__xludf.DUMMYFUNCTION("""COMPUTED_VALUE"""),"Loudonville")</f>
        <v>Loudonville</v>
      </c>
      <c r="D136" s="8" t="str">
        <f>IFERROR(__xludf.DUMMYFUNCTION("""COMPUTED_VALUE"""),"OH")</f>
        <v>OH</v>
      </c>
      <c r="E136" s="8" t="str">
        <f>IFERROR(__xludf.DUMMYFUNCTION("""COMPUTED_VALUE"""),"USA")</f>
        <v>USA</v>
      </c>
      <c r="F136" s="8" t="str">
        <f>IFERROR(__xludf.DUMMYFUNCTION("""COMPUTED_VALUE"""),"Womens Doubles")</f>
        <v>Womens Doubles</v>
      </c>
      <c r="G136" s="8" t="str">
        <f>IFERROR(__xludf.DUMMYFUNCTION("""COMPUTED_VALUE"""),"2nd")</f>
        <v>2nd</v>
      </c>
      <c r="H136" s="8" t="str">
        <f>IFERROR(__xludf.DUMMYFUNCTION("""COMPUTED_VALUE"""),"NY Regional 32")</f>
        <v>NY Regional 32</v>
      </c>
      <c r="I136" s="10">
        <f>IFERROR(__xludf.DUMMYFUNCTION("""COMPUTED_VALUE"""),42887.0)</f>
        <v>42887</v>
      </c>
      <c r="J136" s="10">
        <f>IFERROR(__xludf.DUMMYFUNCTION("""COMPUTED_VALUE"""),43983.0)</f>
        <v>43983</v>
      </c>
      <c r="K136" s="11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9" t="str">
        <f>IFERROR(__xludf.DUMMYFUNCTION("""COMPUTED_VALUE"""),"Hendershot")</f>
        <v>Hendershot</v>
      </c>
      <c r="B137" s="8" t="str">
        <f>IFERROR(__xludf.DUMMYFUNCTION("""COMPUTED_VALUE"""),"Laurie")</f>
        <v>Laurie</v>
      </c>
      <c r="C137" s="8" t="str">
        <f>IFERROR(__xludf.DUMMYFUNCTION("""COMPUTED_VALUE"""),"Ft Pierce")</f>
        <v>Ft Pierce</v>
      </c>
      <c r="D137" s="8" t="str">
        <f>IFERROR(__xludf.DUMMYFUNCTION("""COMPUTED_VALUE"""),"FL")</f>
        <v>FL</v>
      </c>
      <c r="E137" s="8" t="str">
        <f>IFERROR(__xludf.DUMMYFUNCTION("""COMPUTED_VALUE"""),"USA")</f>
        <v>USA</v>
      </c>
      <c r="F137" s="8" t="str">
        <f>IFERROR(__xludf.DUMMYFUNCTION("""COMPUTED_VALUE"""),"Womens Doubles")</f>
        <v>Womens Doubles</v>
      </c>
      <c r="G137" s="8" t="str">
        <f>IFERROR(__xludf.DUMMYFUNCTION("""COMPUTED_VALUE"""),"3rd")</f>
        <v>3rd</v>
      </c>
      <c r="H137" s="8" t="str">
        <f>IFERROR(__xludf.DUMMYFUNCTION("""COMPUTED_VALUE"""),"Florida Regional 32")</f>
        <v>Florida Regional 32</v>
      </c>
      <c r="I137" s="10">
        <f>IFERROR(__xludf.DUMMYFUNCTION("""COMPUTED_VALUE"""),42887.0)</f>
        <v>42887</v>
      </c>
      <c r="J137" s="10">
        <f>IFERROR(__xludf.DUMMYFUNCTION("""COMPUTED_VALUE"""),43983.0)</f>
        <v>43983</v>
      </c>
      <c r="K137" s="11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9" t="str">
        <f>IFERROR(__xludf.DUMMYFUNCTION("""COMPUTED_VALUE"""),"Hofwalt")</f>
        <v>Hofwalt</v>
      </c>
      <c r="B138" s="8" t="str">
        <f>IFERROR(__xludf.DUMMYFUNCTION("""COMPUTED_VALUE"""),"Peggy")</f>
        <v>Peggy</v>
      </c>
      <c r="C138" s="8" t="str">
        <f>IFERROR(__xludf.DUMMYFUNCTION("""COMPUTED_VALUE"""),"Brookings")</f>
        <v>Brookings</v>
      </c>
      <c r="D138" s="8" t="str">
        <f>IFERROR(__xludf.DUMMYFUNCTION("""COMPUTED_VALUE"""),"SD")</f>
        <v>SD</v>
      </c>
      <c r="E138" s="8" t="str">
        <f>IFERROR(__xludf.DUMMYFUNCTION("""COMPUTED_VALUE"""),"USA")</f>
        <v>USA</v>
      </c>
      <c r="F138" s="8" t="str">
        <f>IFERROR(__xludf.DUMMYFUNCTION("""COMPUTED_VALUE"""),"Womens Singles")</f>
        <v>Womens Singles</v>
      </c>
      <c r="G138" s="8" t="str">
        <f>IFERROR(__xludf.DUMMYFUNCTION("""COMPUTED_VALUE"""),"3rd")</f>
        <v>3rd</v>
      </c>
      <c r="H138" s="8" t="str">
        <f>IFERROR(__xludf.DUMMYFUNCTION("""COMPUTED_VALUE"""),"NE Regional 32")</f>
        <v>NE Regional 32</v>
      </c>
      <c r="I138" s="10">
        <f>IFERROR(__xludf.DUMMYFUNCTION("""COMPUTED_VALUE"""),42887.0)</f>
        <v>42887</v>
      </c>
      <c r="J138" s="10">
        <f>IFERROR(__xludf.DUMMYFUNCTION("""COMPUTED_VALUE"""),43983.0)</f>
        <v>43983</v>
      </c>
      <c r="K138" s="11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9" t="str">
        <f>IFERROR(__xludf.DUMMYFUNCTION("""COMPUTED_VALUE"""),"Hoover")</f>
        <v>Hoover</v>
      </c>
      <c r="B139" s="8" t="str">
        <f>IFERROR(__xludf.DUMMYFUNCTION("""COMPUTED_VALUE"""),"Kay")</f>
        <v>Kay</v>
      </c>
      <c r="C139" s="8" t="str">
        <f>IFERROR(__xludf.DUMMYFUNCTION("""COMPUTED_VALUE"""),"Berea")</f>
        <v>Berea</v>
      </c>
      <c r="D139" s="8" t="str">
        <f>IFERROR(__xludf.DUMMYFUNCTION("""COMPUTED_VALUE"""),"OH")</f>
        <v>OH</v>
      </c>
      <c r="E139" s="8" t="str">
        <f>IFERROR(__xludf.DUMMYFUNCTION("""COMPUTED_VALUE"""),"USA")</f>
        <v>USA</v>
      </c>
      <c r="F139" s="8" t="str">
        <f>IFERROR(__xludf.DUMMYFUNCTION("""COMPUTED_VALUE"""),"Women Combo Doubles")</f>
        <v>Women Combo Doubles</v>
      </c>
      <c r="G139" s="8" t="str">
        <f>IFERROR(__xludf.DUMMYFUNCTION("""COMPUTED_VALUE"""),"2nd")</f>
        <v>2nd</v>
      </c>
      <c r="H139" s="8" t="str">
        <f>IFERROR(__xludf.DUMMYFUNCTION("""COMPUTED_VALUE"""),"Ohio BS 34")</f>
        <v>Ohio BS 34</v>
      </c>
      <c r="I139" s="10">
        <f>IFERROR(__xludf.DUMMYFUNCTION("""COMPUTED_VALUE"""),43617.0)</f>
        <v>43617</v>
      </c>
      <c r="J139" s="10">
        <f>IFERROR(__xludf.DUMMYFUNCTION("""COMPUTED_VALUE"""),44713.0)</f>
        <v>44713</v>
      </c>
      <c r="K139" s="11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9" t="str">
        <f>IFERROR(__xludf.DUMMYFUNCTION("""COMPUTED_VALUE"""),"Hoskinson")</f>
        <v>Hoskinson</v>
      </c>
      <c r="B140" s="8" t="str">
        <f>IFERROR(__xludf.DUMMYFUNCTION("""COMPUTED_VALUE"""),"Sherri")</f>
        <v>Sherri</v>
      </c>
      <c r="C140" s="8" t="str">
        <f>IFERROR(__xludf.DUMMYFUNCTION("""COMPUTED_VALUE"""),"Kansas City")</f>
        <v>Kansas City</v>
      </c>
      <c r="D140" s="8" t="str">
        <f>IFERROR(__xludf.DUMMYFUNCTION("""COMPUTED_VALUE"""),"MO")</f>
        <v>MO</v>
      </c>
      <c r="E140" s="8" t="str">
        <f>IFERROR(__xludf.DUMMYFUNCTION("""COMPUTED_VALUE"""),"USA")</f>
        <v>USA</v>
      </c>
      <c r="F140" s="8" t="str">
        <f>IFERROR(__xludf.DUMMYFUNCTION("""COMPUTED_VALUE"""),"Womens Doubles Combo")</f>
        <v>Womens Doubles Combo</v>
      </c>
      <c r="G140" s="8" t="str">
        <f>IFERROR(__xludf.DUMMYFUNCTION("""COMPUTED_VALUE"""),"2nd")</f>
        <v>2nd</v>
      </c>
      <c r="H140" s="8" t="str">
        <f>IFERROR(__xludf.DUMMYFUNCTION("""COMPUTED_VALUE"""),"NE Regional 33")</f>
        <v>NE Regional 33</v>
      </c>
      <c r="I140" s="10">
        <f>IFERROR(__xludf.DUMMYFUNCTION("""COMPUTED_VALUE"""),43252.0)</f>
        <v>43252</v>
      </c>
      <c r="J140" s="10">
        <f>IFERROR(__xludf.DUMMYFUNCTION("""COMPUTED_VALUE"""),44348.0)</f>
        <v>44348</v>
      </c>
      <c r="K140" s="11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9" t="str">
        <f>IFERROR(__xludf.DUMMYFUNCTION("""COMPUTED_VALUE"""),"Hoye")</f>
        <v>Hoye</v>
      </c>
      <c r="B141" s="8" t="str">
        <f>IFERROR(__xludf.DUMMYFUNCTION("""COMPUTED_VALUE"""),"Dawn")</f>
        <v>Dawn</v>
      </c>
      <c r="C141" s="8" t="str">
        <f>IFERROR(__xludf.DUMMYFUNCTION("""COMPUTED_VALUE"""),"Bloomington")</f>
        <v>Bloomington</v>
      </c>
      <c r="D141" s="8" t="str">
        <f>IFERROR(__xludf.DUMMYFUNCTION("""COMPUTED_VALUE"""),"IL")</f>
        <v>IL</v>
      </c>
      <c r="E141" s="8" t="str">
        <f>IFERROR(__xludf.DUMMYFUNCTION("""COMPUTED_VALUE"""),"USA")</f>
        <v>USA</v>
      </c>
      <c r="F141" s="8" t="str">
        <f>IFERROR(__xludf.DUMMYFUNCTION("""COMPUTED_VALUE"""),"Women Combo Doubles")</f>
        <v>Women Combo Doubles</v>
      </c>
      <c r="G141" s="8" t="str">
        <f>IFERROR(__xludf.DUMMYFUNCTION("""COMPUTED_VALUE"""),"2nd")</f>
        <v>2nd</v>
      </c>
      <c r="H141" s="8" t="str">
        <f>IFERROR(__xludf.DUMMYFUNCTION("""COMPUTED_VALUE"""),"Indiana BS 34")</f>
        <v>Indiana BS 34</v>
      </c>
      <c r="I141" s="10">
        <f>IFERROR(__xludf.DUMMYFUNCTION("""COMPUTED_VALUE"""),43617.0)</f>
        <v>43617</v>
      </c>
      <c r="J141" s="10">
        <f>IFERROR(__xludf.DUMMYFUNCTION("""COMPUTED_VALUE"""),44713.0)</f>
        <v>44713</v>
      </c>
      <c r="K141" s="11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9" t="str">
        <f>IFERROR(__xludf.DUMMYFUNCTION("""COMPUTED_VALUE"""),"Hudgens")</f>
        <v>Hudgens</v>
      </c>
      <c r="B142" s="8" t="str">
        <f>IFERROR(__xludf.DUMMYFUNCTION("""COMPUTED_VALUE"""),"Andrea")</f>
        <v>Andrea</v>
      </c>
      <c r="C142" s="8" t="str">
        <f>IFERROR(__xludf.DUMMYFUNCTION("""COMPUTED_VALUE"""),"Kansas City")</f>
        <v>Kansas City</v>
      </c>
      <c r="D142" s="8" t="str">
        <f>IFERROR(__xludf.DUMMYFUNCTION("""COMPUTED_VALUE"""),"MO")</f>
        <v>MO</v>
      </c>
      <c r="E142" s="8" t="str">
        <f>IFERROR(__xludf.DUMMYFUNCTION("""COMPUTED_VALUE"""),"USA")</f>
        <v>USA</v>
      </c>
      <c r="F142" s="8" t="str">
        <f>IFERROR(__xludf.DUMMYFUNCTION("""COMPUTED_VALUE"""),"Womens Doubles")</f>
        <v>Womens Doubles</v>
      </c>
      <c r="G142" s="8" t="str">
        <f>IFERROR(__xludf.DUMMYFUNCTION("""COMPUTED_VALUE"""),"2nd")</f>
        <v>2nd</v>
      </c>
      <c r="H142" s="8" t="str">
        <f>IFERROR(__xludf.DUMMYFUNCTION("""COMPUTED_VALUE"""),"NE Regional 33")</f>
        <v>NE Regional 33</v>
      </c>
      <c r="I142" s="10">
        <f>IFERROR(__xludf.DUMMYFUNCTION("""COMPUTED_VALUE"""),43252.0)</f>
        <v>43252</v>
      </c>
      <c r="J142" s="10">
        <f>IFERROR(__xludf.DUMMYFUNCTION("""COMPUTED_VALUE"""),44348.0)</f>
        <v>44348</v>
      </c>
      <c r="K142" s="11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9" t="str">
        <f>IFERROR(__xludf.DUMMYFUNCTION("""COMPUTED_VALUE"""),"Hughes")</f>
        <v>Hughes</v>
      </c>
      <c r="B143" s="8" t="str">
        <f>IFERROR(__xludf.DUMMYFUNCTION("""COMPUTED_VALUE"""),"Micki")</f>
        <v>Micki</v>
      </c>
      <c r="C143" s="8" t="str">
        <f>IFERROR(__xludf.DUMMYFUNCTION("""COMPUTED_VALUE"""),"Pittsburgh")</f>
        <v>Pittsburgh</v>
      </c>
      <c r="D143" s="8" t="str">
        <f>IFERROR(__xludf.DUMMYFUNCTION("""COMPUTED_VALUE"""),"PA")</f>
        <v>PA</v>
      </c>
      <c r="E143" s="8" t="str">
        <f>IFERROR(__xludf.DUMMYFUNCTION("""COMPUTED_VALUE"""),"USA")</f>
        <v>USA</v>
      </c>
      <c r="F143" s="8" t="str">
        <f>IFERROR(__xludf.DUMMYFUNCTION("""COMPUTED_VALUE"""),"Womens Doubles")</f>
        <v>Womens Doubles</v>
      </c>
      <c r="G143" s="8" t="str">
        <f>IFERROR(__xludf.DUMMYFUNCTION("""COMPUTED_VALUE"""),"1st")</f>
        <v>1st</v>
      </c>
      <c r="H143" s="8" t="str">
        <f>IFERROR(__xludf.DUMMYFUNCTION("""COMPUTED_VALUE"""),"PA Regional 33")</f>
        <v>PA Regional 33</v>
      </c>
      <c r="I143" s="10">
        <f>IFERROR(__xludf.DUMMYFUNCTION("""COMPUTED_VALUE"""),43252.0)</f>
        <v>43252</v>
      </c>
      <c r="J143" s="10">
        <f>IFERROR(__xludf.DUMMYFUNCTION("""COMPUTED_VALUE"""),44348.0)</f>
        <v>44348</v>
      </c>
      <c r="K143" s="11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9" t="str">
        <f>IFERROR(__xludf.DUMMYFUNCTION("""COMPUTED_VALUE"""),"Hunt")</f>
        <v>Hunt</v>
      </c>
      <c r="B144" s="8" t="str">
        <f>IFERROR(__xludf.DUMMYFUNCTION("""COMPUTED_VALUE"""),"Lori")</f>
        <v>Lori</v>
      </c>
      <c r="C144" s="8" t="str">
        <f>IFERROR(__xludf.DUMMYFUNCTION("""COMPUTED_VALUE"""),"Minden")</f>
        <v>Minden</v>
      </c>
      <c r="D144" s="8" t="str">
        <f>IFERROR(__xludf.DUMMYFUNCTION("""COMPUTED_VALUE"""),"NE")</f>
        <v>NE</v>
      </c>
      <c r="E144" s="8" t="str">
        <f>IFERROR(__xludf.DUMMYFUNCTION("""COMPUTED_VALUE"""),"USA")</f>
        <v>USA</v>
      </c>
      <c r="F144" s="8" t="str">
        <f>IFERROR(__xludf.DUMMYFUNCTION("""COMPUTED_VALUE"""),"Womens Doubles")</f>
        <v>Womens Doubles</v>
      </c>
      <c r="G144" s="8" t="str">
        <f>IFERROR(__xludf.DUMMYFUNCTION("""COMPUTED_VALUE"""),"3rd")</f>
        <v>3rd</v>
      </c>
      <c r="H144" s="8" t="str">
        <f>IFERROR(__xludf.DUMMYFUNCTION("""COMPUTED_VALUE"""),"NE Regional 33")</f>
        <v>NE Regional 33</v>
      </c>
      <c r="I144" s="10">
        <f>IFERROR(__xludf.DUMMYFUNCTION("""COMPUTED_VALUE"""),43252.0)</f>
        <v>43252</v>
      </c>
      <c r="J144" s="10">
        <f>IFERROR(__xludf.DUMMYFUNCTION("""COMPUTED_VALUE"""),44348.0)</f>
        <v>44348</v>
      </c>
      <c r="K144" s="11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9" t="str">
        <f>IFERROR(__xludf.DUMMYFUNCTION("""COMPUTED_VALUE"""),"Hurley-York")</f>
        <v>Hurley-York</v>
      </c>
      <c r="B145" s="8" t="str">
        <f>IFERROR(__xludf.DUMMYFUNCTION("""COMPUTED_VALUE"""),"Tammie")</f>
        <v>Tammie</v>
      </c>
      <c r="C145" s="8" t="str">
        <f>IFERROR(__xludf.DUMMYFUNCTION("""COMPUTED_VALUE"""),"Murfreesboro")</f>
        <v>Murfreesboro</v>
      </c>
      <c r="D145" s="8" t="str">
        <f>IFERROR(__xludf.DUMMYFUNCTION("""COMPUTED_VALUE"""),"TN")</f>
        <v>TN</v>
      </c>
      <c r="E145" s="8" t="str">
        <f>IFERROR(__xludf.DUMMYFUNCTION("""COMPUTED_VALUE"""),"USA")</f>
        <v>USA</v>
      </c>
      <c r="F145" s="8" t="str">
        <f>IFERROR(__xludf.DUMMYFUNCTION("""COMPUTED_VALUE"""),"Women 301 Doubles")</f>
        <v>Women 301 Doubles</v>
      </c>
      <c r="G145" s="8" t="str">
        <f>IFERROR(__xludf.DUMMYFUNCTION("""COMPUTED_VALUE"""),"1st")</f>
        <v>1st</v>
      </c>
      <c r="H145" s="8" t="str">
        <f>IFERROR(__xludf.DUMMYFUNCTION("""COMPUTED_VALUE"""),"Tennessee BS 34")</f>
        <v>Tennessee BS 34</v>
      </c>
      <c r="I145" s="10">
        <f>IFERROR(__xludf.DUMMYFUNCTION("""COMPUTED_VALUE"""),43617.0)</f>
        <v>43617</v>
      </c>
      <c r="J145" s="10">
        <f>IFERROR(__xludf.DUMMYFUNCTION("""COMPUTED_VALUE"""),44713.0)</f>
        <v>44713</v>
      </c>
      <c r="K145" s="11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9" t="str">
        <f>IFERROR(__xludf.DUMMYFUNCTION("""COMPUTED_VALUE"""),"Irby")</f>
        <v>Irby</v>
      </c>
      <c r="B146" s="8" t="str">
        <f>IFERROR(__xludf.DUMMYFUNCTION("""COMPUTED_VALUE"""),"Ratonda")</f>
        <v>Ratonda</v>
      </c>
      <c r="C146" s="8" t="str">
        <f>IFERROR(__xludf.DUMMYFUNCTION("""COMPUTED_VALUE"""),"Houston")</f>
        <v>Houston</v>
      </c>
      <c r="D146" s="8" t="str">
        <f>IFERROR(__xludf.DUMMYFUNCTION("""COMPUTED_VALUE"""),"TX")</f>
        <v>TX</v>
      </c>
      <c r="E146" s="8" t="str">
        <f>IFERROR(__xludf.DUMMYFUNCTION("""COMPUTED_VALUE"""),"USA")</f>
        <v>USA</v>
      </c>
      <c r="F146" s="8" t="str">
        <f>IFERROR(__xludf.DUMMYFUNCTION("""COMPUTED_VALUE"""),"Womens Doubles")</f>
        <v>Womens Doubles</v>
      </c>
      <c r="G146" s="8" t="str">
        <f>IFERROR(__xludf.DUMMYFUNCTION("""COMPUTED_VALUE"""),"1st")</f>
        <v>1st</v>
      </c>
      <c r="H146" s="8" t="str">
        <f>IFERROR(__xludf.DUMMYFUNCTION("""COMPUTED_VALUE"""),"TX Regional 33")</f>
        <v>TX Regional 33</v>
      </c>
      <c r="I146" s="10">
        <f>IFERROR(__xludf.DUMMYFUNCTION("""COMPUTED_VALUE"""),43252.0)</f>
        <v>43252</v>
      </c>
      <c r="J146" s="10">
        <f>IFERROR(__xludf.DUMMYFUNCTION("""COMPUTED_VALUE"""),44348.0)</f>
        <v>44348</v>
      </c>
      <c r="K146" s="11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9" t="str">
        <f>IFERROR(__xludf.DUMMYFUNCTION("""COMPUTED_VALUE"""),"Iseneker")</f>
        <v>Iseneker</v>
      </c>
      <c r="B147" s="8" t="str">
        <f>IFERROR(__xludf.DUMMYFUNCTION("""COMPUTED_VALUE"""),"Amanda")</f>
        <v>Amanda</v>
      </c>
      <c r="C147" s="8" t="str">
        <f>IFERROR(__xludf.DUMMYFUNCTION("""COMPUTED_VALUE"""),"Vernon")</f>
        <v>Vernon</v>
      </c>
      <c r="D147" s="8" t="str">
        <f>IFERROR(__xludf.DUMMYFUNCTION("""COMPUTED_VALUE"""),"NY")</f>
        <v>NY</v>
      </c>
      <c r="E147" s="8" t="str">
        <f>IFERROR(__xludf.DUMMYFUNCTION("""COMPUTED_VALUE"""),"USA")</f>
        <v>USA</v>
      </c>
      <c r="F147" s="8" t="str">
        <f>IFERROR(__xludf.DUMMYFUNCTION("""COMPUTED_VALUE"""),"Womens Doubles Combo")</f>
        <v>Womens Doubles Combo</v>
      </c>
      <c r="G147" s="8" t="str">
        <f>IFERROR(__xludf.DUMMYFUNCTION("""COMPUTED_VALUE"""),"3rd")</f>
        <v>3rd</v>
      </c>
      <c r="H147" s="8" t="str">
        <f>IFERROR(__xludf.DUMMYFUNCTION("""COMPUTED_VALUE"""),"NY Regional 33")</f>
        <v>NY Regional 33</v>
      </c>
      <c r="I147" s="10">
        <f>IFERROR(__xludf.DUMMYFUNCTION("""COMPUTED_VALUE"""),43252.0)</f>
        <v>43252</v>
      </c>
      <c r="J147" s="10">
        <f>IFERROR(__xludf.DUMMYFUNCTION("""COMPUTED_VALUE"""),44348.0)</f>
        <v>44348</v>
      </c>
      <c r="K147" s="11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9" t="str">
        <f>IFERROR(__xludf.DUMMYFUNCTION("""COMPUTED_VALUE"""),"Jellema")</f>
        <v>Jellema</v>
      </c>
      <c r="B148" s="8" t="str">
        <f>IFERROR(__xludf.DUMMYFUNCTION("""COMPUTED_VALUE"""),"Brooklyn")</f>
        <v>Brooklyn</v>
      </c>
      <c r="C148" s="8" t="str">
        <f>IFERROR(__xludf.DUMMYFUNCTION("""COMPUTED_VALUE"""),"Brandon")</f>
        <v>Brandon</v>
      </c>
      <c r="D148" s="8" t="str">
        <f>IFERROR(__xludf.DUMMYFUNCTION("""COMPUTED_VALUE"""),"SD")</f>
        <v>SD</v>
      </c>
      <c r="E148" s="8" t="str">
        <f>IFERROR(__xludf.DUMMYFUNCTION("""COMPUTED_VALUE"""),"USA")</f>
        <v>USA</v>
      </c>
      <c r="F148" s="8" t="str">
        <f>IFERROR(__xludf.DUMMYFUNCTION("""COMPUTED_VALUE"""),"Women Combo Doubles")</f>
        <v>Women Combo Doubles</v>
      </c>
      <c r="G148" s="8" t="str">
        <f>IFERROR(__xludf.DUMMYFUNCTION("""COMPUTED_VALUE"""),"3rd")</f>
        <v>3rd</v>
      </c>
      <c r="H148" s="8" t="str">
        <f>IFERROR(__xludf.DUMMYFUNCTION("""COMPUTED_VALUE"""),"Nebraska BS 34")</f>
        <v>Nebraska BS 34</v>
      </c>
      <c r="I148" s="10">
        <f>IFERROR(__xludf.DUMMYFUNCTION("""COMPUTED_VALUE"""),43617.0)</f>
        <v>43617</v>
      </c>
      <c r="J148" s="10">
        <f>IFERROR(__xludf.DUMMYFUNCTION("""COMPUTED_VALUE"""),44713.0)</f>
        <v>44713</v>
      </c>
      <c r="K148" s="11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9" t="str">
        <f>IFERROR(__xludf.DUMMYFUNCTION("""COMPUTED_VALUE"""),"Johnson")</f>
        <v>Johnson</v>
      </c>
      <c r="B149" s="8" t="str">
        <f>IFERROR(__xludf.DUMMYFUNCTION("""COMPUTED_VALUE"""),"Monique")</f>
        <v>Monique</v>
      </c>
      <c r="C149" s="8" t="str">
        <f>IFERROR(__xludf.DUMMYFUNCTION("""COMPUTED_VALUE"""),"Griffith")</f>
        <v>Griffith</v>
      </c>
      <c r="D149" s="8" t="str">
        <f>IFERROR(__xludf.DUMMYFUNCTION("""COMPUTED_VALUE"""),"IN")</f>
        <v>IN</v>
      </c>
      <c r="E149" s="8" t="str">
        <f>IFERROR(__xludf.DUMMYFUNCTION("""COMPUTED_VALUE"""),"USA")</f>
        <v>USA</v>
      </c>
      <c r="F149" s="8" t="str">
        <f>IFERROR(__xludf.DUMMYFUNCTION("""COMPUTED_VALUE"""),"Womens B Luck")</f>
        <v>Womens B Luck</v>
      </c>
      <c r="G149" s="8" t="str">
        <f>IFERROR(__xludf.DUMMYFUNCTION("""COMPUTED_VALUE"""),"1st")</f>
        <v>1st</v>
      </c>
      <c r="H149" s="8" t="str">
        <f>IFERROR(__xludf.DUMMYFUNCTION("""COMPUTED_VALUE"""),"BS 33 Finals")</f>
        <v>BS 33 Finals</v>
      </c>
      <c r="I149" s="10">
        <f>IFERROR(__xludf.DUMMYFUNCTION("""COMPUTED_VALUE"""),42522.0)</f>
        <v>42522</v>
      </c>
      <c r="J149" s="10">
        <f>IFERROR(__xludf.DUMMYFUNCTION("""COMPUTED_VALUE"""),44348.0)</f>
        <v>44348</v>
      </c>
      <c r="K149" s="11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9" t="str">
        <f>IFERROR(__xludf.DUMMYFUNCTION("""COMPUTED_VALUE"""),"Johnson")</f>
        <v>Johnson</v>
      </c>
      <c r="B150" s="8" t="str">
        <f>IFERROR(__xludf.DUMMYFUNCTION("""COMPUTED_VALUE"""),"Teri")</f>
        <v>Teri</v>
      </c>
      <c r="C150" s="8" t="str">
        <f>IFERROR(__xludf.DUMMYFUNCTION("""COMPUTED_VALUE"""),"Ocoee")</f>
        <v>Ocoee</v>
      </c>
      <c r="D150" s="8" t="str">
        <f>IFERROR(__xludf.DUMMYFUNCTION("""COMPUTED_VALUE"""),"FL")</f>
        <v>FL</v>
      </c>
      <c r="E150" s="8" t="str">
        <f>IFERROR(__xludf.DUMMYFUNCTION("""COMPUTED_VALUE"""),"USA")</f>
        <v>USA</v>
      </c>
      <c r="F150" s="8" t="str">
        <f>IFERROR(__xludf.DUMMYFUNCTION("""COMPUTED_VALUE"""),"Women Combo Doubles")</f>
        <v>Women Combo Doubles</v>
      </c>
      <c r="G150" s="8" t="str">
        <f>IFERROR(__xludf.DUMMYFUNCTION("""COMPUTED_VALUE"""),"2nd")</f>
        <v>2nd</v>
      </c>
      <c r="H150" s="8" t="str">
        <f>IFERROR(__xludf.DUMMYFUNCTION("""COMPUTED_VALUE"""),"Florida BS 34")</f>
        <v>Florida BS 34</v>
      </c>
      <c r="I150" s="10">
        <f>IFERROR(__xludf.DUMMYFUNCTION("""COMPUTED_VALUE"""),43617.0)</f>
        <v>43617</v>
      </c>
      <c r="J150" s="10">
        <f>IFERROR(__xludf.DUMMYFUNCTION("""COMPUTED_VALUE"""),44713.0)</f>
        <v>44713</v>
      </c>
      <c r="K150" s="11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9" t="str">
        <f>IFERROR(__xludf.DUMMYFUNCTION("""COMPUTED_VALUE"""),"Jones")</f>
        <v>Jones</v>
      </c>
      <c r="B151" s="8" t="str">
        <f>IFERROR(__xludf.DUMMYFUNCTION("""COMPUTED_VALUE"""),"Tobie")</f>
        <v>Tobie</v>
      </c>
      <c r="C151" s="8" t="str">
        <f>IFERROR(__xludf.DUMMYFUNCTION("""COMPUTED_VALUE"""),"St. Louis")</f>
        <v>St. Louis</v>
      </c>
      <c r="D151" s="8" t="str">
        <f>IFERROR(__xludf.DUMMYFUNCTION("""COMPUTED_VALUE"""),"MO")</f>
        <v>MO</v>
      </c>
      <c r="E151" s="8" t="str">
        <f>IFERROR(__xludf.DUMMYFUNCTION("""COMPUTED_VALUE"""),"USA")</f>
        <v>USA</v>
      </c>
      <c r="F151" s="8" t="str">
        <f>IFERROR(__xludf.DUMMYFUNCTION("""COMPUTED_VALUE"""),"Womens A/AA Luck")</f>
        <v>Womens A/AA Luck</v>
      </c>
      <c r="G151" s="8" t="str">
        <f>IFERROR(__xludf.DUMMYFUNCTION("""COMPUTED_VALUE"""),"1st")</f>
        <v>1st</v>
      </c>
      <c r="H151" s="8" t="str">
        <f>IFERROR(__xludf.DUMMYFUNCTION("""COMPUTED_VALUE"""),"Off AA List")</f>
        <v>Off AA List</v>
      </c>
      <c r="I151" s="10">
        <f>IFERROR(__xludf.DUMMYFUNCTION("""COMPUTED_VALUE"""),42887.0)</f>
        <v>42887</v>
      </c>
      <c r="J151" s="10">
        <f>IFERROR(__xludf.DUMMYFUNCTION("""COMPUTED_VALUE"""),43983.0)</f>
        <v>43983</v>
      </c>
      <c r="K151" s="11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9" t="str">
        <f>IFERROR(__xludf.DUMMYFUNCTION("""COMPUTED_VALUE"""),"Jost")</f>
        <v>Jost</v>
      </c>
      <c r="B152" s="8" t="str">
        <f>IFERROR(__xludf.DUMMYFUNCTION("""COMPUTED_VALUE"""),"Hayley")</f>
        <v>Hayley</v>
      </c>
      <c r="C152" s="8" t="str">
        <f>IFERROR(__xludf.DUMMYFUNCTION("""COMPUTED_VALUE"""),"Evansville")</f>
        <v>Evansville</v>
      </c>
      <c r="D152" s="8" t="str">
        <f>IFERROR(__xludf.DUMMYFUNCTION("""COMPUTED_VALUE"""),"IN")</f>
        <v>IN</v>
      </c>
      <c r="E152" s="8" t="str">
        <f>IFERROR(__xludf.DUMMYFUNCTION("""COMPUTED_VALUE"""),"USA")</f>
        <v>USA</v>
      </c>
      <c r="F152" s="8" t="str">
        <f>IFERROR(__xludf.DUMMYFUNCTION("""COMPUTED_VALUE"""),"Women B Combo Luck")</f>
        <v>Women B Combo Luck</v>
      </c>
      <c r="G152" s="8" t="str">
        <f>IFERROR(__xludf.DUMMYFUNCTION("""COMPUTED_VALUE"""),"1st")</f>
        <v>1st</v>
      </c>
      <c r="H152" s="8" t="str">
        <f>IFERROR(__xludf.DUMMYFUNCTION("""COMPUTED_VALUE"""),"BullShooter 34 Finals")</f>
        <v>BullShooter 34 Finals</v>
      </c>
      <c r="I152" s="10">
        <f>IFERROR(__xludf.DUMMYFUNCTION("""COMPUTED_VALUE"""),43617.0)</f>
        <v>43617</v>
      </c>
      <c r="J152" s="10">
        <f>IFERROR(__xludf.DUMMYFUNCTION("""COMPUTED_VALUE"""),44713.0)</f>
        <v>44713</v>
      </c>
      <c r="K152" s="11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9" t="str">
        <f>IFERROR(__xludf.DUMMYFUNCTION("""COMPUTED_VALUE"""),"Kanechanath")</f>
        <v>Kanechanath</v>
      </c>
      <c r="B153" s="8" t="str">
        <f>IFERROR(__xludf.DUMMYFUNCTION("""COMPUTED_VALUE"""),"Somsanith")</f>
        <v>Somsanith</v>
      </c>
      <c r="C153" s="8" t="str">
        <f>IFERROR(__xludf.DUMMYFUNCTION("""COMPUTED_VALUE"""),"")</f>
        <v/>
      </c>
      <c r="D153" s="8" t="str">
        <f>IFERROR(__xludf.DUMMYFUNCTION("""COMPUTED_VALUE"""),"")</f>
        <v/>
      </c>
      <c r="E153" s="8" t="str">
        <f>IFERROR(__xludf.DUMMYFUNCTION("""COMPUTED_VALUE"""),"HOLLAND")</f>
        <v>HOLLAND</v>
      </c>
      <c r="F153" s="8" t="str">
        <f>IFERROR(__xludf.DUMMYFUNCTION("""COMPUTED_VALUE"""),"Women B Combo Luck")</f>
        <v>Women B Combo Luck</v>
      </c>
      <c r="G153" s="8" t="str">
        <f>IFERROR(__xludf.DUMMYFUNCTION("""COMPUTED_VALUE"""),"1st")</f>
        <v>1st</v>
      </c>
      <c r="H153" s="8" t="str">
        <f>IFERROR(__xludf.DUMMYFUNCTION("""COMPUTED_VALUE"""),"BullShooter 34 Finals")</f>
        <v>BullShooter 34 Finals</v>
      </c>
      <c r="I153" s="10">
        <f>IFERROR(__xludf.DUMMYFUNCTION("""COMPUTED_VALUE"""),43617.0)</f>
        <v>43617</v>
      </c>
      <c r="J153" s="10">
        <f>IFERROR(__xludf.DUMMYFUNCTION("""COMPUTED_VALUE"""),44713.0)</f>
        <v>44713</v>
      </c>
      <c r="K153" s="11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9" t="str">
        <f>IFERROR(__xludf.DUMMYFUNCTION("""COMPUTED_VALUE"""),"Karon")</f>
        <v>Karon</v>
      </c>
      <c r="B154" s="8" t="str">
        <f>IFERROR(__xludf.DUMMYFUNCTION("""COMPUTED_VALUE"""),"Rachel")</f>
        <v>Rachel</v>
      </c>
      <c r="C154" s="8" t="str">
        <f>IFERROR(__xludf.DUMMYFUNCTION("""COMPUTED_VALUE"""),"Bristol")</f>
        <v>Bristol</v>
      </c>
      <c r="D154" s="8" t="str">
        <f>IFERROR(__xludf.DUMMYFUNCTION("""COMPUTED_VALUE"""),"TN")</f>
        <v>TN</v>
      </c>
      <c r="E154" s="8" t="str">
        <f>IFERROR(__xludf.DUMMYFUNCTION("""COMPUTED_VALUE"""),"USA")</f>
        <v>USA</v>
      </c>
      <c r="F154" s="8" t="str">
        <f>IFERROR(__xludf.DUMMYFUNCTION("""COMPUTED_VALUE"""),"Womens Doubles")</f>
        <v>Womens Doubles</v>
      </c>
      <c r="G154" s="8" t="str">
        <f>IFERROR(__xludf.DUMMYFUNCTION("""COMPUTED_VALUE"""),"3rd")</f>
        <v>3rd</v>
      </c>
      <c r="H154" s="8" t="str">
        <f>IFERROR(__xludf.DUMMYFUNCTION("""COMPUTED_VALUE"""),"TN Regional 33")</f>
        <v>TN Regional 33</v>
      </c>
      <c r="I154" s="10">
        <f>IFERROR(__xludf.DUMMYFUNCTION("""COMPUTED_VALUE"""),43252.0)</f>
        <v>43252</v>
      </c>
      <c r="J154" s="10">
        <f>IFERROR(__xludf.DUMMYFUNCTION("""COMPUTED_VALUE"""),44348.0)</f>
        <v>44348</v>
      </c>
      <c r="K154" s="11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9" t="str">
        <f>IFERROR(__xludf.DUMMYFUNCTION("""COMPUTED_VALUE"""),"Karpowich")</f>
        <v>Karpowich</v>
      </c>
      <c r="B155" s="8" t="str">
        <f>IFERROR(__xludf.DUMMYFUNCTION("""COMPUTED_VALUE"""),"Kathy")</f>
        <v>Kathy</v>
      </c>
      <c r="C155" s="8" t="str">
        <f>IFERROR(__xludf.DUMMYFUNCTION("""COMPUTED_VALUE"""),"Freeland")</f>
        <v>Freeland</v>
      </c>
      <c r="D155" s="8" t="str">
        <f>IFERROR(__xludf.DUMMYFUNCTION("""COMPUTED_VALUE"""),"PA")</f>
        <v>PA</v>
      </c>
      <c r="E155" s="8" t="str">
        <f>IFERROR(__xludf.DUMMYFUNCTION("""COMPUTED_VALUE"""),"USA")</f>
        <v>USA</v>
      </c>
      <c r="F155" s="8" t="str">
        <f>IFERROR(__xludf.DUMMYFUNCTION("""COMPUTED_VALUE"""),"ADO 2013")</f>
        <v>ADO 2013</v>
      </c>
      <c r="G155" s="8" t="str">
        <f>IFERROR(__xludf.DUMMYFUNCTION("""COMPUTED_VALUE"""),"50th")</f>
        <v>50th</v>
      </c>
      <c r="H155" s="8" t="str">
        <f>IFERROR(__xludf.DUMMYFUNCTION("""COMPUTED_VALUE"""),"Known Ability")</f>
        <v>Known Ability</v>
      </c>
      <c r="I155" s="10">
        <f>IFERROR(__xludf.DUMMYFUNCTION("""COMPUTED_VALUE"""),41339.0)</f>
        <v>41339</v>
      </c>
      <c r="J155" s="10">
        <f>IFERROR(__xludf.DUMMYFUNCTION("""COMPUTED_VALUE"""),45809.0)</f>
        <v>45809</v>
      </c>
      <c r="K155" s="11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9" t="str">
        <f>IFERROR(__xludf.DUMMYFUNCTION("""COMPUTED_VALUE"""),"Kealiher")</f>
        <v>Kealiher</v>
      </c>
      <c r="B156" s="8" t="str">
        <f>IFERROR(__xludf.DUMMYFUNCTION("""COMPUTED_VALUE"""),"Jennifer")</f>
        <v>Jennifer</v>
      </c>
      <c r="C156" s="8" t="str">
        <f>IFERROR(__xludf.DUMMYFUNCTION("""COMPUTED_VALUE"""),"Oshkosh")</f>
        <v>Oshkosh</v>
      </c>
      <c r="D156" s="8" t="str">
        <f>IFERROR(__xludf.DUMMYFUNCTION("""COMPUTED_VALUE"""),"WI")</f>
        <v>WI</v>
      </c>
      <c r="E156" s="8" t="str">
        <f>IFERROR(__xludf.DUMMYFUNCTION("""COMPUTED_VALUE"""),"USA")</f>
        <v>USA</v>
      </c>
      <c r="F156" s="8" t="str">
        <f>IFERROR(__xludf.DUMMYFUNCTION("""COMPUTED_VALUE"""),"Womens A Doubles")</f>
        <v>Womens A Doubles</v>
      </c>
      <c r="G156" s="8" t="str">
        <f>IFERROR(__xludf.DUMMYFUNCTION("""COMPUTED_VALUE"""),"2nd")</f>
        <v>2nd</v>
      </c>
      <c r="H156" s="8" t="str">
        <f>IFERROR(__xludf.DUMMYFUNCTION("""COMPUTED_VALUE"""),"BullShooter 31")</f>
        <v>BullShooter 31</v>
      </c>
      <c r="I156" s="10">
        <f>IFERROR(__xludf.DUMMYFUNCTION("""COMPUTED_VALUE"""),42522.0)</f>
        <v>42522</v>
      </c>
      <c r="J156" s="10">
        <f>IFERROR(__xludf.DUMMYFUNCTION("""COMPUTED_VALUE"""),44713.0)</f>
        <v>44713</v>
      </c>
      <c r="K156" s="11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9" t="str">
        <f>IFERROR(__xludf.DUMMYFUNCTION("""COMPUTED_VALUE"""),"Kenny")</f>
        <v>Kenny</v>
      </c>
      <c r="B157" s="8" t="str">
        <f>IFERROR(__xludf.DUMMYFUNCTION("""COMPUTED_VALUE"""),"Ruth")</f>
        <v>Ruth</v>
      </c>
      <c r="C157" s="8" t="str">
        <f>IFERROR(__xludf.DUMMYFUNCTION("""COMPUTED_VALUE"""),"Loveland")</f>
        <v>Loveland</v>
      </c>
      <c r="D157" s="8" t="str">
        <f>IFERROR(__xludf.DUMMYFUNCTION("""COMPUTED_VALUE"""),"OH")</f>
        <v>OH</v>
      </c>
      <c r="E157" s="8" t="str">
        <f>IFERROR(__xludf.DUMMYFUNCTION("""COMPUTED_VALUE"""),"USA")</f>
        <v>USA</v>
      </c>
      <c r="F157" s="8" t="str">
        <f>IFERROR(__xludf.DUMMYFUNCTION("""COMPUTED_VALUE"""),"Womens Doubles 301")</f>
        <v>Womens Doubles 301</v>
      </c>
      <c r="G157" s="8" t="str">
        <f>IFERROR(__xludf.DUMMYFUNCTION("""COMPUTED_VALUE"""),"1st")</f>
        <v>1st</v>
      </c>
      <c r="H157" s="8" t="str">
        <f>IFERROR(__xludf.DUMMYFUNCTION("""COMPUTED_VALUE"""),"BullShooter 33 Ohio")</f>
        <v>BullShooter 33 Ohio</v>
      </c>
      <c r="I157" s="10">
        <f>IFERROR(__xludf.DUMMYFUNCTION("""COMPUTED_VALUE"""),43252.0)</f>
        <v>43252</v>
      </c>
      <c r="J157" s="10">
        <f>IFERROR(__xludf.DUMMYFUNCTION("""COMPUTED_VALUE"""),44348.0)</f>
        <v>44348</v>
      </c>
      <c r="K157" s="11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9" t="str">
        <f>IFERROR(__xludf.DUMMYFUNCTION("""COMPUTED_VALUE"""),"Kepple")</f>
        <v>Kepple</v>
      </c>
      <c r="B158" s="8" t="str">
        <f>IFERROR(__xludf.DUMMYFUNCTION("""COMPUTED_VALUE"""),"Rachael")</f>
        <v>Rachael</v>
      </c>
      <c r="C158" s="8" t="str">
        <f>IFERROR(__xludf.DUMMYFUNCTION("""COMPUTED_VALUE"""),"Knoxville")</f>
        <v>Knoxville</v>
      </c>
      <c r="D158" s="8" t="str">
        <f>IFERROR(__xludf.DUMMYFUNCTION("""COMPUTED_VALUE"""),"IL")</f>
        <v>IL</v>
      </c>
      <c r="E158" s="8" t="str">
        <f>IFERROR(__xludf.DUMMYFUNCTION("""COMPUTED_VALUE"""),"USA")</f>
        <v>USA</v>
      </c>
      <c r="F158" s="8" t="str">
        <f>IFERROR(__xludf.DUMMYFUNCTION("""COMPUTED_VALUE"""),"Top Gun Womens Singles")</f>
        <v>Top Gun Womens Singles</v>
      </c>
      <c r="G158" s="8" t="str">
        <f>IFERROR(__xludf.DUMMYFUNCTION("""COMPUTED_VALUE"""),"2nd")</f>
        <v>2nd</v>
      </c>
      <c r="H158" s="8" t="str">
        <f>IFERROR(__xludf.DUMMYFUNCTION("""COMPUTED_VALUE"""),"BullShooter 32")</f>
        <v>BullShooter 32</v>
      </c>
      <c r="I158" s="10">
        <f>IFERROR(__xludf.DUMMYFUNCTION("""COMPUTED_VALUE"""),42887.0)</f>
        <v>42887</v>
      </c>
      <c r="J158" s="10">
        <f>IFERROR(__xludf.DUMMYFUNCTION("""COMPUTED_VALUE"""),43983.0)</f>
        <v>43983</v>
      </c>
      <c r="K158" s="11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9" t="str">
        <f>IFERROR(__xludf.DUMMYFUNCTION("""COMPUTED_VALUE"""),"Khounsana")</f>
        <v>Khounsana</v>
      </c>
      <c r="B159" s="8" t="str">
        <f>IFERROR(__xludf.DUMMYFUNCTION("""COMPUTED_VALUE"""),"Carrie")</f>
        <v>Carrie</v>
      </c>
      <c r="C159" s="8" t="str">
        <f>IFERROR(__xludf.DUMMYFUNCTION("""COMPUTED_VALUE"""),"St. Louis")</f>
        <v>St. Louis</v>
      </c>
      <c r="D159" s="8" t="str">
        <f>IFERROR(__xludf.DUMMYFUNCTION("""COMPUTED_VALUE"""),"MO")</f>
        <v>MO</v>
      </c>
      <c r="E159" s="8" t="str">
        <f>IFERROR(__xludf.DUMMYFUNCTION("""COMPUTED_VALUE"""),"USA")</f>
        <v>USA</v>
      </c>
      <c r="F159" s="8" t="str">
        <f>IFERROR(__xludf.DUMMYFUNCTION("""COMPUTED_VALUE"""),"")</f>
        <v/>
      </c>
      <c r="G159" s="8" t="str">
        <f>IFERROR(__xludf.DUMMYFUNCTION("""COMPUTED_VALUE"""),"")</f>
        <v/>
      </c>
      <c r="H159" s="8" t="str">
        <f>IFERROR(__xludf.DUMMYFUNCTION("""COMPUTED_VALUE"""),"BS 30 Finals")</f>
        <v>BS 30 Finals</v>
      </c>
      <c r="I159" s="10">
        <f>IFERROR(__xludf.DUMMYFUNCTION("""COMPUTED_VALUE"""),43252.0)</f>
        <v>43252</v>
      </c>
      <c r="J159" s="10">
        <f>IFERROR(__xludf.DUMMYFUNCTION("""COMPUTED_VALUE"""),44348.0)</f>
        <v>44348</v>
      </c>
      <c r="K159" s="11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12" t="str">
        <f>IFERROR(__xludf.DUMMYFUNCTION("""COMPUTED_VALUE"""),"Kier")</f>
        <v>Kier</v>
      </c>
      <c r="B160" s="13" t="str">
        <f>IFERROR(__xludf.DUMMYFUNCTION("""COMPUTED_VALUE"""),"Suzanne")</f>
        <v>Suzanne</v>
      </c>
      <c r="C160" s="13" t="str">
        <f>IFERROR(__xludf.DUMMYFUNCTION("""COMPUTED_VALUE"""),"Rochester")</f>
        <v>Rochester</v>
      </c>
      <c r="D160" s="13" t="str">
        <f>IFERROR(__xludf.DUMMYFUNCTION("""COMPUTED_VALUE"""),"NY")</f>
        <v>NY</v>
      </c>
      <c r="E160" s="13" t="str">
        <f>IFERROR(__xludf.DUMMYFUNCTION("""COMPUTED_VALUE"""),"USA")</f>
        <v>USA</v>
      </c>
      <c r="F160" s="13" t="str">
        <f>IFERROR(__xludf.DUMMYFUNCTION("""COMPUTED_VALUE"""),"Women Combo Doubles")</f>
        <v>Women Combo Doubles</v>
      </c>
      <c r="G160" s="13" t="str">
        <f>IFERROR(__xludf.DUMMYFUNCTION("""COMPUTED_VALUE"""),"2nd")</f>
        <v>2nd</v>
      </c>
      <c r="H160" s="13" t="str">
        <f>IFERROR(__xludf.DUMMYFUNCTION("""COMPUTED_VALUE"""),"South Carolina BS 34")</f>
        <v>South Carolina BS 34</v>
      </c>
      <c r="I160" s="14">
        <f>IFERROR(__xludf.DUMMYFUNCTION("""COMPUTED_VALUE"""),43617.0)</f>
        <v>43617</v>
      </c>
      <c r="J160" s="14">
        <f>IFERROR(__xludf.DUMMYFUNCTION("""COMPUTED_VALUE"""),44713.0)</f>
        <v>44713</v>
      </c>
      <c r="K160" s="11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9" t="str">
        <f>IFERROR(__xludf.DUMMYFUNCTION("""COMPUTED_VALUE"""),"King")</f>
        <v>King</v>
      </c>
      <c r="B161" s="8" t="str">
        <f>IFERROR(__xludf.DUMMYFUNCTION("""COMPUTED_VALUE"""),"Celeste")</f>
        <v>Celeste</v>
      </c>
      <c r="C161" s="8" t="str">
        <f>IFERROR(__xludf.DUMMYFUNCTION("""COMPUTED_VALUE"""),"Henderson")</f>
        <v>Henderson</v>
      </c>
      <c r="D161" s="8" t="str">
        <f>IFERROR(__xludf.DUMMYFUNCTION("""COMPUTED_VALUE"""),"KY")</f>
        <v>KY</v>
      </c>
      <c r="E161" s="8" t="str">
        <f>IFERROR(__xludf.DUMMYFUNCTION("""COMPUTED_VALUE"""),"USA")</f>
        <v>USA</v>
      </c>
      <c r="F161" s="8" t="str">
        <f>IFERROR(__xludf.DUMMYFUNCTION("""COMPUTED_VALUE"""),"Womens A/AA Luck")</f>
        <v>Womens A/AA Luck</v>
      </c>
      <c r="G161" s="8" t="str">
        <f>IFERROR(__xludf.DUMMYFUNCTION("""COMPUTED_VALUE"""),"4th")</f>
        <v>4th</v>
      </c>
      <c r="H161" s="8" t="str">
        <f>IFERROR(__xludf.DUMMYFUNCTION("""COMPUTED_VALUE"""),"Off AA List")</f>
        <v>Off AA List</v>
      </c>
      <c r="I161" s="10">
        <f>IFERROR(__xludf.DUMMYFUNCTION("""COMPUTED_VALUE"""),42887.0)</f>
        <v>42887</v>
      </c>
      <c r="J161" s="10">
        <f>IFERROR(__xludf.DUMMYFUNCTION("""COMPUTED_VALUE"""),43983.0)</f>
        <v>43983</v>
      </c>
      <c r="K161" s="11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9" t="str">
        <f>IFERROR(__xludf.DUMMYFUNCTION("""COMPUTED_VALUE"""),"Kinney")</f>
        <v>Kinney</v>
      </c>
      <c r="B162" s="8" t="str">
        <f>IFERROR(__xludf.DUMMYFUNCTION("""COMPUTED_VALUE"""),"Vicki")</f>
        <v>Vicki</v>
      </c>
      <c r="C162" s="8" t="str">
        <f>IFERROR(__xludf.DUMMYFUNCTION("""COMPUTED_VALUE"""),"Dubuque")</f>
        <v>Dubuque</v>
      </c>
      <c r="D162" s="8" t="str">
        <f>IFERROR(__xludf.DUMMYFUNCTION("""COMPUTED_VALUE"""),"IA")</f>
        <v>IA</v>
      </c>
      <c r="E162" s="8" t="str">
        <f>IFERROR(__xludf.DUMMYFUNCTION("""COMPUTED_VALUE"""),"USA")</f>
        <v>USA</v>
      </c>
      <c r="F162" s="8" t="str">
        <f>IFERROR(__xludf.DUMMYFUNCTION("""COMPUTED_VALUE"""),"Womens B Cricket")</f>
        <v>Womens B Cricket</v>
      </c>
      <c r="G162" s="8" t="str">
        <f>IFERROR(__xludf.DUMMYFUNCTION("""COMPUTED_VALUE"""),"2nd")</f>
        <v>2nd</v>
      </c>
      <c r="H162" s="8" t="str">
        <f>IFERROR(__xludf.DUMMYFUNCTION("""COMPUTED_VALUE"""),"BS 33 Finals")</f>
        <v>BS 33 Finals</v>
      </c>
      <c r="I162" s="10">
        <f>IFERROR(__xludf.DUMMYFUNCTION("""COMPUTED_VALUE"""),41426.0)</f>
        <v>41426</v>
      </c>
      <c r="J162" s="10">
        <f>IFERROR(__xludf.DUMMYFUNCTION("""COMPUTED_VALUE"""),44348.0)</f>
        <v>44348</v>
      </c>
      <c r="K162" s="11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9" t="str">
        <f>IFERROR(__xludf.DUMMYFUNCTION("""COMPUTED_VALUE"""),"Kish")</f>
        <v>Kish</v>
      </c>
      <c r="B163" s="8" t="str">
        <f>IFERROR(__xludf.DUMMYFUNCTION("""COMPUTED_VALUE"""),"Kelly")</f>
        <v>Kelly</v>
      </c>
      <c r="C163" s="8" t="str">
        <f>IFERROR(__xludf.DUMMYFUNCTION("""COMPUTED_VALUE"""),"Sycamore")</f>
        <v>Sycamore</v>
      </c>
      <c r="D163" s="8" t="str">
        <f>IFERROR(__xludf.DUMMYFUNCTION("""COMPUTED_VALUE"""),"NY")</f>
        <v>NY</v>
      </c>
      <c r="E163" s="8" t="str">
        <f>IFERROR(__xludf.DUMMYFUNCTION("""COMPUTED_VALUE"""),"USA")</f>
        <v>USA</v>
      </c>
      <c r="F163" s="8" t="str">
        <f>IFERROR(__xludf.DUMMYFUNCTION("""COMPUTED_VALUE"""),"Women B Combo Luck")</f>
        <v>Women B Combo Luck</v>
      </c>
      <c r="G163" s="8" t="str">
        <f>IFERROR(__xludf.DUMMYFUNCTION("""COMPUTED_VALUE"""),"2nd")</f>
        <v>2nd</v>
      </c>
      <c r="H163" s="8" t="str">
        <f>IFERROR(__xludf.DUMMYFUNCTION("""COMPUTED_VALUE"""),"BullShooter 34 Finals")</f>
        <v>BullShooter 34 Finals</v>
      </c>
      <c r="I163" s="10">
        <f>IFERROR(__xludf.DUMMYFUNCTION("""COMPUTED_VALUE"""),43617.0)</f>
        <v>43617</v>
      </c>
      <c r="J163" s="10">
        <f>IFERROR(__xludf.DUMMYFUNCTION("""COMPUTED_VALUE"""),44713.0)</f>
        <v>44713</v>
      </c>
      <c r="K163" s="11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9" t="str">
        <f>IFERROR(__xludf.DUMMYFUNCTION("""COMPUTED_VALUE"""),"Koller")</f>
        <v>Koller</v>
      </c>
      <c r="B164" s="8" t="str">
        <f>IFERROR(__xludf.DUMMYFUNCTION("""COMPUTED_VALUE"""),"Shelly")</f>
        <v>Shelly</v>
      </c>
      <c r="C164" s="8" t="str">
        <f>IFERROR(__xludf.DUMMYFUNCTION("""COMPUTED_VALUE"""),"Jacksonville")</f>
        <v>Jacksonville</v>
      </c>
      <c r="D164" s="8" t="str">
        <f>IFERROR(__xludf.DUMMYFUNCTION("""COMPUTED_VALUE"""),"FL")</f>
        <v>FL</v>
      </c>
      <c r="E164" s="8" t="str">
        <f>IFERROR(__xludf.DUMMYFUNCTION("""COMPUTED_VALUE"""),"USA")</f>
        <v>USA</v>
      </c>
      <c r="F164" s="8" t="str">
        <f>IFERROR(__xludf.DUMMYFUNCTION("""COMPUTED_VALUE"""),"Womens Doubles Combo")</f>
        <v>Womens Doubles Combo</v>
      </c>
      <c r="G164" s="8" t="str">
        <f>IFERROR(__xludf.DUMMYFUNCTION("""COMPUTED_VALUE"""),"3rd")</f>
        <v>3rd</v>
      </c>
      <c r="H164" s="8" t="str">
        <f>IFERROR(__xludf.DUMMYFUNCTION("""COMPUTED_VALUE"""),"Florida Regional 32")</f>
        <v>Florida Regional 32</v>
      </c>
      <c r="I164" s="10">
        <f>IFERROR(__xludf.DUMMYFUNCTION("""COMPUTED_VALUE"""),42887.0)</f>
        <v>42887</v>
      </c>
      <c r="J164" s="10">
        <f>IFERROR(__xludf.DUMMYFUNCTION("""COMPUTED_VALUE"""),43983.0)</f>
        <v>43983</v>
      </c>
      <c r="K164" s="11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8.0" customHeight="1">
      <c r="A165" s="9" t="str">
        <f>IFERROR(__xludf.DUMMYFUNCTION("""COMPUTED_VALUE"""),"Kolthoff")</f>
        <v>Kolthoff</v>
      </c>
      <c r="B165" s="8" t="str">
        <f>IFERROR(__xludf.DUMMYFUNCTION("""COMPUTED_VALUE"""),"Kimberly")</f>
        <v>Kimberly</v>
      </c>
      <c r="C165" s="8" t="str">
        <f>IFERROR(__xludf.DUMMYFUNCTION("""COMPUTED_VALUE"""),"Viborg")</f>
        <v>Viborg</v>
      </c>
      <c r="D165" s="8" t="str">
        <f>IFERROR(__xludf.DUMMYFUNCTION("""COMPUTED_VALUE"""),"SD")</f>
        <v>SD</v>
      </c>
      <c r="E165" s="8" t="str">
        <f>IFERROR(__xludf.DUMMYFUNCTION("""COMPUTED_VALUE"""),"USA")</f>
        <v>USA</v>
      </c>
      <c r="F165" s="8" t="str">
        <f>IFERROR(__xludf.DUMMYFUNCTION("""COMPUTED_VALUE"""),"TopGun Women B Singles")</f>
        <v>TopGun Women B Singles</v>
      </c>
      <c r="G165" s="8" t="str">
        <f>IFERROR(__xludf.DUMMYFUNCTION("""COMPUTED_VALUE"""),"4th")</f>
        <v>4th</v>
      </c>
      <c r="H165" s="8" t="str">
        <f>IFERROR(__xludf.DUMMYFUNCTION("""COMPUTED_VALUE"""),"BullShooter 34 Finals")</f>
        <v>BullShooter 34 Finals</v>
      </c>
      <c r="I165" s="10">
        <f>IFERROR(__xludf.DUMMYFUNCTION("""COMPUTED_VALUE"""),43617.0)</f>
        <v>43617</v>
      </c>
      <c r="J165" s="10">
        <f>IFERROR(__xludf.DUMMYFUNCTION("""COMPUTED_VALUE"""),44713.0)</f>
        <v>44713</v>
      </c>
      <c r="K165" s="11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9" t="str">
        <f>IFERROR(__xludf.DUMMYFUNCTION("""COMPUTED_VALUE"""),"Kolthoff")</f>
        <v>Kolthoff</v>
      </c>
      <c r="B166" s="8" t="str">
        <f>IFERROR(__xludf.DUMMYFUNCTION("""COMPUTED_VALUE"""),"Mandy")</f>
        <v>Mandy</v>
      </c>
      <c r="C166" s="8" t="str">
        <f>IFERROR(__xludf.DUMMYFUNCTION("""COMPUTED_VALUE"""),"Viborg")</f>
        <v>Viborg</v>
      </c>
      <c r="D166" s="8" t="str">
        <f>IFERROR(__xludf.DUMMYFUNCTION("""COMPUTED_VALUE"""),"SD")</f>
        <v>SD</v>
      </c>
      <c r="E166" s="8" t="str">
        <f>IFERROR(__xludf.DUMMYFUNCTION("""COMPUTED_VALUE"""),"USA")</f>
        <v>USA</v>
      </c>
      <c r="F166" s="8" t="str">
        <f>IFERROR(__xludf.DUMMYFUNCTION("""COMPUTED_VALUE"""),"TopGun B Mixed Triples")</f>
        <v>TopGun B Mixed Triples</v>
      </c>
      <c r="G166" s="8" t="str">
        <f>IFERROR(__xludf.DUMMYFUNCTION("""COMPUTED_VALUE"""),"3rd")</f>
        <v>3rd</v>
      </c>
      <c r="H166" s="8" t="str">
        <f>IFERROR(__xludf.DUMMYFUNCTION("""COMPUTED_VALUE"""),"BullShooter 34 Finals")</f>
        <v>BullShooter 34 Finals</v>
      </c>
      <c r="I166" s="10">
        <f>IFERROR(__xludf.DUMMYFUNCTION("""COMPUTED_VALUE"""),43617.0)</f>
        <v>43617</v>
      </c>
      <c r="J166" s="10">
        <f>IFERROR(__xludf.DUMMYFUNCTION("""COMPUTED_VALUE"""),44713.0)</f>
        <v>44713</v>
      </c>
      <c r="K166" s="11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9" t="str">
        <f>IFERROR(__xludf.DUMMYFUNCTION("""COMPUTED_VALUE"""),"Koontz")</f>
        <v>Koontz</v>
      </c>
      <c r="B167" s="8" t="str">
        <f>IFERROR(__xludf.DUMMYFUNCTION("""COMPUTED_VALUE"""),"Wanda")</f>
        <v>Wanda</v>
      </c>
      <c r="C167" s="8" t="str">
        <f>IFERROR(__xludf.DUMMYFUNCTION("""COMPUTED_VALUE"""),"Mansfield")</f>
        <v>Mansfield</v>
      </c>
      <c r="D167" s="8" t="str">
        <f>IFERROR(__xludf.DUMMYFUNCTION("""COMPUTED_VALUE"""),"OH")</f>
        <v>OH</v>
      </c>
      <c r="E167" s="8" t="str">
        <f>IFERROR(__xludf.DUMMYFUNCTION("""COMPUTED_VALUE"""),"USA")</f>
        <v>USA</v>
      </c>
      <c r="F167" s="8" t="str">
        <f>IFERROR(__xludf.DUMMYFUNCTION("""COMPUTED_VALUE"""),"Women 301 Doubles")</f>
        <v>Women 301 Doubles</v>
      </c>
      <c r="G167" s="8" t="str">
        <f>IFERROR(__xludf.DUMMYFUNCTION("""COMPUTED_VALUE"""),"1st")</f>
        <v>1st</v>
      </c>
      <c r="H167" s="8" t="str">
        <f>IFERROR(__xludf.DUMMYFUNCTION("""COMPUTED_VALUE"""),"Ohio BS 34")</f>
        <v>Ohio BS 34</v>
      </c>
      <c r="I167" s="10">
        <f>IFERROR(__xludf.DUMMYFUNCTION("""COMPUTED_VALUE"""),43617.0)</f>
        <v>43617</v>
      </c>
      <c r="J167" s="10">
        <f>IFERROR(__xludf.DUMMYFUNCTION("""COMPUTED_VALUE"""),44713.0)</f>
        <v>44713</v>
      </c>
      <c r="K167" s="11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9" t="str">
        <f>IFERROR(__xludf.DUMMYFUNCTION("""COMPUTED_VALUE"""),"Kotara")</f>
        <v>Kotara</v>
      </c>
      <c r="B168" s="8" t="str">
        <f>IFERROR(__xludf.DUMMYFUNCTION("""COMPUTED_VALUE"""),"Gemma")</f>
        <v>Gemma</v>
      </c>
      <c r="C168" s="8" t="str">
        <f>IFERROR(__xludf.DUMMYFUNCTION("""COMPUTED_VALUE"""),"Chantilly")</f>
        <v>Chantilly</v>
      </c>
      <c r="D168" s="8" t="str">
        <f>IFERROR(__xludf.DUMMYFUNCTION("""COMPUTED_VALUE"""),"VA")</f>
        <v>VA</v>
      </c>
      <c r="E168" s="8" t="str">
        <f>IFERROR(__xludf.DUMMYFUNCTION("""COMPUTED_VALUE"""),"USA")</f>
        <v>USA</v>
      </c>
      <c r="F168" s="8" t="str">
        <f>IFERROR(__xludf.DUMMYFUNCTION("""COMPUTED_VALUE"""),"Women B Combo Luck")</f>
        <v>Women B Combo Luck</v>
      </c>
      <c r="G168" s="8" t="str">
        <f>IFERROR(__xludf.DUMMYFUNCTION("""COMPUTED_VALUE"""),"3rd")</f>
        <v>3rd</v>
      </c>
      <c r="H168" s="8" t="str">
        <f>IFERROR(__xludf.DUMMYFUNCTION("""COMPUTED_VALUE"""),"BullShooter 34 Finals")</f>
        <v>BullShooter 34 Finals</v>
      </c>
      <c r="I168" s="10">
        <f>IFERROR(__xludf.DUMMYFUNCTION("""COMPUTED_VALUE"""),43617.0)</f>
        <v>43617</v>
      </c>
      <c r="J168" s="10">
        <f>IFERROR(__xludf.DUMMYFUNCTION("""COMPUTED_VALUE"""),44713.0)</f>
        <v>44713</v>
      </c>
      <c r="K168" s="11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9" t="str">
        <f>IFERROR(__xludf.DUMMYFUNCTION("""COMPUTED_VALUE"""),"Kovach")</f>
        <v>Kovach</v>
      </c>
      <c r="B169" s="8" t="str">
        <f>IFERROR(__xludf.DUMMYFUNCTION("""COMPUTED_VALUE"""),"Kristi")</f>
        <v>Kristi</v>
      </c>
      <c r="C169" s="8" t="str">
        <f>IFERROR(__xludf.DUMMYFUNCTION("""COMPUTED_VALUE"""),"Mishawaka")</f>
        <v>Mishawaka</v>
      </c>
      <c r="D169" s="8" t="str">
        <f>IFERROR(__xludf.DUMMYFUNCTION("""COMPUTED_VALUE"""),"IN")</f>
        <v>IN</v>
      </c>
      <c r="E169" s="8" t="str">
        <f>IFERROR(__xludf.DUMMYFUNCTION("""COMPUTED_VALUE"""),"USA")</f>
        <v>USA</v>
      </c>
      <c r="F169" s="8" t="str">
        <f>IFERROR(__xludf.DUMMYFUNCTION("""COMPUTED_VALUE"""),"Womens B Doubles")</f>
        <v>Womens B Doubles</v>
      </c>
      <c r="G169" s="8" t="str">
        <f>IFERROR(__xludf.DUMMYFUNCTION("""COMPUTED_VALUE"""),"2nd")</f>
        <v>2nd</v>
      </c>
      <c r="H169" s="8" t="str">
        <f>IFERROR(__xludf.DUMMYFUNCTION("""COMPUTED_VALUE"""),"BS 33 Finals")</f>
        <v>BS 33 Finals</v>
      </c>
      <c r="I169" s="10">
        <f>IFERROR(__xludf.DUMMYFUNCTION("""COMPUTED_VALUE"""),43252.0)</f>
        <v>43252</v>
      </c>
      <c r="J169" s="10">
        <f>IFERROR(__xludf.DUMMYFUNCTION("""COMPUTED_VALUE"""),44348.0)</f>
        <v>44348</v>
      </c>
      <c r="K169" s="11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9" t="str">
        <f>IFERROR(__xludf.DUMMYFUNCTION("""COMPUTED_VALUE"""),"Krueger")</f>
        <v>Krueger</v>
      </c>
      <c r="B170" s="8" t="str">
        <f>IFERROR(__xludf.DUMMYFUNCTION("""COMPUTED_VALUE"""),"Shelby")</f>
        <v>Shelby</v>
      </c>
      <c r="C170" s="8" t="str">
        <f>IFERROR(__xludf.DUMMYFUNCTION("""COMPUTED_VALUE"""),"Mishawaka")</f>
        <v>Mishawaka</v>
      </c>
      <c r="D170" s="8" t="str">
        <f>IFERROR(__xludf.DUMMYFUNCTION("""COMPUTED_VALUE"""),"IN")</f>
        <v>IN</v>
      </c>
      <c r="E170" s="8" t="str">
        <f>IFERROR(__xludf.DUMMYFUNCTION("""COMPUTED_VALUE"""),"USA")</f>
        <v>USA</v>
      </c>
      <c r="F170" s="8" t="str">
        <f>IFERROR(__xludf.DUMMYFUNCTION("""COMPUTED_VALUE"""),"Womens B Doubles")</f>
        <v>Womens B Doubles</v>
      </c>
      <c r="G170" s="8" t="str">
        <f>IFERROR(__xludf.DUMMYFUNCTION("""COMPUTED_VALUE"""),"2nd")</f>
        <v>2nd</v>
      </c>
      <c r="H170" s="8" t="str">
        <f>IFERROR(__xludf.DUMMYFUNCTION("""COMPUTED_VALUE"""),"BS 33 Finals")</f>
        <v>BS 33 Finals</v>
      </c>
      <c r="I170" s="10">
        <f>IFERROR(__xludf.DUMMYFUNCTION("""COMPUTED_VALUE"""),43252.0)</f>
        <v>43252</v>
      </c>
      <c r="J170" s="10">
        <f>IFERROR(__xludf.DUMMYFUNCTION("""COMPUTED_VALUE"""),44348.0)</f>
        <v>44348</v>
      </c>
      <c r="K170" s="1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9" t="str">
        <f>IFERROR(__xludf.DUMMYFUNCTION("""COMPUTED_VALUE"""),"Kunkle")</f>
        <v>Kunkle</v>
      </c>
      <c r="B171" s="8" t="str">
        <f>IFERROR(__xludf.DUMMYFUNCTION("""COMPUTED_VALUE"""),"Joell")</f>
        <v>Joell</v>
      </c>
      <c r="C171" s="8" t="str">
        <f>IFERROR(__xludf.DUMMYFUNCTION("""COMPUTED_VALUE"""),"Hunker")</f>
        <v>Hunker</v>
      </c>
      <c r="D171" s="8" t="str">
        <f>IFERROR(__xludf.DUMMYFUNCTION("""COMPUTED_VALUE"""),"PA")</f>
        <v>PA</v>
      </c>
      <c r="E171" s="8" t="str">
        <f>IFERROR(__xludf.DUMMYFUNCTION("""COMPUTED_VALUE"""),"USA")</f>
        <v>USA</v>
      </c>
      <c r="F171" s="8" t="str">
        <f>IFERROR(__xludf.DUMMYFUNCTION("""COMPUTED_VALUE"""),"Womens Doubles")</f>
        <v>Womens Doubles</v>
      </c>
      <c r="G171" s="8" t="str">
        <f>IFERROR(__xludf.DUMMYFUNCTION("""COMPUTED_VALUE"""),"1st")</f>
        <v>1st</v>
      </c>
      <c r="H171" s="8" t="str">
        <f>IFERROR(__xludf.DUMMYFUNCTION("""COMPUTED_VALUE"""),"PA Regional 32")</f>
        <v>PA Regional 32</v>
      </c>
      <c r="I171" s="10">
        <f>IFERROR(__xludf.DUMMYFUNCTION("""COMPUTED_VALUE"""),42887.0)</f>
        <v>42887</v>
      </c>
      <c r="J171" s="10">
        <f>IFERROR(__xludf.DUMMYFUNCTION("""COMPUTED_VALUE"""),43983.0)</f>
        <v>43983</v>
      </c>
      <c r="K171" s="11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12" t="str">
        <f>IFERROR(__xludf.DUMMYFUNCTION("""COMPUTED_VALUE"""),"Lamster")</f>
        <v>Lamster</v>
      </c>
      <c r="B172" s="13" t="str">
        <f>IFERROR(__xludf.DUMMYFUNCTION("""COMPUTED_VALUE"""),"Kim")</f>
        <v>Kim</v>
      </c>
      <c r="C172" s="13" t="str">
        <f>IFERROR(__xludf.DUMMYFUNCTION("""COMPUTED_VALUE"""),"Menomonee Falls")</f>
        <v>Menomonee Falls</v>
      </c>
      <c r="D172" s="13" t="str">
        <f>IFERROR(__xludf.DUMMYFUNCTION("""COMPUTED_VALUE"""),"WI")</f>
        <v>WI</v>
      </c>
      <c r="E172" s="13" t="str">
        <f>IFERROR(__xludf.DUMMYFUNCTION("""COMPUTED_VALUE"""),"USA")</f>
        <v>USA</v>
      </c>
      <c r="F172" s="13" t="str">
        <f>IFERROR(__xludf.DUMMYFUNCTION("""COMPUTED_VALUE"""),"Womens Dbls Combo")</f>
        <v>Womens Dbls Combo</v>
      </c>
      <c r="G172" s="13" t="str">
        <f>IFERROR(__xludf.DUMMYFUNCTION("""COMPUTED_VALUE"""),"2nd")</f>
        <v>2nd</v>
      </c>
      <c r="H172" s="13" t="str">
        <f>IFERROR(__xludf.DUMMYFUNCTION("""COMPUTED_VALUE"""),"WI Regional 32")</f>
        <v>WI Regional 32</v>
      </c>
      <c r="I172" s="14">
        <f>IFERROR(__xludf.DUMMYFUNCTION("""COMPUTED_VALUE"""),42887.0)</f>
        <v>42887</v>
      </c>
      <c r="J172" s="14">
        <f>IFERROR(__xludf.DUMMYFUNCTION("""COMPUTED_VALUE"""),43983.0)</f>
        <v>43983</v>
      </c>
      <c r="K172" s="11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9" t="str">
        <f>IFERROR(__xludf.DUMMYFUNCTION("""COMPUTED_VALUE"""),"Leach")</f>
        <v>Leach</v>
      </c>
      <c r="B173" s="8" t="str">
        <f>IFERROR(__xludf.DUMMYFUNCTION("""COMPUTED_VALUE"""),"Nicole")</f>
        <v>Nicole</v>
      </c>
      <c r="C173" s="8" t="str">
        <f>IFERROR(__xludf.DUMMYFUNCTION("""COMPUTED_VALUE"""),"Streator")</f>
        <v>Streator</v>
      </c>
      <c r="D173" s="8" t="str">
        <f>IFERROR(__xludf.DUMMYFUNCTION("""COMPUTED_VALUE"""),"IL")</f>
        <v>IL</v>
      </c>
      <c r="E173" s="8" t="str">
        <f>IFERROR(__xludf.DUMMYFUNCTION("""COMPUTED_VALUE"""),"USA")</f>
        <v>USA</v>
      </c>
      <c r="F173" s="8" t="str">
        <f>IFERROR(__xludf.DUMMYFUNCTION("""COMPUTED_VALUE"""),"Womens Doubles")</f>
        <v>Womens Doubles</v>
      </c>
      <c r="G173" s="8" t="str">
        <f>IFERROR(__xludf.DUMMYFUNCTION("""COMPUTED_VALUE"""),"2nd")</f>
        <v>2nd</v>
      </c>
      <c r="H173" s="8" t="str">
        <f>IFERROR(__xludf.DUMMYFUNCTION("""COMPUTED_VALUE"""),"WI Regional 32")</f>
        <v>WI Regional 32</v>
      </c>
      <c r="I173" s="10">
        <f>IFERROR(__xludf.DUMMYFUNCTION("""COMPUTED_VALUE"""),42887.0)</f>
        <v>42887</v>
      </c>
      <c r="J173" s="10">
        <f>IFERROR(__xludf.DUMMYFUNCTION("""COMPUTED_VALUE"""),43983.0)</f>
        <v>43983</v>
      </c>
      <c r="K173" s="11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9" t="str">
        <f>IFERROR(__xludf.DUMMYFUNCTION("""COMPUTED_VALUE"""),"Leiter")</f>
        <v>Leiter</v>
      </c>
      <c r="B174" s="8" t="str">
        <f>IFERROR(__xludf.DUMMYFUNCTION("""COMPUTED_VALUE"""),"Crystal")</f>
        <v>Crystal</v>
      </c>
      <c r="C174" s="8" t="str">
        <f>IFERROR(__xludf.DUMMYFUNCTION("""COMPUTED_VALUE"""),"Mansfield")</f>
        <v>Mansfield</v>
      </c>
      <c r="D174" s="8" t="str">
        <f>IFERROR(__xludf.DUMMYFUNCTION("""COMPUTED_VALUE"""),"OH")</f>
        <v>OH</v>
      </c>
      <c r="E174" s="8" t="str">
        <f>IFERROR(__xludf.DUMMYFUNCTION("""COMPUTED_VALUE"""),"USA")</f>
        <v>USA</v>
      </c>
      <c r="F174" s="8" t="str">
        <f>IFERROR(__xludf.DUMMYFUNCTION("""COMPUTED_VALUE"""),"Women 301 Doubles")</f>
        <v>Women 301 Doubles</v>
      </c>
      <c r="G174" s="8" t="str">
        <f>IFERROR(__xludf.DUMMYFUNCTION("""COMPUTED_VALUE"""),"1st")</f>
        <v>1st</v>
      </c>
      <c r="H174" s="8" t="str">
        <f>IFERROR(__xludf.DUMMYFUNCTION("""COMPUTED_VALUE"""),"Ohio BS 34")</f>
        <v>Ohio BS 34</v>
      </c>
      <c r="I174" s="10">
        <f>IFERROR(__xludf.DUMMYFUNCTION("""COMPUTED_VALUE"""),43617.0)</f>
        <v>43617</v>
      </c>
      <c r="J174" s="10">
        <f>IFERROR(__xludf.DUMMYFUNCTION("""COMPUTED_VALUE"""),44713.0)</f>
        <v>44713</v>
      </c>
      <c r="K174" s="11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9" t="str">
        <f>IFERROR(__xludf.DUMMYFUNCTION("""COMPUTED_VALUE"""),"Lenart")</f>
        <v>Lenart</v>
      </c>
      <c r="B175" s="8" t="str">
        <f>IFERROR(__xludf.DUMMYFUNCTION("""COMPUTED_VALUE"""),"Britney")</f>
        <v>Britney</v>
      </c>
      <c r="C175" s="8" t="str">
        <f>IFERROR(__xludf.DUMMYFUNCTION("""COMPUTED_VALUE"""),"Lincoln Park")</f>
        <v>Lincoln Park</v>
      </c>
      <c r="D175" s="8" t="str">
        <f>IFERROR(__xludf.DUMMYFUNCTION("""COMPUTED_VALUE"""),"MI")</f>
        <v>MI</v>
      </c>
      <c r="E175" s="8" t="str">
        <f>IFERROR(__xludf.DUMMYFUNCTION("""COMPUTED_VALUE"""),"USA")</f>
        <v>USA</v>
      </c>
      <c r="F175" s="8" t="str">
        <f>IFERROR(__xludf.DUMMYFUNCTION("""COMPUTED_VALUE"""),"Womens Doubles")</f>
        <v>Womens Doubles</v>
      </c>
      <c r="G175" s="8" t="str">
        <f>IFERROR(__xludf.DUMMYFUNCTION("""COMPUTED_VALUE"""),"1st")</f>
        <v>1st</v>
      </c>
      <c r="H175" s="8" t="str">
        <f>IFERROR(__xludf.DUMMYFUNCTION("""COMPUTED_VALUE"""),"OH Regional 32")</f>
        <v>OH Regional 32</v>
      </c>
      <c r="I175" s="10">
        <f>IFERROR(__xludf.DUMMYFUNCTION("""COMPUTED_VALUE"""),42887.0)</f>
        <v>42887</v>
      </c>
      <c r="J175" s="10">
        <f>IFERROR(__xludf.DUMMYFUNCTION("""COMPUTED_VALUE"""),43983.0)</f>
        <v>43983</v>
      </c>
      <c r="K175" s="11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9" t="str">
        <f>IFERROR(__xludf.DUMMYFUNCTION("""COMPUTED_VALUE"""),"Leslie")</f>
        <v>Leslie</v>
      </c>
      <c r="B176" s="8" t="str">
        <f>IFERROR(__xludf.DUMMYFUNCTION("""COMPUTED_VALUE"""),"Linda")</f>
        <v>Linda</v>
      </c>
      <c r="C176" s="8" t="str">
        <f>IFERROR(__xludf.DUMMYFUNCTION("""COMPUTED_VALUE"""),"Cincinnati")</f>
        <v>Cincinnati</v>
      </c>
      <c r="D176" s="8" t="str">
        <f>IFERROR(__xludf.DUMMYFUNCTION("""COMPUTED_VALUE"""),"OH")</f>
        <v>OH</v>
      </c>
      <c r="E176" s="8" t="str">
        <f>IFERROR(__xludf.DUMMYFUNCTION("""COMPUTED_VALUE"""),"USA")</f>
        <v>USA</v>
      </c>
      <c r="F176" s="8" t="str">
        <f>IFERROR(__xludf.DUMMYFUNCTION("""COMPUTED_VALUE"""),"Womens Doubles")</f>
        <v>Womens Doubles</v>
      </c>
      <c r="G176" s="8" t="str">
        <f>IFERROR(__xludf.DUMMYFUNCTION("""COMPUTED_VALUE"""),"2nd")</f>
        <v>2nd</v>
      </c>
      <c r="H176" s="8" t="str">
        <f>IFERROR(__xludf.DUMMYFUNCTION("""COMPUTED_VALUE"""),"OH Regional 32")</f>
        <v>OH Regional 32</v>
      </c>
      <c r="I176" s="10">
        <f>IFERROR(__xludf.DUMMYFUNCTION("""COMPUTED_VALUE"""),42887.0)</f>
        <v>42887</v>
      </c>
      <c r="J176" s="10">
        <f>IFERROR(__xludf.DUMMYFUNCTION("""COMPUTED_VALUE"""),43983.0)</f>
        <v>43983</v>
      </c>
      <c r="K176" s="11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9" t="str">
        <f>IFERROR(__xludf.DUMMYFUNCTION("""COMPUTED_VALUE"""),"Lewis")</f>
        <v>Lewis</v>
      </c>
      <c r="B177" s="8" t="str">
        <f>IFERROR(__xludf.DUMMYFUNCTION("""COMPUTED_VALUE"""),"Dawn")</f>
        <v>Dawn</v>
      </c>
      <c r="C177" s="8" t="str">
        <f>IFERROR(__xludf.DUMMYFUNCTION("""COMPUTED_VALUE"""),"Zephyr Hills")</f>
        <v>Zephyr Hills</v>
      </c>
      <c r="D177" s="8" t="str">
        <f>IFERROR(__xludf.DUMMYFUNCTION("""COMPUTED_VALUE"""),"FL")</f>
        <v>FL</v>
      </c>
      <c r="E177" s="8" t="str">
        <f>IFERROR(__xludf.DUMMYFUNCTION("""COMPUTED_VALUE"""),"USA")</f>
        <v>USA</v>
      </c>
      <c r="F177" s="8" t="str">
        <f>IFERROR(__xludf.DUMMYFUNCTION("""COMPUTED_VALUE"""),"Womens Doubles")</f>
        <v>Womens Doubles</v>
      </c>
      <c r="G177" s="8" t="str">
        <f>IFERROR(__xludf.DUMMYFUNCTION("""COMPUTED_VALUE"""),"3rd")</f>
        <v>3rd</v>
      </c>
      <c r="H177" s="8" t="str">
        <f>IFERROR(__xludf.DUMMYFUNCTION("""COMPUTED_VALUE"""),"SC Regional 33")</f>
        <v>SC Regional 33</v>
      </c>
      <c r="I177" s="10">
        <f>IFERROR(__xludf.DUMMYFUNCTION("""COMPUTED_VALUE"""),43252.0)</f>
        <v>43252</v>
      </c>
      <c r="J177" s="10">
        <f>IFERROR(__xludf.DUMMYFUNCTION("""COMPUTED_VALUE"""),44348.0)</f>
        <v>44348</v>
      </c>
      <c r="K177" s="11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9" t="str">
        <f>IFERROR(__xludf.DUMMYFUNCTION("""COMPUTED_VALUE"""),"Lindgren")</f>
        <v>Lindgren</v>
      </c>
      <c r="B178" s="8" t="str">
        <f>IFERROR(__xludf.DUMMYFUNCTION("""COMPUTED_VALUE"""),"Jena")</f>
        <v>Jena</v>
      </c>
      <c r="C178" s="8" t="str">
        <f>IFERROR(__xludf.DUMMYFUNCTION("""COMPUTED_VALUE"""),"Duluth")</f>
        <v>Duluth</v>
      </c>
      <c r="D178" s="8" t="str">
        <f>IFERROR(__xludf.DUMMYFUNCTION("""COMPUTED_VALUE"""),"MN")</f>
        <v>MN</v>
      </c>
      <c r="E178" s="8" t="str">
        <f>IFERROR(__xludf.DUMMYFUNCTION("""COMPUTED_VALUE"""),"USA")</f>
        <v>USA</v>
      </c>
      <c r="F178" s="8" t="str">
        <f>IFERROR(__xludf.DUMMYFUNCTION("""COMPUTED_VALUE"""),"Womens A Doubles Cricket")</f>
        <v>Womens A Doubles Cricket</v>
      </c>
      <c r="G178" s="8" t="str">
        <f>IFERROR(__xludf.DUMMYFUNCTION("""COMPUTED_VALUE"""),"3rd")</f>
        <v>3rd</v>
      </c>
      <c r="H178" s="8" t="str">
        <f>IFERROR(__xludf.DUMMYFUNCTION("""COMPUTED_VALUE"""),"Off AA List")</f>
        <v>Off AA List</v>
      </c>
      <c r="I178" s="10">
        <f>IFERROR(__xludf.DUMMYFUNCTION("""COMPUTED_VALUE"""),42887.0)</f>
        <v>42887</v>
      </c>
      <c r="J178" s="10">
        <f>IFERROR(__xludf.DUMMYFUNCTION("""COMPUTED_VALUE"""),43983.0)</f>
        <v>43983</v>
      </c>
      <c r="K178" s="11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7.25" customHeight="1">
      <c r="A179" s="9" t="str">
        <f>IFERROR(__xludf.DUMMYFUNCTION("""COMPUTED_VALUE"""),"Lindsay")</f>
        <v>Lindsay</v>
      </c>
      <c r="B179" s="8" t="str">
        <f>IFERROR(__xludf.DUMMYFUNCTION("""COMPUTED_VALUE"""),"Mandy")</f>
        <v>Mandy</v>
      </c>
      <c r="C179" s="8" t="str">
        <f>IFERROR(__xludf.DUMMYFUNCTION("""COMPUTED_VALUE"""),"Redding")</f>
        <v>Redding</v>
      </c>
      <c r="D179" s="8" t="str">
        <f>IFERROR(__xludf.DUMMYFUNCTION("""COMPUTED_VALUE"""),"OH")</f>
        <v>OH</v>
      </c>
      <c r="E179" s="8" t="str">
        <f>IFERROR(__xludf.DUMMYFUNCTION("""COMPUTED_VALUE"""),"USA")</f>
        <v>USA</v>
      </c>
      <c r="F179" s="8" t="str">
        <f>IFERROR(__xludf.DUMMYFUNCTION("""COMPUTED_VALUE"""),"Womens Doubles Combo")</f>
        <v>Womens Doubles Combo</v>
      </c>
      <c r="G179" s="8" t="str">
        <f>IFERROR(__xludf.DUMMYFUNCTION("""COMPUTED_VALUE"""),"2nd")</f>
        <v>2nd</v>
      </c>
      <c r="H179" s="8" t="str">
        <f>IFERROR(__xludf.DUMMYFUNCTION("""COMPUTED_VALUE"""),"OH Regional 33")</f>
        <v>OH Regional 33</v>
      </c>
      <c r="I179" s="10">
        <f>IFERROR(__xludf.DUMMYFUNCTION("""COMPUTED_VALUE"""),43252.0)</f>
        <v>43252</v>
      </c>
      <c r="J179" s="10">
        <f>IFERROR(__xludf.DUMMYFUNCTION("""COMPUTED_VALUE"""),44348.0)</f>
        <v>44348</v>
      </c>
      <c r="K179" s="11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9" t="str">
        <f>IFERROR(__xludf.DUMMYFUNCTION("""COMPUTED_VALUE"""),"Lohnhardt")</f>
        <v>Lohnhardt</v>
      </c>
      <c r="B180" s="8" t="str">
        <f>IFERROR(__xludf.DUMMYFUNCTION("""COMPUTED_VALUE"""),"Jessica")</f>
        <v>Jessica</v>
      </c>
      <c r="C180" s="8" t="str">
        <f>IFERROR(__xludf.DUMMYFUNCTION("""COMPUTED_VALUE"""),"Racine")</f>
        <v>Racine</v>
      </c>
      <c r="D180" s="8" t="str">
        <f>IFERROR(__xludf.DUMMYFUNCTION("""COMPUTED_VALUE"""),"WI")</f>
        <v>WI</v>
      </c>
      <c r="E180" s="8" t="str">
        <f>IFERROR(__xludf.DUMMYFUNCTION("""COMPUTED_VALUE"""),"USA")</f>
        <v>USA</v>
      </c>
      <c r="F180" s="8" t="str">
        <f>IFERROR(__xludf.DUMMYFUNCTION("""COMPUTED_VALUE"""),"Womens A Doubles X01")</f>
        <v>Womens A Doubles X01</v>
      </c>
      <c r="G180" s="8" t="str">
        <f>IFERROR(__xludf.DUMMYFUNCTION("""COMPUTED_VALUE"""),"3rd")</f>
        <v>3rd</v>
      </c>
      <c r="H180" s="8" t="str">
        <f>IFERROR(__xludf.DUMMYFUNCTION("""COMPUTED_VALUE"""),"Off AA List")</f>
        <v>Off AA List</v>
      </c>
      <c r="I180" s="10">
        <f>IFERROR(__xludf.DUMMYFUNCTION("""COMPUTED_VALUE"""),42887.0)</f>
        <v>42887</v>
      </c>
      <c r="J180" s="10">
        <f>IFERROR(__xludf.DUMMYFUNCTION("""COMPUTED_VALUE"""),43983.0)</f>
        <v>43983</v>
      </c>
      <c r="K180" s="11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9" t="str">
        <f>IFERROR(__xludf.DUMMYFUNCTION("""COMPUTED_VALUE"""),"Long")</f>
        <v>Long</v>
      </c>
      <c r="B181" s="8" t="str">
        <f>IFERROR(__xludf.DUMMYFUNCTION("""COMPUTED_VALUE"""),"Tracy")</f>
        <v>Tracy</v>
      </c>
      <c r="C181" s="8" t="str">
        <f>IFERROR(__xludf.DUMMYFUNCTION("""COMPUTED_VALUE"""),"Cleveland")</f>
        <v>Cleveland</v>
      </c>
      <c r="D181" s="8" t="str">
        <f>IFERROR(__xludf.DUMMYFUNCTION("""COMPUTED_VALUE"""),"TX")</f>
        <v>TX</v>
      </c>
      <c r="E181" s="8" t="str">
        <f>IFERROR(__xludf.DUMMYFUNCTION("""COMPUTED_VALUE"""),"USA")</f>
        <v>USA</v>
      </c>
      <c r="F181" s="8" t="str">
        <f>IFERROR(__xludf.DUMMYFUNCTION("""COMPUTED_VALUE"""),"Womens Doubles")</f>
        <v>Womens Doubles</v>
      </c>
      <c r="G181" s="8" t="str">
        <f>IFERROR(__xludf.DUMMYFUNCTION("""COMPUTED_VALUE"""),"2nd")</f>
        <v>2nd</v>
      </c>
      <c r="H181" s="8" t="str">
        <f>IFERROR(__xludf.DUMMYFUNCTION("""COMPUTED_VALUE"""),"GA Regional 33")</f>
        <v>GA Regional 33</v>
      </c>
      <c r="I181" s="10">
        <f>IFERROR(__xludf.DUMMYFUNCTION("""COMPUTED_VALUE"""),43252.0)</f>
        <v>43252</v>
      </c>
      <c r="J181" s="10">
        <f>IFERROR(__xludf.DUMMYFUNCTION("""COMPUTED_VALUE"""),44348.0)</f>
        <v>44348</v>
      </c>
      <c r="K181" s="11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12" t="str">
        <f>IFERROR(__xludf.DUMMYFUNCTION("""COMPUTED_VALUE"""),"Long")</f>
        <v>Long</v>
      </c>
      <c r="B182" s="13" t="str">
        <f>IFERROR(__xludf.DUMMYFUNCTION("""COMPUTED_VALUE"""),"Jennifer")</f>
        <v>Jennifer</v>
      </c>
      <c r="C182" s="13" t="str">
        <f>IFERROR(__xludf.DUMMYFUNCTION("""COMPUTED_VALUE"""),"Hanover")</f>
        <v>Hanover</v>
      </c>
      <c r="D182" s="13" t="str">
        <f>IFERROR(__xludf.DUMMYFUNCTION("""COMPUTED_VALUE"""),"PA")</f>
        <v>PA</v>
      </c>
      <c r="E182" s="13" t="str">
        <f>IFERROR(__xludf.DUMMYFUNCTION("""COMPUTED_VALUE"""),"USA")</f>
        <v>USA</v>
      </c>
      <c r="F182" s="13" t="str">
        <f>IFERROR(__xludf.DUMMYFUNCTION("""COMPUTED_VALUE"""),"Women Combo Doubles")</f>
        <v>Women Combo Doubles</v>
      </c>
      <c r="G182" s="13" t="str">
        <f>IFERROR(__xludf.DUMMYFUNCTION("""COMPUTED_VALUE"""),"3rd")</f>
        <v>3rd</v>
      </c>
      <c r="H182" s="13" t="str">
        <f>IFERROR(__xludf.DUMMYFUNCTION("""COMPUTED_VALUE"""),"Pennsylvania BS 34")</f>
        <v>Pennsylvania BS 34</v>
      </c>
      <c r="I182" s="14">
        <f>IFERROR(__xludf.DUMMYFUNCTION("""COMPUTED_VALUE"""),43617.0)</f>
        <v>43617</v>
      </c>
      <c r="J182" s="14">
        <f>IFERROR(__xludf.DUMMYFUNCTION("""COMPUTED_VALUE"""),44713.0)</f>
        <v>44713</v>
      </c>
      <c r="K182" s="1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9" t="str">
        <f>IFERROR(__xludf.DUMMYFUNCTION("""COMPUTED_VALUE"""),"Lowe")</f>
        <v>Lowe</v>
      </c>
      <c r="B183" s="8" t="str">
        <f>IFERROR(__xludf.DUMMYFUNCTION("""COMPUTED_VALUE"""),"Elissa")</f>
        <v>Elissa</v>
      </c>
      <c r="C183" s="8" t="str">
        <f>IFERROR(__xludf.DUMMYFUNCTION("""COMPUTED_VALUE"""),"Mt. Zion")</f>
        <v>Mt. Zion</v>
      </c>
      <c r="D183" s="8" t="str">
        <f>IFERROR(__xludf.DUMMYFUNCTION("""COMPUTED_VALUE"""),"IL")</f>
        <v>IL</v>
      </c>
      <c r="E183" s="8" t="str">
        <f>IFERROR(__xludf.DUMMYFUNCTION("""COMPUTED_VALUE"""),"USA")</f>
        <v>USA</v>
      </c>
      <c r="F183" s="8" t="str">
        <f>IFERROR(__xludf.DUMMYFUNCTION("""COMPUTED_VALUE"""),"Womens B Cricket Dbls")</f>
        <v>Womens B Cricket Dbls</v>
      </c>
      <c r="G183" s="8" t="str">
        <f>IFERROR(__xludf.DUMMYFUNCTION("""COMPUTED_VALUE"""),"1st")</f>
        <v>1st</v>
      </c>
      <c r="H183" s="8" t="str">
        <f>IFERROR(__xludf.DUMMYFUNCTION("""COMPUTED_VALUE"""),"BullShooter 32")</f>
        <v>BullShooter 32</v>
      </c>
      <c r="I183" s="10">
        <f>IFERROR(__xludf.DUMMYFUNCTION("""COMPUTED_VALUE"""),42887.0)</f>
        <v>42887</v>
      </c>
      <c r="J183" s="10">
        <f>IFERROR(__xludf.DUMMYFUNCTION("""COMPUTED_VALUE"""),43983.0)</f>
        <v>43983</v>
      </c>
      <c r="K183" s="1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9" t="str">
        <f>IFERROR(__xludf.DUMMYFUNCTION("""COMPUTED_VALUE"""),"Mader")</f>
        <v>Mader</v>
      </c>
      <c r="B184" s="8" t="str">
        <f>IFERROR(__xludf.DUMMYFUNCTION("""COMPUTED_VALUE"""),"Rhonda")</f>
        <v>Rhonda</v>
      </c>
      <c r="C184" s="8" t="str">
        <f>IFERROR(__xludf.DUMMYFUNCTION("""COMPUTED_VALUE"""),"Lewiston")</f>
        <v>Lewiston</v>
      </c>
      <c r="D184" s="8" t="str">
        <f>IFERROR(__xludf.DUMMYFUNCTION("""COMPUTED_VALUE"""),"ID")</f>
        <v>ID</v>
      </c>
      <c r="E184" s="8" t="str">
        <f>IFERROR(__xludf.DUMMYFUNCTION("""COMPUTED_VALUE"""),"USA")</f>
        <v>USA</v>
      </c>
      <c r="F184" s="8" t="str">
        <f>IFERROR(__xludf.DUMMYFUNCTION("""COMPUTED_VALUE"""),"Top Gun B Singles")</f>
        <v>Top Gun B Singles</v>
      </c>
      <c r="G184" s="8" t="str">
        <f>IFERROR(__xludf.DUMMYFUNCTION("""COMPUTED_VALUE"""),"1st")</f>
        <v>1st</v>
      </c>
      <c r="H184" s="8" t="str">
        <f>IFERROR(__xludf.DUMMYFUNCTION("""COMPUTED_VALUE"""),"BS 33 Finals")</f>
        <v>BS 33 Finals</v>
      </c>
      <c r="I184" s="10">
        <f>IFERROR(__xludf.DUMMYFUNCTION("""COMPUTED_VALUE"""),43252.0)</f>
        <v>43252</v>
      </c>
      <c r="J184" s="10">
        <f>IFERROR(__xludf.DUMMYFUNCTION("""COMPUTED_VALUE"""),44348.0)</f>
        <v>44348</v>
      </c>
      <c r="K184" s="11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9" t="str">
        <f>IFERROR(__xludf.DUMMYFUNCTION("""COMPUTED_VALUE"""),"Maine")</f>
        <v>Maine</v>
      </c>
      <c r="B185" s="8" t="str">
        <f>IFERROR(__xludf.DUMMYFUNCTION("""COMPUTED_VALUE"""),"Shari")</f>
        <v>Shari</v>
      </c>
      <c r="C185" s="8" t="str">
        <f>IFERROR(__xludf.DUMMYFUNCTION("""COMPUTED_VALUE"""),"Dayton")</f>
        <v>Dayton</v>
      </c>
      <c r="D185" s="8" t="str">
        <f>IFERROR(__xludf.DUMMYFUNCTION("""COMPUTED_VALUE"""),"OH")</f>
        <v>OH</v>
      </c>
      <c r="E185" s="8" t="str">
        <f>IFERROR(__xludf.DUMMYFUNCTION("""COMPUTED_VALUE"""),"USA")</f>
        <v>USA</v>
      </c>
      <c r="F185" s="8" t="str">
        <f>IFERROR(__xludf.DUMMYFUNCTION("""COMPUTED_VALUE"""),"Womens A Cricket Dbls")</f>
        <v>Womens A Cricket Dbls</v>
      </c>
      <c r="G185" s="8" t="str">
        <f>IFERROR(__xludf.DUMMYFUNCTION("""COMPUTED_VALUE"""),"1st")</f>
        <v>1st</v>
      </c>
      <c r="H185" s="8" t="str">
        <f>IFERROR(__xludf.DUMMYFUNCTION("""COMPUTED_VALUE"""),"BullShooter 31")</f>
        <v>BullShooter 31</v>
      </c>
      <c r="I185" s="10">
        <f>IFERROR(__xludf.DUMMYFUNCTION("""COMPUTED_VALUE"""),42522.0)</f>
        <v>42522</v>
      </c>
      <c r="J185" s="10">
        <f>IFERROR(__xludf.DUMMYFUNCTION("""COMPUTED_VALUE"""),44713.0)</f>
        <v>44713</v>
      </c>
      <c r="K185" s="11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20.25" customHeight="1">
      <c r="A186" s="9" t="str">
        <f>IFERROR(__xludf.DUMMYFUNCTION("""COMPUTED_VALUE"""),"Malie")</f>
        <v>Malie</v>
      </c>
      <c r="B186" s="8" t="str">
        <f>IFERROR(__xludf.DUMMYFUNCTION("""COMPUTED_VALUE"""),"Jamie")</f>
        <v>Jamie</v>
      </c>
      <c r="C186" s="8" t="str">
        <f>IFERROR(__xludf.DUMMYFUNCTION("""COMPUTED_VALUE"""),"Pittsburgh")</f>
        <v>Pittsburgh</v>
      </c>
      <c r="D186" s="8" t="str">
        <f>IFERROR(__xludf.DUMMYFUNCTION("""COMPUTED_VALUE"""),"PA")</f>
        <v>PA</v>
      </c>
      <c r="E186" s="8" t="str">
        <f>IFERROR(__xludf.DUMMYFUNCTION("""COMPUTED_VALUE"""),"USA")</f>
        <v>USA</v>
      </c>
      <c r="F186" s="8" t="str">
        <f>IFERROR(__xludf.DUMMYFUNCTION("""COMPUTED_VALUE"""),"Womens Dbls Combo")</f>
        <v>Womens Dbls Combo</v>
      </c>
      <c r="G186" s="8" t="str">
        <f>IFERROR(__xludf.DUMMYFUNCTION("""COMPUTED_VALUE"""),"3rd")</f>
        <v>3rd</v>
      </c>
      <c r="H186" s="8" t="str">
        <f>IFERROR(__xludf.DUMMYFUNCTION("""COMPUTED_VALUE"""),"OH Regional 32")</f>
        <v>OH Regional 32</v>
      </c>
      <c r="I186" s="10">
        <f>IFERROR(__xludf.DUMMYFUNCTION("""COMPUTED_VALUE"""),42887.0)</f>
        <v>42887</v>
      </c>
      <c r="J186" s="10">
        <f>IFERROR(__xludf.DUMMYFUNCTION("""COMPUTED_VALUE"""),43983.0)</f>
        <v>43983</v>
      </c>
      <c r="K186" s="11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9" t="str">
        <f>IFERROR(__xludf.DUMMYFUNCTION("""COMPUTED_VALUE"""),"Mallary")</f>
        <v>Mallary</v>
      </c>
      <c r="B187" s="8" t="str">
        <f>IFERROR(__xludf.DUMMYFUNCTION("""COMPUTED_VALUE"""),"Tammy")</f>
        <v>Tammy</v>
      </c>
      <c r="C187" s="8" t="str">
        <f>IFERROR(__xludf.DUMMYFUNCTION("""COMPUTED_VALUE"""),"Port Byron")</f>
        <v>Port Byron</v>
      </c>
      <c r="D187" s="8" t="str">
        <f>IFERROR(__xludf.DUMMYFUNCTION("""COMPUTED_VALUE"""),"IL")</f>
        <v>IL</v>
      </c>
      <c r="E187" s="8" t="str">
        <f>IFERROR(__xludf.DUMMYFUNCTION("""COMPUTED_VALUE"""),"USA")</f>
        <v>USA</v>
      </c>
      <c r="F187" s="8" t="str">
        <f>IFERROR(__xludf.DUMMYFUNCTION("""COMPUTED_VALUE"""),"Top Gun Mixed Triples")</f>
        <v>Top Gun Mixed Triples</v>
      </c>
      <c r="G187" s="8" t="str">
        <f>IFERROR(__xludf.DUMMYFUNCTION("""COMPUTED_VALUE"""),"1st")</f>
        <v>1st</v>
      </c>
      <c r="H187" s="8" t="str">
        <f>IFERROR(__xludf.DUMMYFUNCTION("""COMPUTED_VALUE"""),"BullShooter 32")</f>
        <v>BullShooter 32</v>
      </c>
      <c r="I187" s="10">
        <f>IFERROR(__xludf.DUMMYFUNCTION("""COMPUTED_VALUE"""),42887.0)</f>
        <v>42887</v>
      </c>
      <c r="J187" s="10">
        <f>IFERROR(__xludf.DUMMYFUNCTION("""COMPUTED_VALUE"""),43983.0)</f>
        <v>43983</v>
      </c>
      <c r="K187" s="11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9" t="str">
        <f>IFERROR(__xludf.DUMMYFUNCTION("""COMPUTED_VALUE"""),"Mangin")</f>
        <v>Mangin</v>
      </c>
      <c r="B188" s="8" t="str">
        <f>IFERROR(__xludf.DUMMYFUNCTION("""COMPUTED_VALUE"""),"Kelsey")</f>
        <v>Kelsey</v>
      </c>
      <c r="C188" s="8" t="str">
        <f>IFERROR(__xludf.DUMMYFUNCTION("""COMPUTED_VALUE"""),"Myrtle Beach")</f>
        <v>Myrtle Beach</v>
      </c>
      <c r="D188" s="8" t="str">
        <f>IFERROR(__xludf.DUMMYFUNCTION("""COMPUTED_VALUE"""),"SC")</f>
        <v>SC</v>
      </c>
      <c r="E188" s="8" t="str">
        <f>IFERROR(__xludf.DUMMYFUNCTION("""COMPUTED_VALUE"""),"USA")</f>
        <v>USA</v>
      </c>
      <c r="F188" s="8" t="str">
        <f>IFERROR(__xludf.DUMMYFUNCTION("""COMPUTED_VALUE"""),"Womens Doubles Combo")</f>
        <v>Womens Doubles Combo</v>
      </c>
      <c r="G188" s="8" t="str">
        <f>IFERROR(__xludf.DUMMYFUNCTION("""COMPUTED_VALUE"""),"2nd")</f>
        <v>2nd</v>
      </c>
      <c r="H188" s="8" t="str">
        <f>IFERROR(__xludf.DUMMYFUNCTION("""COMPUTED_VALUE"""),"SC Regional 33")</f>
        <v>SC Regional 33</v>
      </c>
      <c r="I188" s="10">
        <f>IFERROR(__xludf.DUMMYFUNCTION("""COMPUTED_VALUE"""),43252.0)</f>
        <v>43252</v>
      </c>
      <c r="J188" s="10">
        <f>IFERROR(__xludf.DUMMYFUNCTION("""COMPUTED_VALUE"""),44348.0)</f>
        <v>44348</v>
      </c>
      <c r="K188" s="11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9" t="str">
        <f>IFERROR(__xludf.DUMMYFUNCTION("""COMPUTED_VALUE"""),"Marie")</f>
        <v>Marie</v>
      </c>
      <c r="B189" s="8" t="str">
        <f>IFERROR(__xludf.DUMMYFUNCTION("""COMPUTED_VALUE"""),"Christina")</f>
        <v>Christina</v>
      </c>
      <c r="C189" s="8" t="str">
        <f>IFERROR(__xludf.DUMMYFUNCTION("""COMPUTED_VALUE"""),"Leominster")</f>
        <v>Leominster</v>
      </c>
      <c r="D189" s="8" t="str">
        <f>IFERROR(__xludf.DUMMYFUNCTION("""COMPUTED_VALUE"""),"MA")</f>
        <v>MA</v>
      </c>
      <c r="E189" s="8" t="str">
        <f>IFERROR(__xludf.DUMMYFUNCTION("""COMPUTED_VALUE"""),"USA")</f>
        <v>USA</v>
      </c>
      <c r="F189" s="8" t="str">
        <f>IFERROR(__xludf.DUMMYFUNCTION("""COMPUTED_VALUE"""),"Womens Doubles")</f>
        <v>Womens Doubles</v>
      </c>
      <c r="G189" s="8" t="str">
        <f>IFERROR(__xludf.DUMMYFUNCTION("""COMPUTED_VALUE"""),"3rd")</f>
        <v>3rd</v>
      </c>
      <c r="H189" s="8" t="str">
        <f>IFERROR(__xludf.DUMMYFUNCTION("""COMPUTED_VALUE"""),"FL Regional 33")</f>
        <v>FL Regional 33</v>
      </c>
      <c r="I189" s="10">
        <f>IFERROR(__xludf.DUMMYFUNCTION("""COMPUTED_VALUE"""),43252.0)</f>
        <v>43252</v>
      </c>
      <c r="J189" s="10">
        <f>IFERROR(__xludf.DUMMYFUNCTION("""COMPUTED_VALUE"""),44348.0)</f>
        <v>44348</v>
      </c>
      <c r="K189" s="11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9" t="str">
        <f>IFERROR(__xludf.DUMMYFUNCTION("""COMPUTED_VALUE"""),"Martinez")</f>
        <v>Martinez</v>
      </c>
      <c r="B190" s="8" t="str">
        <f>IFERROR(__xludf.DUMMYFUNCTION("""COMPUTED_VALUE"""),"Thais")</f>
        <v>Thais</v>
      </c>
      <c r="C190" s="8" t="str">
        <f>IFERROR(__xludf.DUMMYFUNCTION("""COMPUTED_VALUE"""),"")</f>
        <v/>
      </c>
      <c r="D190" s="8" t="str">
        <f>IFERROR(__xludf.DUMMYFUNCTION("""COMPUTED_VALUE"""),"")</f>
        <v/>
      </c>
      <c r="E190" s="8" t="str">
        <f>IFERROR(__xludf.DUMMYFUNCTION("""COMPUTED_VALUE"""),"Spain")</f>
        <v>Spain</v>
      </c>
      <c r="F190" s="8" t="str">
        <f>IFERROR(__xludf.DUMMYFUNCTION("""COMPUTED_VALUE"""),"Womens A Cricket Dbls")</f>
        <v>Womens A Cricket Dbls</v>
      </c>
      <c r="G190" s="8" t="str">
        <f>IFERROR(__xludf.DUMMYFUNCTION("""COMPUTED_VALUE"""),"2nd")</f>
        <v>2nd</v>
      </c>
      <c r="H190" s="8" t="str">
        <f>IFERROR(__xludf.DUMMYFUNCTION("""COMPUTED_VALUE"""),"Off AA List")</f>
        <v>Off AA List</v>
      </c>
      <c r="I190" s="10">
        <f>IFERROR(__xludf.DUMMYFUNCTION("""COMPUTED_VALUE"""),42887.0)</f>
        <v>42887</v>
      </c>
      <c r="J190" s="10">
        <f>IFERROR(__xludf.DUMMYFUNCTION("""COMPUTED_VALUE"""),43983.0)</f>
        <v>43983</v>
      </c>
      <c r="K190" s="1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12" t="str">
        <f>IFERROR(__xludf.DUMMYFUNCTION("""COMPUTED_VALUE"""),"Maxwell")</f>
        <v>Maxwell</v>
      </c>
      <c r="B191" s="13" t="str">
        <f>IFERROR(__xludf.DUMMYFUNCTION("""COMPUTED_VALUE"""),"Angela")</f>
        <v>Angela</v>
      </c>
      <c r="C191" s="13" t="str">
        <f>IFERROR(__xludf.DUMMYFUNCTION("""COMPUTED_VALUE"""),"St. Peters")</f>
        <v>St. Peters</v>
      </c>
      <c r="D191" s="13" t="str">
        <f>IFERROR(__xludf.DUMMYFUNCTION("""COMPUTED_VALUE"""),"MO")</f>
        <v>MO</v>
      </c>
      <c r="E191" s="13" t="str">
        <f>IFERROR(__xludf.DUMMYFUNCTION("""COMPUTED_VALUE"""),"USA")</f>
        <v>USA</v>
      </c>
      <c r="F191" s="13" t="str">
        <f>IFERROR(__xludf.DUMMYFUNCTION("""COMPUTED_VALUE"""),"Top Gun Pro/AA Triples")</f>
        <v>Top Gun Pro/AA Triples</v>
      </c>
      <c r="G191" s="13" t="str">
        <f>IFERROR(__xludf.DUMMYFUNCTION("""COMPUTED_VALUE"""),"3rd/4th")</f>
        <v>3rd/4th</v>
      </c>
      <c r="H191" s="13" t="str">
        <f>IFERROR(__xludf.DUMMYFUNCTION("""COMPUTED_VALUE"""),"BullShooter 31")</f>
        <v>BullShooter 31</v>
      </c>
      <c r="I191" s="14">
        <f>IFERROR(__xludf.DUMMYFUNCTION("""COMPUTED_VALUE"""),42522.0)</f>
        <v>42522</v>
      </c>
      <c r="J191" s="14">
        <f>IFERROR(__xludf.DUMMYFUNCTION("""COMPUTED_VALUE"""),44713.0)</f>
        <v>44713</v>
      </c>
      <c r="K191" s="1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9" t="str">
        <f>IFERROR(__xludf.DUMMYFUNCTION("""COMPUTED_VALUE"""),"May")</f>
        <v>May</v>
      </c>
      <c r="B192" s="8" t="str">
        <f>IFERROR(__xludf.DUMMYFUNCTION("""COMPUTED_VALUE"""),"Stephanie")</f>
        <v>Stephanie</v>
      </c>
      <c r="C192" s="8" t="str">
        <f>IFERROR(__xludf.DUMMYFUNCTION("""COMPUTED_VALUE"""),"Washington")</f>
        <v>Washington</v>
      </c>
      <c r="D192" s="8" t="str">
        <f>IFERROR(__xludf.DUMMYFUNCTION("""COMPUTED_VALUE"""),"PA")</f>
        <v>PA</v>
      </c>
      <c r="E192" s="8" t="str">
        <f>IFERROR(__xludf.DUMMYFUNCTION("""COMPUTED_VALUE"""),"USA")</f>
        <v>USA</v>
      </c>
      <c r="F192" s="8" t="str">
        <f>IFERROR(__xludf.DUMMYFUNCTION("""COMPUTED_VALUE"""),"Womens Doubles")</f>
        <v>Womens Doubles</v>
      </c>
      <c r="G192" s="8" t="str">
        <f>IFERROR(__xludf.DUMMYFUNCTION("""COMPUTED_VALUE"""),"2nd")</f>
        <v>2nd</v>
      </c>
      <c r="H192" s="8" t="str">
        <f>IFERROR(__xludf.DUMMYFUNCTION("""COMPUTED_VALUE"""),"PA Regional 33")</f>
        <v>PA Regional 33</v>
      </c>
      <c r="I192" s="10">
        <f>IFERROR(__xludf.DUMMYFUNCTION("""COMPUTED_VALUE"""),43252.0)</f>
        <v>43252</v>
      </c>
      <c r="J192" s="10">
        <f>IFERROR(__xludf.DUMMYFUNCTION("""COMPUTED_VALUE"""),44348.0)</f>
        <v>44348</v>
      </c>
      <c r="K192" s="11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9" t="str">
        <f>IFERROR(__xludf.DUMMYFUNCTION("""COMPUTED_VALUE"""),"May")</f>
        <v>May</v>
      </c>
      <c r="B193" s="8" t="str">
        <f>IFERROR(__xludf.DUMMYFUNCTION("""COMPUTED_VALUE"""),"Meghan")</f>
        <v>Meghan</v>
      </c>
      <c r="C193" s="8" t="str">
        <f>IFERROR(__xludf.DUMMYFUNCTION("""COMPUTED_VALUE"""),"Indianapolis")</f>
        <v>Indianapolis</v>
      </c>
      <c r="D193" s="8" t="str">
        <f>IFERROR(__xludf.DUMMYFUNCTION("""COMPUTED_VALUE"""),"IN")</f>
        <v>IN</v>
      </c>
      <c r="E193" s="8" t="str">
        <f>IFERROR(__xludf.DUMMYFUNCTION("""COMPUTED_VALUE"""),"USA")</f>
        <v>USA</v>
      </c>
      <c r="F193" s="8" t="str">
        <f>IFERROR(__xludf.DUMMYFUNCTION("""COMPUTED_VALUE"""),"Top Gun Pro/AA Triples")</f>
        <v>Top Gun Pro/AA Triples</v>
      </c>
      <c r="G193" s="8" t="str">
        <f>IFERROR(__xludf.DUMMYFUNCTION("""COMPUTED_VALUE"""),"3rd-4th")</f>
        <v>3rd-4th</v>
      </c>
      <c r="H193" s="8" t="str">
        <f>IFERROR(__xludf.DUMMYFUNCTION("""COMPUTED_VALUE"""),"BullShooter 31")</f>
        <v>BullShooter 31</v>
      </c>
      <c r="I193" s="10">
        <f>IFERROR(__xludf.DUMMYFUNCTION("""COMPUTED_VALUE"""),42522.0)</f>
        <v>42522</v>
      </c>
      <c r="J193" s="10">
        <f>IFERROR(__xludf.DUMMYFUNCTION("""COMPUTED_VALUE"""),44713.0)</f>
        <v>44713</v>
      </c>
      <c r="K193" s="11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9" t="str">
        <f>IFERROR(__xludf.DUMMYFUNCTION("""COMPUTED_VALUE"""),"McCandless")</f>
        <v>McCandless</v>
      </c>
      <c r="B194" s="8" t="str">
        <f>IFERROR(__xludf.DUMMYFUNCTION("""COMPUTED_VALUE"""),"Kirsten")</f>
        <v>Kirsten</v>
      </c>
      <c r="C194" s="8" t="str">
        <f>IFERROR(__xludf.DUMMYFUNCTION("""COMPUTED_VALUE"""),"")</f>
        <v/>
      </c>
      <c r="D194" s="8" t="str">
        <f>IFERROR(__xludf.DUMMYFUNCTION("""COMPUTED_VALUE"""),"UNK")</f>
        <v>UNK</v>
      </c>
      <c r="E194" s="8" t="str">
        <f>IFERROR(__xludf.DUMMYFUNCTION("""COMPUTED_VALUE"""),"UNK")</f>
        <v>UNK</v>
      </c>
      <c r="F194" s="8" t="str">
        <f>IFERROR(__xludf.DUMMYFUNCTION("""COMPUTED_VALUE"""),"ADO 2016")</f>
        <v>ADO 2016</v>
      </c>
      <c r="G194" s="8" t="str">
        <f>IFERROR(__xludf.DUMMYFUNCTION("""COMPUTED_VALUE"""),"13th")</f>
        <v>13th</v>
      </c>
      <c r="H194" s="8" t="str">
        <f>IFERROR(__xludf.DUMMYFUNCTION("""COMPUTED_VALUE"""),"ADO 2016")</f>
        <v>ADO 2016</v>
      </c>
      <c r="I194" s="10">
        <f>IFERROR(__xludf.DUMMYFUNCTION("""COMPUTED_VALUE"""),42401.0)</f>
        <v>42401</v>
      </c>
      <c r="J194" s="10">
        <f>IFERROR(__xludf.DUMMYFUNCTION("""COMPUTED_VALUE"""),44713.0)</f>
        <v>44713</v>
      </c>
      <c r="K194" s="11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9" t="str">
        <f>IFERROR(__xludf.DUMMYFUNCTION("""COMPUTED_VALUE"""),"McClure")</f>
        <v>McClure</v>
      </c>
      <c r="B195" s="8" t="str">
        <f>IFERROR(__xludf.DUMMYFUNCTION("""COMPUTED_VALUE"""),"Christy")</f>
        <v>Christy</v>
      </c>
      <c r="C195" s="8" t="str">
        <f>IFERROR(__xludf.DUMMYFUNCTION("""COMPUTED_VALUE"""),"St. Joseph")</f>
        <v>St. Joseph</v>
      </c>
      <c r="D195" s="8" t="str">
        <f>IFERROR(__xludf.DUMMYFUNCTION("""COMPUTED_VALUE"""),"MO")</f>
        <v>MO</v>
      </c>
      <c r="E195" s="8" t="str">
        <f>IFERROR(__xludf.DUMMYFUNCTION("""COMPUTED_VALUE"""),"USA")</f>
        <v>USA</v>
      </c>
      <c r="F195" s="8" t="str">
        <f>IFERROR(__xludf.DUMMYFUNCTION("""COMPUTED_VALUE"""),"")</f>
        <v/>
      </c>
      <c r="G195" s="8" t="str">
        <f>IFERROR(__xludf.DUMMYFUNCTION("""COMPUTED_VALUE"""),"")</f>
        <v/>
      </c>
      <c r="H195" s="8" t="str">
        <f>IFERROR(__xludf.DUMMYFUNCTION("""COMPUTED_VALUE"""),"BS 30 Finals")</f>
        <v>BS 30 Finals</v>
      </c>
      <c r="I195" s="10">
        <f>IFERROR(__xludf.DUMMYFUNCTION("""COMPUTED_VALUE"""),43252.0)</f>
        <v>43252</v>
      </c>
      <c r="J195" s="10">
        <f>IFERROR(__xludf.DUMMYFUNCTION("""COMPUTED_VALUE"""),44348.0)</f>
        <v>44348</v>
      </c>
      <c r="K195" s="11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9" t="str">
        <f>IFERROR(__xludf.DUMMYFUNCTION("""COMPUTED_VALUE"""),"McConnell")</f>
        <v>McConnell</v>
      </c>
      <c r="B196" s="8" t="str">
        <f>IFERROR(__xludf.DUMMYFUNCTION("""COMPUTED_VALUE"""),"Amanda")</f>
        <v>Amanda</v>
      </c>
      <c r="C196" s="8" t="str">
        <f>IFERROR(__xludf.DUMMYFUNCTION("""COMPUTED_VALUE"""),"Watertown")</f>
        <v>Watertown</v>
      </c>
      <c r="D196" s="8" t="str">
        <f>IFERROR(__xludf.DUMMYFUNCTION("""COMPUTED_VALUE"""),"NY")</f>
        <v>NY</v>
      </c>
      <c r="E196" s="8" t="str">
        <f>IFERROR(__xludf.DUMMYFUNCTION("""COMPUTED_VALUE"""),"USA")</f>
        <v>USA</v>
      </c>
      <c r="F196" s="8" t="str">
        <f>IFERROR(__xludf.DUMMYFUNCTION("""COMPUTED_VALUE"""),"Womens Doubles")</f>
        <v>Womens Doubles</v>
      </c>
      <c r="G196" s="8" t="str">
        <f>IFERROR(__xludf.DUMMYFUNCTION("""COMPUTED_VALUE"""),"1st")</f>
        <v>1st</v>
      </c>
      <c r="H196" s="8" t="str">
        <f>IFERROR(__xludf.DUMMYFUNCTION("""COMPUTED_VALUE"""),"NY Regional 32")</f>
        <v>NY Regional 32</v>
      </c>
      <c r="I196" s="10">
        <f>IFERROR(__xludf.DUMMYFUNCTION("""COMPUTED_VALUE"""),42887.0)</f>
        <v>42887</v>
      </c>
      <c r="J196" s="10">
        <f>IFERROR(__xludf.DUMMYFUNCTION("""COMPUTED_VALUE"""),43983.0)</f>
        <v>43983</v>
      </c>
      <c r="K196" s="11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9" t="str">
        <f>IFERROR(__xludf.DUMMYFUNCTION("""COMPUTED_VALUE"""),"McCrary")</f>
        <v>McCrary</v>
      </c>
      <c r="B197" s="8" t="str">
        <f>IFERROR(__xludf.DUMMYFUNCTION("""COMPUTED_VALUE"""),"Sherri")</f>
        <v>Sherri</v>
      </c>
      <c r="C197" s="8" t="str">
        <f>IFERROR(__xludf.DUMMYFUNCTION("""COMPUTED_VALUE"""),"New Caney")</f>
        <v>New Caney</v>
      </c>
      <c r="D197" s="8" t="str">
        <f>IFERROR(__xludf.DUMMYFUNCTION("""COMPUTED_VALUE"""),"TX")</f>
        <v>TX</v>
      </c>
      <c r="E197" s="8" t="str">
        <f>IFERROR(__xludf.DUMMYFUNCTION("""COMPUTED_VALUE"""),"USA")</f>
        <v>USA</v>
      </c>
      <c r="F197" s="8" t="str">
        <f>IFERROR(__xludf.DUMMYFUNCTION("""COMPUTED_VALUE"""),"Womens Doubles Combo")</f>
        <v>Womens Doubles Combo</v>
      </c>
      <c r="G197" s="8" t="str">
        <f>IFERROR(__xludf.DUMMYFUNCTION("""COMPUTED_VALUE"""),"3rd")</f>
        <v>3rd</v>
      </c>
      <c r="H197" s="8" t="str">
        <f>IFERROR(__xludf.DUMMYFUNCTION("""COMPUTED_VALUE"""),"TX Regional 33")</f>
        <v>TX Regional 33</v>
      </c>
      <c r="I197" s="10">
        <f>IFERROR(__xludf.DUMMYFUNCTION("""COMPUTED_VALUE"""),43252.0)</f>
        <v>43252</v>
      </c>
      <c r="J197" s="10">
        <f>IFERROR(__xludf.DUMMYFUNCTION("""COMPUTED_VALUE"""),44348.0)</f>
        <v>44348</v>
      </c>
      <c r="K197" s="11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9" t="str">
        <f>IFERROR(__xludf.DUMMYFUNCTION("""COMPUTED_VALUE"""),"McDaniel")</f>
        <v>McDaniel</v>
      </c>
      <c r="B198" s="8" t="str">
        <f>IFERROR(__xludf.DUMMYFUNCTION("""COMPUTED_VALUE"""),"Stacy")</f>
        <v>Stacy</v>
      </c>
      <c r="C198" s="8" t="str">
        <f>IFERROR(__xludf.DUMMYFUNCTION("""COMPUTED_VALUE"""),"Walls")</f>
        <v>Walls</v>
      </c>
      <c r="D198" s="8" t="str">
        <f>IFERROR(__xludf.DUMMYFUNCTION("""COMPUTED_VALUE"""),"MS")</f>
        <v>MS</v>
      </c>
      <c r="E198" s="8" t="str">
        <f>IFERROR(__xludf.DUMMYFUNCTION("""COMPUTED_VALUE"""),"USA")</f>
        <v>USA</v>
      </c>
      <c r="F198" s="8" t="str">
        <f>IFERROR(__xludf.DUMMYFUNCTION("""COMPUTED_VALUE"""),"TopGun Women B Singles")</f>
        <v>TopGun Women B Singles</v>
      </c>
      <c r="G198" s="8" t="str">
        <f>IFERROR(__xludf.DUMMYFUNCTION("""COMPUTED_VALUE"""),"2nd")</f>
        <v>2nd</v>
      </c>
      <c r="H198" s="8" t="str">
        <f>IFERROR(__xludf.DUMMYFUNCTION("""COMPUTED_VALUE"""),"BullShooter 34 Finals")</f>
        <v>BullShooter 34 Finals</v>
      </c>
      <c r="I198" s="10">
        <f>IFERROR(__xludf.DUMMYFUNCTION("""COMPUTED_VALUE"""),43617.0)</f>
        <v>43617</v>
      </c>
      <c r="J198" s="10">
        <f>IFERROR(__xludf.DUMMYFUNCTION("""COMPUTED_VALUE"""),44713.0)</f>
        <v>44713</v>
      </c>
      <c r="K198" s="1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9" t="str">
        <f>IFERROR(__xludf.DUMMYFUNCTION("""COMPUTED_VALUE"""),"McGee")</f>
        <v>McGee</v>
      </c>
      <c r="B199" s="8" t="str">
        <f>IFERROR(__xludf.DUMMYFUNCTION("""COMPUTED_VALUE"""),"Natasha")</f>
        <v>Natasha</v>
      </c>
      <c r="C199" s="8" t="str">
        <f>IFERROR(__xludf.DUMMYFUNCTION("""COMPUTED_VALUE"""),"St. Augustine")</f>
        <v>St. Augustine</v>
      </c>
      <c r="D199" s="8" t="str">
        <f>IFERROR(__xludf.DUMMYFUNCTION("""COMPUTED_VALUE"""),"FL")</f>
        <v>FL</v>
      </c>
      <c r="E199" s="8" t="str">
        <f>IFERROR(__xludf.DUMMYFUNCTION("""COMPUTED_VALUE"""),"USA")</f>
        <v>USA</v>
      </c>
      <c r="F199" s="8" t="str">
        <f>IFERROR(__xludf.DUMMYFUNCTION("""COMPUTED_VALUE"""),"Womens Doubles Combo")</f>
        <v>Womens Doubles Combo</v>
      </c>
      <c r="G199" s="8" t="str">
        <f>IFERROR(__xludf.DUMMYFUNCTION("""COMPUTED_VALUE"""),"3rd")</f>
        <v>3rd</v>
      </c>
      <c r="H199" s="8" t="str">
        <f>IFERROR(__xludf.DUMMYFUNCTION("""COMPUTED_VALUE"""),"Florida Regional 32")</f>
        <v>Florida Regional 32</v>
      </c>
      <c r="I199" s="10">
        <f>IFERROR(__xludf.DUMMYFUNCTION("""COMPUTED_VALUE"""),42887.0)</f>
        <v>42887</v>
      </c>
      <c r="J199" s="10">
        <f>IFERROR(__xludf.DUMMYFUNCTION("""COMPUTED_VALUE"""),43983.0)</f>
        <v>43983</v>
      </c>
      <c r="K199" s="1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9" t="str">
        <f>IFERROR(__xludf.DUMMYFUNCTION("""COMPUTED_VALUE"""),"McGee")</f>
        <v>McGee</v>
      </c>
      <c r="B200" s="8" t="str">
        <f>IFERROR(__xludf.DUMMYFUNCTION("""COMPUTED_VALUE"""),"Meredith")</f>
        <v>Meredith</v>
      </c>
      <c r="C200" s="8" t="str">
        <f>IFERROR(__xludf.DUMMYFUNCTION("""COMPUTED_VALUE"""),"Oviedo")</f>
        <v>Oviedo</v>
      </c>
      <c r="D200" s="8" t="str">
        <f>IFERROR(__xludf.DUMMYFUNCTION("""COMPUTED_VALUE"""),"FL")</f>
        <v>FL</v>
      </c>
      <c r="E200" s="8" t="str">
        <f>IFERROR(__xludf.DUMMYFUNCTION("""COMPUTED_VALUE"""),"USA")</f>
        <v>USA</v>
      </c>
      <c r="F200" s="8" t="str">
        <f>IFERROR(__xludf.DUMMYFUNCTION("""COMPUTED_VALUE"""),"Women 301 Doubles")</f>
        <v>Women 301 Doubles</v>
      </c>
      <c r="G200" s="8" t="str">
        <f>IFERROR(__xludf.DUMMYFUNCTION("""COMPUTED_VALUE"""),"2nd")</f>
        <v>2nd</v>
      </c>
      <c r="H200" s="8" t="str">
        <f>IFERROR(__xludf.DUMMYFUNCTION("""COMPUTED_VALUE"""),"Florida BS 34")</f>
        <v>Florida BS 34</v>
      </c>
      <c r="I200" s="10">
        <f>IFERROR(__xludf.DUMMYFUNCTION("""COMPUTED_VALUE"""),43617.0)</f>
        <v>43617</v>
      </c>
      <c r="J200" s="10">
        <f>IFERROR(__xludf.DUMMYFUNCTION("""COMPUTED_VALUE"""),44713.0)</f>
        <v>44713</v>
      </c>
      <c r="K200" s="1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9" t="str">
        <f>IFERROR(__xludf.DUMMYFUNCTION("""COMPUTED_VALUE"""),"McGinley")</f>
        <v>McGinley</v>
      </c>
      <c r="B201" s="8" t="str">
        <f>IFERROR(__xludf.DUMMYFUNCTION("""COMPUTED_VALUE"""),"Karen")</f>
        <v>Karen</v>
      </c>
      <c r="C201" s="8" t="str">
        <f>IFERROR(__xludf.DUMMYFUNCTION("""COMPUTED_VALUE"""),"Valparaisa")</f>
        <v>Valparaisa</v>
      </c>
      <c r="D201" s="8" t="str">
        <f>IFERROR(__xludf.DUMMYFUNCTION("""COMPUTED_VALUE"""),"IN")</f>
        <v>IN</v>
      </c>
      <c r="E201" s="8" t="str">
        <f>IFERROR(__xludf.DUMMYFUNCTION("""COMPUTED_VALUE"""),"USA")</f>
        <v>USA</v>
      </c>
      <c r="F201" s="8" t="str">
        <f>IFERROR(__xludf.DUMMYFUNCTION("""COMPUTED_VALUE"""),"Top Gun Mixed Triples")</f>
        <v>Top Gun Mixed Triples</v>
      </c>
      <c r="G201" s="8" t="str">
        <f>IFERROR(__xludf.DUMMYFUNCTION("""COMPUTED_VALUE"""),"3rd/4th")</f>
        <v>3rd/4th</v>
      </c>
      <c r="H201" s="8" t="str">
        <f>IFERROR(__xludf.DUMMYFUNCTION("""COMPUTED_VALUE"""),"BullShooter 32")</f>
        <v>BullShooter 32</v>
      </c>
      <c r="I201" s="10">
        <f>IFERROR(__xludf.DUMMYFUNCTION("""COMPUTED_VALUE"""),42887.0)</f>
        <v>42887</v>
      </c>
      <c r="J201" s="10">
        <f>IFERROR(__xludf.DUMMYFUNCTION("""COMPUTED_VALUE"""),43983.0)</f>
        <v>43983</v>
      </c>
      <c r="K201" s="1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9" t="str">
        <f>IFERROR(__xludf.DUMMYFUNCTION("""COMPUTED_VALUE"""),"McGinnis")</f>
        <v>McGinnis</v>
      </c>
      <c r="B202" s="8" t="str">
        <f>IFERROR(__xludf.DUMMYFUNCTION("""COMPUTED_VALUE"""),"Angela")</f>
        <v>Angela</v>
      </c>
      <c r="C202" s="8" t="str">
        <f>IFERROR(__xludf.DUMMYFUNCTION("""COMPUTED_VALUE"""),"Altoona")</f>
        <v>Altoona</v>
      </c>
      <c r="D202" s="8" t="str">
        <f>IFERROR(__xludf.DUMMYFUNCTION("""COMPUTED_VALUE"""),"IA")</f>
        <v>IA</v>
      </c>
      <c r="E202" s="8" t="str">
        <f>IFERROR(__xludf.DUMMYFUNCTION("""COMPUTED_VALUE"""),"USA")</f>
        <v>USA</v>
      </c>
      <c r="F202" s="8" t="str">
        <f>IFERROR(__xludf.DUMMYFUNCTION("""COMPUTED_VALUE"""),"Womens Doubles")</f>
        <v>Womens Doubles</v>
      </c>
      <c r="G202" s="8" t="str">
        <f>IFERROR(__xludf.DUMMYFUNCTION("""COMPUTED_VALUE"""),"1st")</f>
        <v>1st</v>
      </c>
      <c r="H202" s="8" t="str">
        <f>IFERROR(__xludf.DUMMYFUNCTION("""COMPUTED_VALUE"""),"NE Regional 33")</f>
        <v>NE Regional 33</v>
      </c>
      <c r="I202" s="10">
        <f>IFERROR(__xludf.DUMMYFUNCTION("""COMPUTED_VALUE"""),43252.0)</f>
        <v>43252</v>
      </c>
      <c r="J202" s="10">
        <f>IFERROR(__xludf.DUMMYFUNCTION("""COMPUTED_VALUE"""),44348.0)</f>
        <v>44348</v>
      </c>
      <c r="K202" s="1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9" t="str">
        <f>IFERROR(__xludf.DUMMYFUNCTION("""COMPUTED_VALUE"""),"McGrath")</f>
        <v>McGrath</v>
      </c>
      <c r="B203" s="8" t="str">
        <f>IFERROR(__xludf.DUMMYFUNCTION("""COMPUTED_VALUE"""),"Mary")</f>
        <v>Mary</v>
      </c>
      <c r="C203" s="8" t="str">
        <f>IFERROR(__xludf.DUMMYFUNCTION("""COMPUTED_VALUE"""),"Springfield")</f>
        <v>Springfield</v>
      </c>
      <c r="D203" s="8" t="str">
        <f>IFERROR(__xludf.DUMMYFUNCTION("""COMPUTED_VALUE"""),"IL")</f>
        <v>IL</v>
      </c>
      <c r="E203" s="8" t="str">
        <f>IFERROR(__xludf.DUMMYFUNCTION("""COMPUTED_VALUE"""),"USA")</f>
        <v>USA</v>
      </c>
      <c r="F203" s="8" t="str">
        <f>IFERROR(__xludf.DUMMYFUNCTION("""COMPUTED_VALUE"""),"Women B 301 Doubles")</f>
        <v>Women B 301 Doubles</v>
      </c>
      <c r="G203" s="8" t="str">
        <f>IFERROR(__xludf.DUMMYFUNCTION("""COMPUTED_VALUE"""),"4th")</f>
        <v>4th</v>
      </c>
      <c r="H203" s="8" t="str">
        <f>IFERROR(__xludf.DUMMYFUNCTION("""COMPUTED_VALUE"""),"BullShooter 34 Finals")</f>
        <v>BullShooter 34 Finals</v>
      </c>
      <c r="I203" s="10">
        <f>IFERROR(__xludf.DUMMYFUNCTION("""COMPUTED_VALUE"""),43617.0)</f>
        <v>43617</v>
      </c>
      <c r="J203" s="10">
        <f>IFERROR(__xludf.DUMMYFUNCTION("""COMPUTED_VALUE"""),44713.0)</f>
        <v>44713</v>
      </c>
      <c r="K203" s="1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9" t="str">
        <f>IFERROR(__xludf.DUMMYFUNCTION("""COMPUTED_VALUE"""),"McKimmey")</f>
        <v>McKimmey</v>
      </c>
      <c r="B204" s="8" t="str">
        <f>IFERROR(__xludf.DUMMYFUNCTION("""COMPUTED_VALUE"""),"Jenelle")</f>
        <v>Jenelle</v>
      </c>
      <c r="C204" s="8" t="str">
        <f>IFERROR(__xludf.DUMMYFUNCTION("""COMPUTED_VALUE"""),"Humboldt")</f>
        <v>Humboldt</v>
      </c>
      <c r="D204" s="8" t="str">
        <f>IFERROR(__xludf.DUMMYFUNCTION("""COMPUTED_VALUE"""),"IA")</f>
        <v>IA</v>
      </c>
      <c r="E204" s="8" t="str">
        <f>IFERROR(__xludf.DUMMYFUNCTION("""COMPUTED_VALUE"""),"USA")</f>
        <v>USA</v>
      </c>
      <c r="F204" s="8" t="str">
        <f>IFERROR(__xludf.DUMMYFUNCTION("""COMPUTED_VALUE"""),"Women Combo Singles")</f>
        <v>Women Combo Singles</v>
      </c>
      <c r="G204" s="8" t="str">
        <f>IFERROR(__xludf.DUMMYFUNCTION("""COMPUTED_VALUE"""),"1st")</f>
        <v>1st</v>
      </c>
      <c r="H204" s="8" t="str">
        <f>IFERROR(__xludf.DUMMYFUNCTION("""COMPUTED_VALUE"""),"Nebraska BS 34")</f>
        <v>Nebraska BS 34</v>
      </c>
      <c r="I204" s="10">
        <f>IFERROR(__xludf.DUMMYFUNCTION("""COMPUTED_VALUE"""),43617.0)</f>
        <v>43617</v>
      </c>
      <c r="J204" s="10">
        <f>IFERROR(__xludf.DUMMYFUNCTION("""COMPUTED_VALUE"""),44713.0)</f>
        <v>44713</v>
      </c>
      <c r="K204" s="1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9" t="str">
        <f>IFERROR(__xludf.DUMMYFUNCTION("""COMPUTED_VALUE"""),"McNeill")</f>
        <v>McNeill</v>
      </c>
      <c r="B205" s="8" t="str">
        <f>IFERROR(__xludf.DUMMYFUNCTION("""COMPUTED_VALUE"""),"Katherine")</f>
        <v>Katherine</v>
      </c>
      <c r="C205" s="8" t="str">
        <f>IFERROR(__xludf.DUMMYFUNCTION("""COMPUTED_VALUE"""),"Cape Girardeau")</f>
        <v>Cape Girardeau</v>
      </c>
      <c r="D205" s="8" t="str">
        <f>IFERROR(__xludf.DUMMYFUNCTION("""COMPUTED_VALUE"""),"MO")</f>
        <v>MO</v>
      </c>
      <c r="E205" s="8" t="str">
        <f>IFERROR(__xludf.DUMMYFUNCTION("""COMPUTED_VALUE"""),"USA")</f>
        <v>USA</v>
      </c>
      <c r="F205" s="8" t="str">
        <f>IFERROR(__xludf.DUMMYFUNCTION("""COMPUTED_VALUE"""),"Women 301 Doubles")</f>
        <v>Women 301 Doubles</v>
      </c>
      <c r="G205" s="8" t="str">
        <f>IFERROR(__xludf.DUMMYFUNCTION("""COMPUTED_VALUE"""),"3rd")</f>
        <v>3rd</v>
      </c>
      <c r="H205" s="8" t="str">
        <f>IFERROR(__xludf.DUMMYFUNCTION("""COMPUTED_VALUE"""),"Tennessee BS 34")</f>
        <v>Tennessee BS 34</v>
      </c>
      <c r="I205" s="10">
        <f>IFERROR(__xludf.DUMMYFUNCTION("""COMPUTED_VALUE"""),43617.0)</f>
        <v>43617</v>
      </c>
      <c r="J205" s="10">
        <f>IFERROR(__xludf.DUMMYFUNCTION("""COMPUTED_VALUE"""),44713.0)</f>
        <v>44713</v>
      </c>
      <c r="K205" s="11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9" t="str">
        <f>IFERROR(__xludf.DUMMYFUNCTION("""COMPUTED_VALUE"""),"McQueen")</f>
        <v>McQueen</v>
      </c>
      <c r="B206" s="8" t="str">
        <f>IFERROR(__xludf.DUMMYFUNCTION("""COMPUTED_VALUE"""),"Ally")</f>
        <v>Ally</v>
      </c>
      <c r="C206" s="8" t="str">
        <f>IFERROR(__xludf.DUMMYFUNCTION("""COMPUTED_VALUE"""),"Indianapolis")</f>
        <v>Indianapolis</v>
      </c>
      <c r="D206" s="8" t="str">
        <f>IFERROR(__xludf.DUMMYFUNCTION("""COMPUTED_VALUE"""),"IN")</f>
        <v>IN</v>
      </c>
      <c r="E206" s="8" t="str">
        <f>IFERROR(__xludf.DUMMYFUNCTION("""COMPUTED_VALUE"""),"USA")</f>
        <v>USA</v>
      </c>
      <c r="F206" s="8" t="str">
        <f>IFERROR(__xludf.DUMMYFUNCTION("""COMPUTED_VALUE"""),"Womens Doubles")</f>
        <v>Womens Doubles</v>
      </c>
      <c r="G206" s="8" t="str">
        <f>IFERROR(__xludf.DUMMYFUNCTION("""COMPUTED_VALUE"""),"1st")</f>
        <v>1st</v>
      </c>
      <c r="H206" s="8" t="str">
        <f>IFERROR(__xludf.DUMMYFUNCTION("""COMPUTED_VALUE"""),"IN Regional 33")</f>
        <v>IN Regional 33</v>
      </c>
      <c r="I206" s="10">
        <f>IFERROR(__xludf.DUMMYFUNCTION("""COMPUTED_VALUE"""),43252.0)</f>
        <v>43252</v>
      </c>
      <c r="J206" s="10">
        <f>IFERROR(__xludf.DUMMYFUNCTION("""COMPUTED_VALUE"""),44348.0)</f>
        <v>44348</v>
      </c>
      <c r="K206" s="11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9" t="str">
        <f>IFERROR(__xludf.DUMMYFUNCTION("""COMPUTED_VALUE"""),"Meares")</f>
        <v>Meares</v>
      </c>
      <c r="B207" s="8" t="str">
        <f>IFERROR(__xludf.DUMMYFUNCTION("""COMPUTED_VALUE"""),"Tyler")</f>
        <v>Tyler</v>
      </c>
      <c r="C207" s="8" t="str">
        <f>IFERROR(__xludf.DUMMYFUNCTION("""COMPUTED_VALUE"""),"Sarasota")</f>
        <v>Sarasota</v>
      </c>
      <c r="D207" s="8" t="str">
        <f>IFERROR(__xludf.DUMMYFUNCTION("""COMPUTED_VALUE"""),"FL")</f>
        <v>FL</v>
      </c>
      <c r="E207" s="8" t="str">
        <f>IFERROR(__xludf.DUMMYFUNCTION("""COMPUTED_VALUE"""),"USA")</f>
        <v>USA</v>
      </c>
      <c r="F207" s="8" t="str">
        <f>IFERROR(__xludf.DUMMYFUNCTION("""COMPUTED_VALUE"""),"Women 301 Doubles")</f>
        <v>Women 301 Doubles</v>
      </c>
      <c r="G207" s="8" t="str">
        <f>IFERROR(__xludf.DUMMYFUNCTION("""COMPUTED_VALUE"""),"1st")</f>
        <v>1st</v>
      </c>
      <c r="H207" s="8" t="str">
        <f>IFERROR(__xludf.DUMMYFUNCTION("""COMPUTED_VALUE"""),"Florida BS 34")</f>
        <v>Florida BS 34</v>
      </c>
      <c r="I207" s="10">
        <f>IFERROR(__xludf.DUMMYFUNCTION("""COMPUTED_VALUE"""),43617.0)</f>
        <v>43617</v>
      </c>
      <c r="J207" s="10">
        <f>IFERROR(__xludf.DUMMYFUNCTION("""COMPUTED_VALUE"""),44713.0)</f>
        <v>44713</v>
      </c>
      <c r="K207" s="11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9" t="str">
        <f>IFERROR(__xludf.DUMMYFUNCTION("""COMPUTED_VALUE"""),"Medina")</f>
        <v>Medina</v>
      </c>
      <c r="B208" s="8" t="str">
        <f>IFERROR(__xludf.DUMMYFUNCTION("""COMPUTED_VALUE"""),"Irene")</f>
        <v>Irene</v>
      </c>
      <c r="C208" s="8" t="str">
        <f>IFERROR(__xludf.DUMMYFUNCTION("""COMPUTED_VALUE"""),"Converse")</f>
        <v>Converse</v>
      </c>
      <c r="D208" s="8" t="str">
        <f>IFERROR(__xludf.DUMMYFUNCTION("""COMPUTED_VALUE"""),"TX")</f>
        <v>TX</v>
      </c>
      <c r="E208" s="8" t="str">
        <f>IFERROR(__xludf.DUMMYFUNCTION("""COMPUTED_VALUE"""),"USA")</f>
        <v>USA</v>
      </c>
      <c r="F208" s="8" t="str">
        <f>IFERROR(__xludf.DUMMYFUNCTION("""COMPUTED_VALUE"""),"Womens Dbls Combo")</f>
        <v>Womens Dbls Combo</v>
      </c>
      <c r="G208" s="8" t="str">
        <f>IFERROR(__xludf.DUMMYFUNCTION("""COMPUTED_VALUE"""),"2nd")</f>
        <v>2nd</v>
      </c>
      <c r="H208" s="8" t="str">
        <f>IFERROR(__xludf.DUMMYFUNCTION("""COMPUTED_VALUE"""),"TX Regional 32")</f>
        <v>TX Regional 32</v>
      </c>
      <c r="I208" s="10">
        <f>IFERROR(__xludf.DUMMYFUNCTION("""COMPUTED_VALUE"""),42887.0)</f>
        <v>42887</v>
      </c>
      <c r="J208" s="10">
        <f>IFERROR(__xludf.DUMMYFUNCTION("""COMPUTED_VALUE"""),43983.0)</f>
        <v>43983</v>
      </c>
      <c r="K208" s="1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9" t="str">
        <f>IFERROR(__xludf.DUMMYFUNCTION("""COMPUTED_VALUE"""),"Metts")</f>
        <v>Metts</v>
      </c>
      <c r="B209" s="8" t="str">
        <f>IFERROR(__xludf.DUMMYFUNCTION("""COMPUTED_VALUE"""),"Kelly")</f>
        <v>Kelly</v>
      </c>
      <c r="C209" s="8" t="str">
        <f>IFERROR(__xludf.DUMMYFUNCTION("""COMPUTED_VALUE"""),"Dearborn")</f>
        <v>Dearborn</v>
      </c>
      <c r="D209" s="8" t="str">
        <f>IFERROR(__xludf.DUMMYFUNCTION("""COMPUTED_VALUE"""),"MI")</f>
        <v>MI</v>
      </c>
      <c r="E209" s="8" t="str">
        <f>IFERROR(__xludf.DUMMYFUNCTION("""COMPUTED_VALUE"""),"USA")</f>
        <v>USA</v>
      </c>
      <c r="F209" s="8" t="str">
        <f>IFERROR(__xludf.DUMMYFUNCTION("""COMPUTED_VALUE"""),"Womens A Doubles Cricket")</f>
        <v>Womens A Doubles Cricket</v>
      </c>
      <c r="G209" s="8" t="str">
        <f>IFERROR(__xludf.DUMMYFUNCTION("""COMPUTED_VALUE"""),"1st")</f>
        <v>1st</v>
      </c>
      <c r="H209" s="8" t="str">
        <f>IFERROR(__xludf.DUMMYFUNCTION("""COMPUTED_VALUE"""),"Off AA List")</f>
        <v>Off AA List</v>
      </c>
      <c r="I209" s="10">
        <f>IFERROR(__xludf.DUMMYFUNCTION("""COMPUTED_VALUE"""),42887.0)</f>
        <v>42887</v>
      </c>
      <c r="J209" s="10">
        <f>IFERROR(__xludf.DUMMYFUNCTION("""COMPUTED_VALUE"""),43983.0)</f>
        <v>43983</v>
      </c>
      <c r="K209" s="11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9" t="str">
        <f>IFERROR(__xludf.DUMMYFUNCTION("""COMPUTED_VALUE"""),"Meyer")</f>
        <v>Meyer</v>
      </c>
      <c r="B210" s="8" t="str">
        <f>IFERROR(__xludf.DUMMYFUNCTION("""COMPUTED_VALUE"""),"Tiffany")</f>
        <v>Tiffany</v>
      </c>
      <c r="C210" s="8" t="str">
        <f>IFERROR(__xludf.DUMMYFUNCTION("""COMPUTED_VALUE"""),"Bossier City")</f>
        <v>Bossier City</v>
      </c>
      <c r="D210" s="8" t="str">
        <f>IFERROR(__xludf.DUMMYFUNCTION("""COMPUTED_VALUE"""),"LA")</f>
        <v>LA</v>
      </c>
      <c r="E210" s="8" t="str">
        <f>IFERROR(__xludf.DUMMYFUNCTION("""COMPUTED_VALUE"""),"USA")</f>
        <v>USA</v>
      </c>
      <c r="F210" s="8" t="str">
        <f>IFERROR(__xludf.DUMMYFUNCTION("""COMPUTED_VALUE"""),"Womens Doubles")</f>
        <v>Womens Doubles</v>
      </c>
      <c r="G210" s="8" t="str">
        <f>IFERROR(__xludf.DUMMYFUNCTION("""COMPUTED_VALUE"""),"1st")</f>
        <v>1st</v>
      </c>
      <c r="H210" s="8" t="str">
        <f>IFERROR(__xludf.DUMMYFUNCTION("""COMPUTED_VALUE"""),"TX Regional 32")</f>
        <v>TX Regional 32</v>
      </c>
      <c r="I210" s="10">
        <f>IFERROR(__xludf.DUMMYFUNCTION("""COMPUTED_VALUE"""),42887.0)</f>
        <v>42887</v>
      </c>
      <c r="J210" s="10">
        <f>IFERROR(__xludf.DUMMYFUNCTION("""COMPUTED_VALUE"""),43983.0)</f>
        <v>43983</v>
      </c>
      <c r="K210" s="11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9" t="str">
        <f>IFERROR(__xludf.DUMMYFUNCTION("""COMPUTED_VALUE"""),"Mijal")</f>
        <v>Mijal</v>
      </c>
      <c r="B211" s="8" t="str">
        <f>IFERROR(__xludf.DUMMYFUNCTION("""COMPUTED_VALUE"""),"Nicole")</f>
        <v>Nicole</v>
      </c>
      <c r="C211" s="8" t="str">
        <f>IFERROR(__xludf.DUMMYFUNCTION("""COMPUTED_VALUE"""),"Oshkosh")</f>
        <v>Oshkosh</v>
      </c>
      <c r="D211" s="8" t="str">
        <f>IFERROR(__xludf.DUMMYFUNCTION("""COMPUTED_VALUE"""),"WI")</f>
        <v>WI</v>
      </c>
      <c r="E211" s="8" t="str">
        <f>IFERROR(__xludf.DUMMYFUNCTION("""COMPUTED_VALUE"""),"USA")</f>
        <v>USA</v>
      </c>
      <c r="F211" s="8" t="str">
        <f>IFERROR(__xludf.DUMMYFUNCTION("""COMPUTED_VALUE"""),"Women 301 Doubles")</f>
        <v>Women 301 Doubles</v>
      </c>
      <c r="G211" s="8" t="str">
        <f>IFERROR(__xludf.DUMMYFUNCTION("""COMPUTED_VALUE"""),"3rd")</f>
        <v>3rd</v>
      </c>
      <c r="H211" s="8" t="str">
        <f>IFERROR(__xludf.DUMMYFUNCTION("""COMPUTED_VALUE"""),"Wisconsin BS 34")</f>
        <v>Wisconsin BS 34</v>
      </c>
      <c r="I211" s="10">
        <f>IFERROR(__xludf.DUMMYFUNCTION("""COMPUTED_VALUE"""),43617.0)</f>
        <v>43617</v>
      </c>
      <c r="J211" s="10">
        <f>IFERROR(__xludf.DUMMYFUNCTION("""COMPUTED_VALUE"""),44713.0)</f>
        <v>44713</v>
      </c>
      <c r="K211" s="11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9" t="str">
        <f>IFERROR(__xludf.DUMMYFUNCTION("""COMPUTED_VALUE"""),"Miller")</f>
        <v>Miller</v>
      </c>
      <c r="B212" s="8" t="str">
        <f>IFERROR(__xludf.DUMMYFUNCTION("""COMPUTED_VALUE"""),"Melissa ""Missy""")</f>
        <v>Melissa "Missy"</v>
      </c>
      <c r="C212" s="8" t="str">
        <f>IFERROR(__xludf.DUMMYFUNCTION("""COMPUTED_VALUE"""),"Riverside")</f>
        <v>Riverside</v>
      </c>
      <c r="D212" s="8" t="str">
        <f>IFERROR(__xludf.DUMMYFUNCTION("""COMPUTED_VALUE"""),"OH")</f>
        <v>OH</v>
      </c>
      <c r="E212" s="8" t="str">
        <f>IFERROR(__xludf.DUMMYFUNCTION("""COMPUTED_VALUE"""),"USA")</f>
        <v>USA</v>
      </c>
      <c r="F212" s="8" t="str">
        <f>IFERROR(__xludf.DUMMYFUNCTION("""COMPUTED_VALUE"""),"Womens Doubles")</f>
        <v>Womens Doubles</v>
      </c>
      <c r="G212" s="8" t="str">
        <f>IFERROR(__xludf.DUMMYFUNCTION("""COMPUTED_VALUE"""),"3rd")</f>
        <v>3rd</v>
      </c>
      <c r="H212" s="8" t="str">
        <f>IFERROR(__xludf.DUMMYFUNCTION("""COMPUTED_VALUE"""),"OH Regional 33")</f>
        <v>OH Regional 33</v>
      </c>
      <c r="I212" s="10">
        <f>IFERROR(__xludf.DUMMYFUNCTION("""COMPUTED_VALUE"""),43252.0)</f>
        <v>43252</v>
      </c>
      <c r="J212" s="10">
        <f>IFERROR(__xludf.DUMMYFUNCTION("""COMPUTED_VALUE"""),44348.0)</f>
        <v>44348</v>
      </c>
      <c r="K212" s="11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9" t="str">
        <f>IFERROR(__xludf.DUMMYFUNCTION("""COMPUTED_VALUE"""),"Miller")</f>
        <v>Miller</v>
      </c>
      <c r="B213" s="8" t="str">
        <f>IFERROR(__xludf.DUMMYFUNCTION("""COMPUTED_VALUE"""),"Lisa")</f>
        <v>Lisa</v>
      </c>
      <c r="C213" s="8" t="str">
        <f>IFERROR(__xludf.DUMMYFUNCTION("""COMPUTED_VALUE"""),"McAdoo")</f>
        <v>McAdoo</v>
      </c>
      <c r="D213" s="8" t="str">
        <f>IFERROR(__xludf.DUMMYFUNCTION("""COMPUTED_VALUE"""),"PA")</f>
        <v>PA</v>
      </c>
      <c r="E213" s="8" t="str">
        <f>IFERROR(__xludf.DUMMYFUNCTION("""COMPUTED_VALUE"""),"USA")</f>
        <v>USA</v>
      </c>
      <c r="F213" s="8" t="str">
        <f>IFERROR(__xludf.DUMMYFUNCTION("""COMPUTED_VALUE"""),"Women Combo Doubles")</f>
        <v>Women Combo Doubles</v>
      </c>
      <c r="G213" s="8" t="str">
        <f>IFERROR(__xludf.DUMMYFUNCTION("""COMPUTED_VALUE"""),"1st")</f>
        <v>1st</v>
      </c>
      <c r="H213" s="8" t="str">
        <f>IFERROR(__xludf.DUMMYFUNCTION("""COMPUTED_VALUE"""),"Pennsylvania BS 34")</f>
        <v>Pennsylvania BS 34</v>
      </c>
      <c r="I213" s="10">
        <f>IFERROR(__xludf.DUMMYFUNCTION("""COMPUTED_VALUE"""),43617.0)</f>
        <v>43617</v>
      </c>
      <c r="J213" s="10">
        <f>IFERROR(__xludf.DUMMYFUNCTION("""COMPUTED_VALUE"""),44713.0)</f>
        <v>44713</v>
      </c>
      <c r="K213" s="11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9" t="str">
        <f>IFERROR(__xludf.DUMMYFUNCTION("""COMPUTED_VALUE"""),"Mills")</f>
        <v>Mills</v>
      </c>
      <c r="B214" s="8" t="str">
        <f>IFERROR(__xludf.DUMMYFUNCTION("""COMPUTED_VALUE"""),"Angela")</f>
        <v>Angela</v>
      </c>
      <c r="C214" s="8" t="str">
        <f>IFERROR(__xludf.DUMMYFUNCTION("""COMPUTED_VALUE"""),"")</f>
        <v/>
      </c>
      <c r="D214" s="8" t="str">
        <f>IFERROR(__xludf.DUMMYFUNCTION("""COMPUTED_VALUE"""),"UNK")</f>
        <v>UNK</v>
      </c>
      <c r="E214" s="8" t="str">
        <f>IFERROR(__xludf.DUMMYFUNCTION("""COMPUTED_VALUE"""),"UNK")</f>
        <v>UNK</v>
      </c>
      <c r="F214" s="8" t="str">
        <f>IFERROR(__xludf.DUMMYFUNCTION("""COMPUTED_VALUE"""),"ADO 2016")</f>
        <v>ADO 2016</v>
      </c>
      <c r="G214" s="8" t="str">
        <f>IFERROR(__xludf.DUMMYFUNCTION("""COMPUTED_VALUE"""),"18th")</f>
        <v>18th</v>
      </c>
      <c r="H214" s="8" t="str">
        <f>IFERROR(__xludf.DUMMYFUNCTION("""COMPUTED_VALUE"""),"ADO 2016")</f>
        <v>ADO 2016</v>
      </c>
      <c r="I214" s="10">
        <f>IFERROR(__xludf.DUMMYFUNCTION("""COMPUTED_VALUE"""),42401.0)</f>
        <v>42401</v>
      </c>
      <c r="J214" s="10">
        <f>IFERROR(__xludf.DUMMYFUNCTION("""COMPUTED_VALUE"""),44713.0)</f>
        <v>44713</v>
      </c>
      <c r="K214" s="11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9" t="str">
        <f>IFERROR(__xludf.DUMMYFUNCTION("""COMPUTED_VALUE"""),"Monteil")</f>
        <v>Monteil</v>
      </c>
      <c r="B215" s="8" t="str">
        <f>IFERROR(__xludf.DUMMYFUNCTION("""COMPUTED_VALUE"""),"Patricia")</f>
        <v>Patricia</v>
      </c>
      <c r="C215" s="8" t="str">
        <f>IFERROR(__xludf.DUMMYFUNCTION("""COMPUTED_VALUE"""),"Shawnee")</f>
        <v>Shawnee</v>
      </c>
      <c r="D215" s="8" t="str">
        <f>IFERROR(__xludf.DUMMYFUNCTION("""COMPUTED_VALUE"""),"KS")</f>
        <v>KS</v>
      </c>
      <c r="E215" s="8" t="str">
        <f>IFERROR(__xludf.DUMMYFUNCTION("""COMPUTED_VALUE"""),"USA")</f>
        <v>USA</v>
      </c>
      <c r="F215" s="8" t="str">
        <f>IFERROR(__xludf.DUMMYFUNCTION("""COMPUTED_VALUE"""),"Womens Doubles")</f>
        <v>Womens Doubles</v>
      </c>
      <c r="G215" s="8" t="str">
        <f>IFERROR(__xludf.DUMMYFUNCTION("""COMPUTED_VALUE"""),"1st")</f>
        <v>1st</v>
      </c>
      <c r="H215" s="8" t="str">
        <f>IFERROR(__xludf.DUMMYFUNCTION("""COMPUTED_VALUE"""),"NE Regional 32")</f>
        <v>NE Regional 32</v>
      </c>
      <c r="I215" s="10">
        <f>IFERROR(__xludf.DUMMYFUNCTION("""COMPUTED_VALUE"""),42887.0)</f>
        <v>42887</v>
      </c>
      <c r="J215" s="10">
        <f>IFERROR(__xludf.DUMMYFUNCTION("""COMPUTED_VALUE"""),43983.0)</f>
        <v>43983</v>
      </c>
      <c r="K215" s="11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9" t="str">
        <f>IFERROR(__xludf.DUMMYFUNCTION("""COMPUTED_VALUE"""),"Montgomery")</f>
        <v>Montgomery</v>
      </c>
      <c r="B216" s="8" t="str">
        <f>IFERROR(__xludf.DUMMYFUNCTION("""COMPUTED_VALUE"""),"Emily")</f>
        <v>Emily</v>
      </c>
      <c r="C216" s="8" t="str">
        <f>IFERROR(__xludf.DUMMYFUNCTION("""COMPUTED_VALUE"""),"Indianapolis")</f>
        <v>Indianapolis</v>
      </c>
      <c r="D216" s="8" t="str">
        <f>IFERROR(__xludf.DUMMYFUNCTION("""COMPUTED_VALUE"""),"IN")</f>
        <v>IN</v>
      </c>
      <c r="E216" s="8" t="str">
        <f>IFERROR(__xludf.DUMMYFUNCTION("""COMPUTED_VALUE"""),"USA")</f>
        <v>USA</v>
      </c>
      <c r="F216" s="8" t="str">
        <f>IFERROR(__xludf.DUMMYFUNCTION("""COMPUTED_VALUE"""),"Womens Doubles Combo")</f>
        <v>Womens Doubles Combo</v>
      </c>
      <c r="G216" s="8" t="str">
        <f>IFERROR(__xludf.DUMMYFUNCTION("""COMPUTED_VALUE"""),"3rd")</f>
        <v>3rd</v>
      </c>
      <c r="H216" s="8" t="str">
        <f>IFERROR(__xludf.DUMMYFUNCTION("""COMPUTED_VALUE"""),"IN Regional 33")</f>
        <v>IN Regional 33</v>
      </c>
      <c r="I216" s="10">
        <f>IFERROR(__xludf.DUMMYFUNCTION("""COMPUTED_VALUE"""),43252.0)</f>
        <v>43252</v>
      </c>
      <c r="J216" s="10">
        <f>IFERROR(__xludf.DUMMYFUNCTION("""COMPUTED_VALUE"""),44348.0)</f>
        <v>44348</v>
      </c>
      <c r="K216" s="11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9" t="str">
        <f>IFERROR(__xludf.DUMMYFUNCTION("""COMPUTED_VALUE"""),"Moore")</f>
        <v>Moore</v>
      </c>
      <c r="B217" s="8" t="str">
        <f>IFERROR(__xludf.DUMMYFUNCTION("""COMPUTED_VALUE"""),"Marissa")</f>
        <v>Marissa</v>
      </c>
      <c r="C217" s="8" t="str">
        <f>IFERROR(__xludf.DUMMYFUNCTION("""COMPUTED_VALUE"""),"")</f>
        <v/>
      </c>
      <c r="D217" s="8" t="str">
        <f>IFERROR(__xludf.DUMMYFUNCTION("""COMPUTED_VALUE"""),"CA")</f>
        <v>CA</v>
      </c>
      <c r="E217" s="8" t="str">
        <f>IFERROR(__xludf.DUMMYFUNCTION("""COMPUTED_VALUE"""),"USA")</f>
        <v>USA</v>
      </c>
      <c r="F217" s="8" t="str">
        <f>IFERROR(__xludf.DUMMYFUNCTION("""COMPUTED_VALUE"""),"Womens Singles")</f>
        <v>Womens Singles</v>
      </c>
      <c r="G217" s="8" t="str">
        <f>IFERROR(__xludf.DUMMYFUNCTION("""COMPUTED_VALUE"""),"1st")</f>
        <v>1st</v>
      </c>
      <c r="H217" s="8" t="str">
        <f>IFERROR(__xludf.DUMMYFUNCTION("""COMPUTED_VALUE"""),"CA Regional 33")</f>
        <v>CA Regional 33</v>
      </c>
      <c r="I217" s="10">
        <f>IFERROR(__xludf.DUMMYFUNCTION("""COMPUTED_VALUE"""),43252.0)</f>
        <v>43252</v>
      </c>
      <c r="J217" s="10">
        <f>IFERROR(__xludf.DUMMYFUNCTION("""COMPUTED_VALUE"""),44348.0)</f>
        <v>44348</v>
      </c>
      <c r="K217" s="11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9" t="str">
        <f>IFERROR(__xludf.DUMMYFUNCTION("""COMPUTED_VALUE"""),"Morga")</f>
        <v>Morga</v>
      </c>
      <c r="B218" s="8" t="str">
        <f>IFERROR(__xludf.DUMMYFUNCTION("""COMPUTED_VALUE"""),"Tammy")</f>
        <v>Tammy</v>
      </c>
      <c r="C218" s="8" t="str">
        <f>IFERROR(__xludf.DUMMYFUNCTION("""COMPUTED_VALUE"""),"Rockford")</f>
        <v>Rockford</v>
      </c>
      <c r="D218" s="8" t="str">
        <f>IFERROR(__xludf.DUMMYFUNCTION("""COMPUTED_VALUE"""),"IL")</f>
        <v>IL</v>
      </c>
      <c r="E218" s="8" t="str">
        <f>IFERROR(__xludf.DUMMYFUNCTION("""COMPUTED_VALUE"""),"USA")</f>
        <v>USA</v>
      </c>
      <c r="F218" s="8" t="str">
        <f>IFERROR(__xludf.DUMMYFUNCTION("""COMPUTED_VALUE"""),"Women B Cricket Doubles")</f>
        <v>Women B Cricket Doubles</v>
      </c>
      <c r="G218" s="8" t="str">
        <f>IFERROR(__xludf.DUMMYFUNCTION("""COMPUTED_VALUE"""),"2nd")</f>
        <v>2nd</v>
      </c>
      <c r="H218" s="8" t="str">
        <f>IFERROR(__xludf.DUMMYFUNCTION("""COMPUTED_VALUE"""),"BullShooter 34 Finals")</f>
        <v>BullShooter 34 Finals</v>
      </c>
      <c r="I218" s="10">
        <f>IFERROR(__xludf.DUMMYFUNCTION("""COMPUTED_VALUE"""),43617.0)</f>
        <v>43617</v>
      </c>
      <c r="J218" s="10">
        <f>IFERROR(__xludf.DUMMYFUNCTION("""COMPUTED_VALUE"""),44713.0)</f>
        <v>44713</v>
      </c>
      <c r="K218" s="11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9" t="str">
        <f>IFERROR(__xludf.DUMMYFUNCTION("""COMPUTED_VALUE"""),"Morris")</f>
        <v>Morris</v>
      </c>
      <c r="B219" s="8" t="str">
        <f>IFERROR(__xludf.DUMMYFUNCTION("""COMPUTED_VALUE"""),"Mary")</f>
        <v>Mary</v>
      </c>
      <c r="C219" s="8" t="str">
        <f>IFERROR(__xludf.DUMMYFUNCTION("""COMPUTED_VALUE"""),"Lafayette")</f>
        <v>Lafayette</v>
      </c>
      <c r="D219" s="8" t="str">
        <f>IFERROR(__xludf.DUMMYFUNCTION("""COMPUTED_VALUE"""),"IN")</f>
        <v>IN</v>
      </c>
      <c r="E219" s="8" t="str">
        <f>IFERROR(__xludf.DUMMYFUNCTION("""COMPUTED_VALUE"""),"USA")</f>
        <v>USA</v>
      </c>
      <c r="F219" s="8" t="str">
        <f>IFERROR(__xludf.DUMMYFUNCTION("""COMPUTED_VALUE"""),"Womens Doubles")</f>
        <v>Womens Doubles</v>
      </c>
      <c r="G219" s="8" t="str">
        <f>IFERROR(__xludf.DUMMYFUNCTION("""COMPUTED_VALUE"""),"2nd")</f>
        <v>2nd</v>
      </c>
      <c r="H219" s="8" t="str">
        <f>IFERROR(__xludf.DUMMYFUNCTION("""COMPUTED_VALUE"""),"IN Regional 33")</f>
        <v>IN Regional 33</v>
      </c>
      <c r="I219" s="10">
        <f>IFERROR(__xludf.DUMMYFUNCTION("""COMPUTED_VALUE"""),43252.0)</f>
        <v>43252</v>
      </c>
      <c r="J219" s="10">
        <f>IFERROR(__xludf.DUMMYFUNCTION("""COMPUTED_VALUE"""),44348.0)</f>
        <v>44348</v>
      </c>
      <c r="K219" s="11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9" t="str">
        <f>IFERROR(__xludf.DUMMYFUNCTION("""COMPUTED_VALUE"""),"Morrison")</f>
        <v>Morrison</v>
      </c>
      <c r="B220" s="8" t="str">
        <f>IFERROR(__xludf.DUMMYFUNCTION("""COMPUTED_VALUE"""),"Margaret")</f>
        <v>Margaret</v>
      </c>
      <c r="C220" s="8" t="str">
        <f>IFERROR(__xludf.DUMMYFUNCTION("""COMPUTED_VALUE"""),"Warren")</f>
        <v>Warren</v>
      </c>
      <c r="D220" s="8" t="str">
        <f>IFERROR(__xludf.DUMMYFUNCTION("""COMPUTED_VALUE"""),"OH")</f>
        <v>OH</v>
      </c>
      <c r="E220" s="8" t="str">
        <f>IFERROR(__xludf.DUMMYFUNCTION("""COMPUTED_VALUE"""),"USA")</f>
        <v>USA</v>
      </c>
      <c r="F220" s="8" t="str">
        <f>IFERROR(__xludf.DUMMYFUNCTION("""COMPUTED_VALUE"""),"Womens Doubles Combo")</f>
        <v>Womens Doubles Combo</v>
      </c>
      <c r="G220" s="8" t="str">
        <f>IFERROR(__xludf.DUMMYFUNCTION("""COMPUTED_VALUE"""),"2nd")</f>
        <v>2nd</v>
      </c>
      <c r="H220" s="8" t="str">
        <f>IFERROR(__xludf.DUMMYFUNCTION("""COMPUTED_VALUE"""),"OH Regional 32")</f>
        <v>OH Regional 32</v>
      </c>
      <c r="I220" s="10">
        <f>IFERROR(__xludf.DUMMYFUNCTION("""COMPUTED_VALUE"""),42887.0)</f>
        <v>42887</v>
      </c>
      <c r="J220" s="10">
        <f>IFERROR(__xludf.DUMMYFUNCTION("""COMPUTED_VALUE"""),43983.0)</f>
        <v>43983</v>
      </c>
      <c r="K220" s="11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9" t="str">
        <f>IFERROR(__xludf.DUMMYFUNCTION("""COMPUTED_VALUE"""),"Morton")</f>
        <v>Morton</v>
      </c>
      <c r="B221" s="8" t="str">
        <f>IFERROR(__xludf.DUMMYFUNCTION("""COMPUTED_VALUE"""),"Takelia")</f>
        <v>Takelia</v>
      </c>
      <c r="C221" s="8" t="str">
        <f>IFERROR(__xludf.DUMMYFUNCTION("""COMPUTED_VALUE"""),"West Allis")</f>
        <v>West Allis</v>
      </c>
      <c r="D221" s="8" t="str">
        <f>IFERROR(__xludf.DUMMYFUNCTION("""COMPUTED_VALUE"""),"WI")</f>
        <v>WI</v>
      </c>
      <c r="E221" s="8" t="str">
        <f>IFERROR(__xludf.DUMMYFUNCTION("""COMPUTED_VALUE"""),"USA")</f>
        <v>USA</v>
      </c>
      <c r="F221" s="8" t="str">
        <f>IFERROR(__xludf.DUMMYFUNCTION("""COMPUTED_VALUE"""),"Top Gun Mixed Triples")</f>
        <v>Top Gun Mixed Triples</v>
      </c>
      <c r="G221" s="8" t="str">
        <f>IFERROR(__xludf.DUMMYFUNCTION("""COMPUTED_VALUE"""),"2nd")</f>
        <v>2nd</v>
      </c>
      <c r="H221" s="8" t="str">
        <f>IFERROR(__xludf.DUMMYFUNCTION("""COMPUTED_VALUE"""),"BullShooter 32")</f>
        <v>BullShooter 32</v>
      </c>
      <c r="I221" s="10">
        <f>IFERROR(__xludf.DUMMYFUNCTION("""COMPUTED_VALUE"""),42887.0)</f>
        <v>42887</v>
      </c>
      <c r="J221" s="10">
        <f>IFERROR(__xludf.DUMMYFUNCTION("""COMPUTED_VALUE"""),43983.0)</f>
        <v>43983</v>
      </c>
      <c r="K221" s="11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9" t="str">
        <f>IFERROR(__xludf.DUMMYFUNCTION("""COMPUTED_VALUE"""),"Morton")</f>
        <v>Morton</v>
      </c>
      <c r="B222" s="8" t="str">
        <f>IFERROR(__xludf.DUMMYFUNCTION("""COMPUTED_VALUE"""),"Caeleigh")</f>
        <v>Caeleigh</v>
      </c>
      <c r="C222" s="8" t="str">
        <f>IFERROR(__xludf.DUMMYFUNCTION("""COMPUTED_VALUE"""),"Manhattan")</f>
        <v>Manhattan</v>
      </c>
      <c r="D222" s="8" t="str">
        <f>IFERROR(__xludf.DUMMYFUNCTION("""COMPUTED_VALUE"""),"KS")</f>
        <v>KS</v>
      </c>
      <c r="E222" s="8" t="str">
        <f>IFERROR(__xludf.DUMMYFUNCTION("""COMPUTED_VALUE"""),"USA")</f>
        <v>USA</v>
      </c>
      <c r="F222" s="8" t="str">
        <f>IFERROR(__xludf.DUMMYFUNCTION("""COMPUTED_VALUE"""),"Women B 301 Doubles")</f>
        <v>Women B 301 Doubles</v>
      </c>
      <c r="G222" s="8" t="str">
        <f>IFERROR(__xludf.DUMMYFUNCTION("""COMPUTED_VALUE"""),"3rd")</f>
        <v>3rd</v>
      </c>
      <c r="H222" s="8" t="str">
        <f>IFERROR(__xludf.DUMMYFUNCTION("""COMPUTED_VALUE"""),"BullShooter 34 Finals")</f>
        <v>BullShooter 34 Finals</v>
      </c>
      <c r="I222" s="10">
        <f>IFERROR(__xludf.DUMMYFUNCTION("""COMPUTED_VALUE"""),43617.0)</f>
        <v>43617</v>
      </c>
      <c r="J222" s="10">
        <f>IFERROR(__xludf.DUMMYFUNCTION("""COMPUTED_VALUE"""),44713.0)</f>
        <v>44713</v>
      </c>
      <c r="K222" s="11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9" t="str">
        <f>IFERROR(__xludf.DUMMYFUNCTION("""COMPUTED_VALUE"""),"Moseley")</f>
        <v>Moseley</v>
      </c>
      <c r="B223" s="8" t="str">
        <f>IFERROR(__xludf.DUMMYFUNCTION("""COMPUTED_VALUE"""),"Loraine")</f>
        <v>Loraine</v>
      </c>
      <c r="C223" s="8" t="str">
        <f>IFERROR(__xludf.DUMMYFUNCTION("""COMPUTED_VALUE"""),"Kingsville")</f>
        <v>Kingsville</v>
      </c>
      <c r="D223" s="8" t="str">
        <f>IFERROR(__xludf.DUMMYFUNCTION("""COMPUTED_VALUE"""),"TX")</f>
        <v>TX</v>
      </c>
      <c r="E223" s="8" t="str">
        <f>IFERROR(__xludf.DUMMYFUNCTION("""COMPUTED_VALUE"""),"USA")</f>
        <v>USA</v>
      </c>
      <c r="F223" s="8" t="str">
        <f>IFERROR(__xludf.DUMMYFUNCTION("""COMPUTED_VALUE"""),"Women 301 Doubles")</f>
        <v>Women 301 Doubles</v>
      </c>
      <c r="G223" s="8" t="str">
        <f>IFERROR(__xludf.DUMMYFUNCTION("""COMPUTED_VALUE"""),"2nd")</f>
        <v>2nd</v>
      </c>
      <c r="H223" s="8" t="str">
        <f>IFERROR(__xludf.DUMMYFUNCTION("""COMPUTED_VALUE"""),"Texas BS 34")</f>
        <v>Texas BS 34</v>
      </c>
      <c r="I223" s="10">
        <f>IFERROR(__xludf.DUMMYFUNCTION("""COMPUTED_VALUE"""),43617.0)</f>
        <v>43617</v>
      </c>
      <c r="J223" s="10">
        <f>IFERROR(__xludf.DUMMYFUNCTION("""COMPUTED_VALUE"""),44713.0)</f>
        <v>44713</v>
      </c>
      <c r="K223" s="11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9" t="str">
        <f>IFERROR(__xludf.DUMMYFUNCTION("""COMPUTED_VALUE"""),"Murray")</f>
        <v>Murray</v>
      </c>
      <c r="B224" s="8" t="str">
        <f>IFERROR(__xludf.DUMMYFUNCTION("""COMPUTED_VALUE"""),"Kayla")</f>
        <v>Kayla</v>
      </c>
      <c r="C224" s="8" t="str">
        <f>IFERROR(__xludf.DUMMYFUNCTION("""COMPUTED_VALUE"""),"Lakeland")</f>
        <v>Lakeland</v>
      </c>
      <c r="D224" s="8" t="str">
        <f>IFERROR(__xludf.DUMMYFUNCTION("""COMPUTED_VALUE"""),"FL")</f>
        <v>FL</v>
      </c>
      <c r="E224" s="8" t="str">
        <f>IFERROR(__xludf.DUMMYFUNCTION("""COMPUTED_VALUE"""),"USA")</f>
        <v>USA</v>
      </c>
      <c r="F224" s="8" t="str">
        <f>IFERROR(__xludf.DUMMYFUNCTION("""COMPUTED_VALUE"""),"Women Combo Doubles")</f>
        <v>Women Combo Doubles</v>
      </c>
      <c r="G224" s="8" t="str">
        <f>IFERROR(__xludf.DUMMYFUNCTION("""COMPUTED_VALUE"""),"2nd")</f>
        <v>2nd</v>
      </c>
      <c r="H224" s="8" t="str">
        <f>IFERROR(__xludf.DUMMYFUNCTION("""COMPUTED_VALUE"""),"South Carolina BS 34")</f>
        <v>South Carolina BS 34</v>
      </c>
      <c r="I224" s="10">
        <f>IFERROR(__xludf.DUMMYFUNCTION("""COMPUTED_VALUE"""),43617.0)</f>
        <v>43617</v>
      </c>
      <c r="J224" s="10">
        <f>IFERROR(__xludf.DUMMYFUNCTION("""COMPUTED_VALUE"""),44713.0)</f>
        <v>44713</v>
      </c>
      <c r="K224" s="11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9" t="str">
        <f>IFERROR(__xludf.DUMMYFUNCTION("""COMPUTED_VALUE"""),"Myers")</f>
        <v>Myers</v>
      </c>
      <c r="B225" s="8" t="str">
        <f>IFERROR(__xludf.DUMMYFUNCTION("""COMPUTED_VALUE"""),"Jennifer")</f>
        <v>Jennifer</v>
      </c>
      <c r="C225" s="8" t="str">
        <f>IFERROR(__xludf.DUMMYFUNCTION("""COMPUTED_VALUE"""),"Guthrie Center")</f>
        <v>Guthrie Center</v>
      </c>
      <c r="D225" s="8" t="str">
        <f>IFERROR(__xludf.DUMMYFUNCTION("""COMPUTED_VALUE"""),"IA")</f>
        <v>IA</v>
      </c>
      <c r="E225" s="8" t="str">
        <f>IFERROR(__xludf.DUMMYFUNCTION("""COMPUTED_VALUE"""),"USA")</f>
        <v>USA</v>
      </c>
      <c r="F225" s="8" t="str">
        <f>IFERROR(__xludf.DUMMYFUNCTION("""COMPUTED_VALUE"""),"Women 301 Doubles")</f>
        <v>Women 301 Doubles</v>
      </c>
      <c r="G225" s="8" t="str">
        <f>IFERROR(__xludf.DUMMYFUNCTION("""COMPUTED_VALUE"""),"3rd")</f>
        <v>3rd</v>
      </c>
      <c r="H225" s="8" t="str">
        <f>IFERROR(__xludf.DUMMYFUNCTION("""COMPUTED_VALUE"""),"Nebraska BS 34")</f>
        <v>Nebraska BS 34</v>
      </c>
      <c r="I225" s="10">
        <f>IFERROR(__xludf.DUMMYFUNCTION("""COMPUTED_VALUE"""),43617.0)</f>
        <v>43617</v>
      </c>
      <c r="J225" s="10">
        <f>IFERROR(__xludf.DUMMYFUNCTION("""COMPUTED_VALUE"""),44713.0)</f>
        <v>44713</v>
      </c>
      <c r="K225" s="11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9" t="str">
        <f>IFERROR(__xludf.DUMMYFUNCTION("""COMPUTED_VALUE"""),"Nagel")</f>
        <v>Nagel</v>
      </c>
      <c r="B226" s="8" t="str">
        <f>IFERROR(__xludf.DUMMYFUNCTION("""COMPUTED_VALUE"""),"Miranda")</f>
        <v>Miranda</v>
      </c>
      <c r="C226" s="8" t="str">
        <f>IFERROR(__xludf.DUMMYFUNCTION("""COMPUTED_VALUE"""),"Rockwell City")</f>
        <v>Rockwell City</v>
      </c>
      <c r="D226" s="8" t="str">
        <f>IFERROR(__xludf.DUMMYFUNCTION("""COMPUTED_VALUE"""),"IA")</f>
        <v>IA</v>
      </c>
      <c r="E226" s="8" t="str">
        <f>IFERROR(__xludf.DUMMYFUNCTION("""COMPUTED_VALUE"""),"USA")</f>
        <v>USA</v>
      </c>
      <c r="F226" s="8" t="str">
        <f>IFERROR(__xludf.DUMMYFUNCTION("""COMPUTED_VALUE"""),"Womens Doubles Combo")</f>
        <v>Womens Doubles Combo</v>
      </c>
      <c r="G226" s="8" t="str">
        <f>IFERROR(__xludf.DUMMYFUNCTION("""COMPUTED_VALUE"""),"1st")</f>
        <v>1st</v>
      </c>
      <c r="H226" s="8" t="str">
        <f>IFERROR(__xludf.DUMMYFUNCTION("""COMPUTED_VALUE"""),"NE Regional 33")</f>
        <v>NE Regional 33</v>
      </c>
      <c r="I226" s="10">
        <f>IFERROR(__xludf.DUMMYFUNCTION("""COMPUTED_VALUE"""),43252.0)</f>
        <v>43252</v>
      </c>
      <c r="J226" s="10">
        <f>IFERROR(__xludf.DUMMYFUNCTION("""COMPUTED_VALUE"""),44348.0)</f>
        <v>44348</v>
      </c>
      <c r="K226" s="11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9" t="str">
        <f>IFERROR(__xludf.DUMMYFUNCTION("""COMPUTED_VALUE"""),"Naylor")</f>
        <v>Naylor</v>
      </c>
      <c r="B227" s="8" t="str">
        <f>IFERROR(__xludf.DUMMYFUNCTION("""COMPUTED_VALUE"""),"Michelle")</f>
        <v>Michelle</v>
      </c>
      <c r="C227" s="8" t="str">
        <f>IFERROR(__xludf.DUMMYFUNCTION("""COMPUTED_VALUE"""),"Glennrock")</f>
        <v>Glennrock</v>
      </c>
      <c r="D227" s="8" t="str">
        <f>IFERROR(__xludf.DUMMYFUNCTION("""COMPUTED_VALUE"""),"PA")</f>
        <v>PA</v>
      </c>
      <c r="E227" s="8" t="str">
        <f>IFERROR(__xludf.DUMMYFUNCTION("""COMPUTED_VALUE"""),"USA")</f>
        <v>USA</v>
      </c>
      <c r="F227" s="8" t="str">
        <f>IFERROR(__xludf.DUMMYFUNCTION("""COMPUTED_VALUE"""),"Women 301 Doubles")</f>
        <v>Women 301 Doubles</v>
      </c>
      <c r="G227" s="8" t="str">
        <f>IFERROR(__xludf.DUMMYFUNCTION("""COMPUTED_VALUE"""),"1st")</f>
        <v>1st</v>
      </c>
      <c r="H227" s="8" t="str">
        <f>IFERROR(__xludf.DUMMYFUNCTION("""COMPUTED_VALUE"""),"Pennsylvania BS 34")</f>
        <v>Pennsylvania BS 34</v>
      </c>
      <c r="I227" s="10">
        <f>IFERROR(__xludf.DUMMYFUNCTION("""COMPUTED_VALUE"""),43617.0)</f>
        <v>43617</v>
      </c>
      <c r="J227" s="10">
        <f>IFERROR(__xludf.DUMMYFUNCTION("""COMPUTED_VALUE"""),44713.0)</f>
        <v>44713</v>
      </c>
      <c r="K227" s="11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9" t="str">
        <f>IFERROR(__xludf.DUMMYFUNCTION("""COMPUTED_VALUE"""),"Nichols")</f>
        <v>Nichols</v>
      </c>
      <c r="B228" s="8" t="str">
        <f>IFERROR(__xludf.DUMMYFUNCTION("""COMPUTED_VALUE"""),"Marian")</f>
        <v>Marian</v>
      </c>
      <c r="C228" s="8" t="str">
        <f>IFERROR(__xludf.DUMMYFUNCTION("""COMPUTED_VALUE"""),"Canonsburg")</f>
        <v>Canonsburg</v>
      </c>
      <c r="D228" s="8" t="str">
        <f>IFERROR(__xludf.DUMMYFUNCTION("""COMPUTED_VALUE"""),"PA")</f>
        <v>PA</v>
      </c>
      <c r="E228" s="8" t="str">
        <f>IFERROR(__xludf.DUMMYFUNCTION("""COMPUTED_VALUE"""),"USA")</f>
        <v>USA</v>
      </c>
      <c r="F228" s="8" t="str">
        <f>IFERROR(__xludf.DUMMYFUNCTION("""COMPUTED_VALUE"""),"Womens Doubles Combo")</f>
        <v>Womens Doubles Combo</v>
      </c>
      <c r="G228" s="8" t="str">
        <f>IFERROR(__xludf.DUMMYFUNCTION("""COMPUTED_VALUE"""),"2nd")</f>
        <v>2nd</v>
      </c>
      <c r="H228" s="8" t="str">
        <f>IFERROR(__xludf.DUMMYFUNCTION("""COMPUTED_VALUE"""),"NY Regional 33")</f>
        <v>NY Regional 33</v>
      </c>
      <c r="I228" s="10">
        <f>IFERROR(__xludf.DUMMYFUNCTION("""COMPUTED_VALUE"""),43252.0)</f>
        <v>43252</v>
      </c>
      <c r="J228" s="10">
        <f>IFERROR(__xludf.DUMMYFUNCTION("""COMPUTED_VALUE"""),44348.0)</f>
        <v>44348</v>
      </c>
      <c r="K228" s="11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9" t="str">
        <f>IFERROR(__xludf.DUMMYFUNCTION("""COMPUTED_VALUE"""),"Niedosik")</f>
        <v>Niedosik</v>
      </c>
      <c r="B229" s="8" t="str">
        <f>IFERROR(__xludf.DUMMYFUNCTION("""COMPUTED_VALUE"""),"Jennifer")</f>
        <v>Jennifer</v>
      </c>
      <c r="C229" s="8" t="str">
        <f>IFERROR(__xludf.DUMMYFUNCTION("""COMPUTED_VALUE"""),"South Bend")</f>
        <v>South Bend</v>
      </c>
      <c r="D229" s="8" t="str">
        <f>IFERROR(__xludf.DUMMYFUNCTION("""COMPUTED_VALUE"""),"IN")</f>
        <v>IN</v>
      </c>
      <c r="E229" s="8" t="str">
        <f>IFERROR(__xludf.DUMMYFUNCTION("""COMPUTED_VALUE"""),"USA")</f>
        <v>USA</v>
      </c>
      <c r="F229" s="8" t="str">
        <f>IFERROR(__xludf.DUMMYFUNCTION("""COMPUTED_VALUE"""),"Women Combo Doubles")</f>
        <v>Women Combo Doubles</v>
      </c>
      <c r="G229" s="8" t="str">
        <f>IFERROR(__xludf.DUMMYFUNCTION("""COMPUTED_VALUE"""),"3rd")</f>
        <v>3rd</v>
      </c>
      <c r="H229" s="8" t="str">
        <f>IFERROR(__xludf.DUMMYFUNCTION("""COMPUTED_VALUE"""),"Indiana BS 34")</f>
        <v>Indiana BS 34</v>
      </c>
      <c r="I229" s="10">
        <f>IFERROR(__xludf.DUMMYFUNCTION("""COMPUTED_VALUE"""),43617.0)</f>
        <v>43617</v>
      </c>
      <c r="J229" s="10">
        <f>IFERROR(__xludf.DUMMYFUNCTION("""COMPUTED_VALUE"""),44713.0)</f>
        <v>44713</v>
      </c>
      <c r="K229" s="11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9" t="str">
        <f>IFERROR(__xludf.DUMMYFUNCTION("""COMPUTED_VALUE"""),"Nielsen")</f>
        <v>Nielsen</v>
      </c>
      <c r="B230" s="8" t="str">
        <f>IFERROR(__xludf.DUMMYFUNCTION("""COMPUTED_VALUE"""),"Carrie")</f>
        <v>Carrie</v>
      </c>
      <c r="C230" s="8" t="str">
        <f>IFERROR(__xludf.DUMMYFUNCTION("""COMPUTED_VALUE"""),"Des Moines")</f>
        <v>Des Moines</v>
      </c>
      <c r="D230" s="8" t="str">
        <f>IFERROR(__xludf.DUMMYFUNCTION("""COMPUTED_VALUE"""),"IA")</f>
        <v>IA</v>
      </c>
      <c r="E230" s="8" t="str">
        <f>IFERROR(__xludf.DUMMYFUNCTION("""COMPUTED_VALUE"""),"USA")</f>
        <v>USA</v>
      </c>
      <c r="F230" s="8" t="str">
        <f>IFERROR(__xludf.DUMMYFUNCTION("""COMPUTED_VALUE"""),"Womens Doubles")</f>
        <v>Womens Doubles</v>
      </c>
      <c r="G230" s="8" t="str">
        <f>IFERROR(__xludf.DUMMYFUNCTION("""COMPUTED_VALUE"""),"1st")</f>
        <v>1st</v>
      </c>
      <c r="H230" s="8" t="str">
        <f>IFERROR(__xludf.DUMMYFUNCTION("""COMPUTED_VALUE"""),"NE Regional 33")</f>
        <v>NE Regional 33</v>
      </c>
      <c r="I230" s="10">
        <f>IFERROR(__xludf.DUMMYFUNCTION("""COMPUTED_VALUE"""),43252.0)</f>
        <v>43252</v>
      </c>
      <c r="J230" s="10">
        <f>IFERROR(__xludf.DUMMYFUNCTION("""COMPUTED_VALUE"""),44348.0)</f>
        <v>44348</v>
      </c>
      <c r="K230" s="11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9" t="str">
        <f>IFERROR(__xludf.DUMMYFUNCTION("""COMPUTED_VALUE"""),"Nieto-Van Ham")</f>
        <v>Nieto-Van Ham</v>
      </c>
      <c r="B231" s="8" t="str">
        <f>IFERROR(__xludf.DUMMYFUNCTION("""COMPUTED_VALUE"""),"Margaret")</f>
        <v>Margaret</v>
      </c>
      <c r="C231" s="8" t="str">
        <f>IFERROR(__xludf.DUMMYFUNCTION("""COMPUTED_VALUE"""),"Channelview")</f>
        <v>Channelview</v>
      </c>
      <c r="D231" s="8" t="str">
        <f>IFERROR(__xludf.DUMMYFUNCTION("""COMPUTED_VALUE"""),"TX")</f>
        <v>TX</v>
      </c>
      <c r="E231" s="8" t="str">
        <f>IFERROR(__xludf.DUMMYFUNCTION("""COMPUTED_VALUE"""),"USA")</f>
        <v>USA</v>
      </c>
      <c r="F231" s="8" t="str">
        <f>IFERROR(__xludf.DUMMYFUNCTION("""COMPUTED_VALUE"""),"Womens AA Doubles X01")</f>
        <v>Womens AA Doubles X01</v>
      </c>
      <c r="G231" s="8" t="str">
        <f>IFERROR(__xludf.DUMMYFUNCTION("""COMPUTED_VALUE"""),"3rd")</f>
        <v>3rd</v>
      </c>
      <c r="H231" s="8" t="str">
        <f>IFERROR(__xludf.DUMMYFUNCTION("""COMPUTED_VALUE"""),"Off AA List")</f>
        <v>Off AA List</v>
      </c>
      <c r="I231" s="10">
        <f>IFERROR(__xludf.DUMMYFUNCTION("""COMPUTED_VALUE"""),42887.0)</f>
        <v>42887</v>
      </c>
      <c r="J231" s="10">
        <f>IFERROR(__xludf.DUMMYFUNCTION("""COMPUTED_VALUE"""),43983.0)</f>
        <v>43983</v>
      </c>
      <c r="K231" s="11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9" t="str">
        <f>IFERROR(__xludf.DUMMYFUNCTION("""COMPUTED_VALUE"""),"Nilson")</f>
        <v>Nilson</v>
      </c>
      <c r="B232" s="8" t="str">
        <f>IFERROR(__xludf.DUMMYFUNCTION("""COMPUTED_VALUE"""),"Jessica")</f>
        <v>Jessica</v>
      </c>
      <c r="C232" s="8" t="str">
        <f>IFERROR(__xludf.DUMMYFUNCTION("""COMPUTED_VALUE"""),"Crestview")</f>
        <v>Crestview</v>
      </c>
      <c r="D232" s="8" t="str">
        <f>IFERROR(__xludf.DUMMYFUNCTION("""COMPUTED_VALUE"""),"FL")</f>
        <v>FL</v>
      </c>
      <c r="E232" s="8" t="str">
        <f>IFERROR(__xludf.DUMMYFUNCTION("""COMPUTED_VALUE"""),"USA")</f>
        <v>USA</v>
      </c>
      <c r="F232" s="8" t="str">
        <f>IFERROR(__xludf.DUMMYFUNCTION("""COMPUTED_VALUE"""),"Womens Doubles")</f>
        <v>Womens Doubles</v>
      </c>
      <c r="G232" s="8" t="str">
        <f>IFERROR(__xludf.DUMMYFUNCTION("""COMPUTED_VALUE"""),"1st")</f>
        <v>1st</v>
      </c>
      <c r="H232" s="8" t="str">
        <f>IFERROR(__xludf.DUMMYFUNCTION("""COMPUTED_VALUE"""),"GA Regional 33")</f>
        <v>GA Regional 33</v>
      </c>
      <c r="I232" s="10">
        <f>IFERROR(__xludf.DUMMYFUNCTION("""COMPUTED_VALUE"""),43252.0)</f>
        <v>43252</v>
      </c>
      <c r="J232" s="10">
        <f>IFERROR(__xludf.DUMMYFUNCTION("""COMPUTED_VALUE"""),44348.0)</f>
        <v>44348</v>
      </c>
      <c r="K232" s="11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9" t="str">
        <f>IFERROR(__xludf.DUMMYFUNCTION("""COMPUTED_VALUE"""),"Nowak")</f>
        <v>Nowak</v>
      </c>
      <c r="B233" s="8" t="str">
        <f>IFERROR(__xludf.DUMMYFUNCTION("""COMPUTED_VALUE"""),"Jami")</f>
        <v>Jami</v>
      </c>
      <c r="C233" s="8" t="str">
        <f>IFERROR(__xludf.DUMMYFUNCTION("""COMPUTED_VALUE"""),"Sheboygan")</f>
        <v>Sheboygan</v>
      </c>
      <c r="D233" s="8" t="str">
        <f>IFERROR(__xludf.DUMMYFUNCTION("""COMPUTED_VALUE"""),"WI")</f>
        <v>WI</v>
      </c>
      <c r="E233" s="8" t="str">
        <f>IFERROR(__xludf.DUMMYFUNCTION("""COMPUTED_VALUE"""),"USA")</f>
        <v>USA</v>
      </c>
      <c r="F233" s="8" t="str">
        <f>IFERROR(__xludf.DUMMYFUNCTION("""COMPUTED_VALUE"""),"Womens A Doubles")</f>
        <v>Womens A Doubles</v>
      </c>
      <c r="G233" s="8" t="str">
        <f>IFERROR(__xludf.DUMMYFUNCTION("""COMPUTED_VALUE"""),"2nd")</f>
        <v>2nd</v>
      </c>
      <c r="H233" s="8" t="str">
        <f>IFERROR(__xludf.DUMMYFUNCTION("""COMPUTED_VALUE"""),"BullShooter 31")</f>
        <v>BullShooter 31</v>
      </c>
      <c r="I233" s="10">
        <f>IFERROR(__xludf.DUMMYFUNCTION("""COMPUTED_VALUE"""),42522.0)</f>
        <v>42522</v>
      </c>
      <c r="J233" s="10">
        <f>IFERROR(__xludf.DUMMYFUNCTION("""COMPUTED_VALUE"""),44713.0)</f>
        <v>44713</v>
      </c>
      <c r="K233" s="11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9" t="str">
        <f>IFERROR(__xludf.DUMMYFUNCTION("""COMPUTED_VALUE"""),"O'hara")</f>
        <v>O'hara</v>
      </c>
      <c r="B234" s="8" t="str">
        <f>IFERROR(__xludf.DUMMYFUNCTION("""COMPUTED_VALUE"""),"Elizabeth")</f>
        <v>Elizabeth</v>
      </c>
      <c r="C234" s="8" t="str">
        <f>IFERROR(__xludf.DUMMYFUNCTION("""COMPUTED_VALUE"""),"Oklahoma City")</f>
        <v>Oklahoma City</v>
      </c>
      <c r="D234" s="8" t="str">
        <f>IFERROR(__xludf.DUMMYFUNCTION("""COMPUTED_VALUE"""),"OK")</f>
        <v>OK</v>
      </c>
      <c r="E234" s="8" t="str">
        <f>IFERROR(__xludf.DUMMYFUNCTION("""COMPUTED_VALUE"""),"USA")</f>
        <v>USA</v>
      </c>
      <c r="F234" s="8" t="str">
        <f>IFERROR(__xludf.DUMMYFUNCTION("""COMPUTED_VALUE"""),"Womens Dbles Combo")</f>
        <v>Womens Dbles Combo</v>
      </c>
      <c r="G234" s="8" t="str">
        <f>IFERROR(__xludf.DUMMYFUNCTION("""COMPUTED_VALUE"""),"3rd")</f>
        <v>3rd</v>
      </c>
      <c r="H234" s="8" t="str">
        <f>IFERROR(__xludf.DUMMYFUNCTION("""COMPUTED_VALUE"""),"NE Regional 32")</f>
        <v>NE Regional 32</v>
      </c>
      <c r="I234" s="10">
        <f>IFERROR(__xludf.DUMMYFUNCTION("""COMPUTED_VALUE"""),42887.0)</f>
        <v>42887</v>
      </c>
      <c r="J234" s="10">
        <f>IFERROR(__xludf.DUMMYFUNCTION("""COMPUTED_VALUE"""),43983.0)</f>
        <v>43983</v>
      </c>
      <c r="K234" s="11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9" t="str">
        <f>IFERROR(__xludf.DUMMYFUNCTION("""COMPUTED_VALUE"""),"Oakley")</f>
        <v>Oakley</v>
      </c>
      <c r="B235" s="8" t="str">
        <f>IFERROR(__xludf.DUMMYFUNCTION("""COMPUTED_VALUE"""),"Regina")</f>
        <v>Regina</v>
      </c>
      <c r="C235" s="8" t="str">
        <f>IFERROR(__xludf.DUMMYFUNCTION("""COMPUTED_VALUE"""),"Raleigh")</f>
        <v>Raleigh</v>
      </c>
      <c r="D235" s="8" t="str">
        <f>IFERROR(__xludf.DUMMYFUNCTION("""COMPUTED_VALUE"""),"NC")</f>
        <v>NC</v>
      </c>
      <c r="E235" s="8" t="str">
        <f>IFERROR(__xludf.DUMMYFUNCTION("""COMPUTED_VALUE"""),"USA")</f>
        <v>USA</v>
      </c>
      <c r="F235" s="8" t="str">
        <f>IFERROR(__xludf.DUMMYFUNCTION("""COMPUTED_VALUE"""),"Womens Doubles Combo")</f>
        <v>Womens Doubles Combo</v>
      </c>
      <c r="G235" s="8" t="str">
        <f>IFERROR(__xludf.DUMMYFUNCTION("""COMPUTED_VALUE"""),"2nd")</f>
        <v>2nd</v>
      </c>
      <c r="H235" s="8" t="str">
        <f>IFERROR(__xludf.DUMMYFUNCTION("""COMPUTED_VALUE"""),"SC Regional 33")</f>
        <v>SC Regional 33</v>
      </c>
      <c r="I235" s="10">
        <f>IFERROR(__xludf.DUMMYFUNCTION("""COMPUTED_VALUE"""),43252.0)</f>
        <v>43252</v>
      </c>
      <c r="J235" s="10">
        <f>IFERROR(__xludf.DUMMYFUNCTION("""COMPUTED_VALUE"""),44348.0)</f>
        <v>44348</v>
      </c>
      <c r="K235" s="11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9" t="str">
        <f>IFERROR(__xludf.DUMMYFUNCTION("""COMPUTED_VALUE"""),"Olson")</f>
        <v>Olson</v>
      </c>
      <c r="B236" s="8" t="str">
        <f>IFERROR(__xludf.DUMMYFUNCTION("""COMPUTED_VALUE"""),"Tracie")</f>
        <v>Tracie</v>
      </c>
      <c r="C236" s="8" t="str">
        <f>IFERROR(__xludf.DUMMYFUNCTION("""COMPUTED_VALUE"""),"Janesville")</f>
        <v>Janesville</v>
      </c>
      <c r="D236" s="8" t="str">
        <f>IFERROR(__xludf.DUMMYFUNCTION("""COMPUTED_VALUE"""),"WI")</f>
        <v>WI</v>
      </c>
      <c r="E236" s="8" t="str">
        <f>IFERROR(__xludf.DUMMYFUNCTION("""COMPUTED_VALUE"""),"USA")</f>
        <v>USA</v>
      </c>
      <c r="F236" s="8" t="str">
        <f>IFERROR(__xludf.DUMMYFUNCTION("""COMPUTED_VALUE"""),"Womens Doubles Combo")</f>
        <v>Womens Doubles Combo</v>
      </c>
      <c r="G236" s="8" t="str">
        <f>IFERROR(__xludf.DUMMYFUNCTION("""COMPUTED_VALUE"""),"3rd")</f>
        <v>3rd</v>
      </c>
      <c r="H236" s="8" t="str">
        <f>IFERROR(__xludf.DUMMYFUNCTION("""COMPUTED_VALUE"""),"WI Regional 32")</f>
        <v>WI Regional 32</v>
      </c>
      <c r="I236" s="10">
        <f>IFERROR(__xludf.DUMMYFUNCTION("""COMPUTED_VALUE"""),42887.0)</f>
        <v>42887</v>
      </c>
      <c r="J236" s="10">
        <f>IFERROR(__xludf.DUMMYFUNCTION("""COMPUTED_VALUE"""),43983.0)</f>
        <v>43983</v>
      </c>
      <c r="K236" s="11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9" t="str">
        <f>IFERROR(__xludf.DUMMYFUNCTION("""COMPUTED_VALUE"""),"Ortega")</f>
        <v>Ortega</v>
      </c>
      <c r="B237" s="8" t="str">
        <f>IFERROR(__xludf.DUMMYFUNCTION("""COMPUTED_VALUE"""),"Alyssa")</f>
        <v>Alyssa</v>
      </c>
      <c r="C237" s="8" t="str">
        <f>IFERROR(__xludf.DUMMYFUNCTION("""COMPUTED_VALUE"""),"San Antonio")</f>
        <v>San Antonio</v>
      </c>
      <c r="D237" s="8" t="str">
        <f>IFERROR(__xludf.DUMMYFUNCTION("""COMPUTED_VALUE"""),"TX")</f>
        <v>TX</v>
      </c>
      <c r="E237" s="8" t="str">
        <f>IFERROR(__xludf.DUMMYFUNCTION("""COMPUTED_VALUE"""),"USA")</f>
        <v>USA</v>
      </c>
      <c r="F237" s="8" t="str">
        <f>IFERROR(__xludf.DUMMYFUNCTION("""COMPUTED_VALUE"""),"Women Combo Doubles")</f>
        <v>Women Combo Doubles</v>
      </c>
      <c r="G237" s="8" t="str">
        <f>IFERROR(__xludf.DUMMYFUNCTION("""COMPUTED_VALUE"""),"2nd")</f>
        <v>2nd</v>
      </c>
      <c r="H237" s="8" t="str">
        <f>IFERROR(__xludf.DUMMYFUNCTION("""COMPUTED_VALUE"""),"Texas BS 34")</f>
        <v>Texas BS 34</v>
      </c>
      <c r="I237" s="10">
        <f>IFERROR(__xludf.DUMMYFUNCTION("""COMPUTED_VALUE"""),43617.0)</f>
        <v>43617</v>
      </c>
      <c r="J237" s="10">
        <f>IFERROR(__xludf.DUMMYFUNCTION("""COMPUTED_VALUE"""),44713.0)</f>
        <v>44713</v>
      </c>
      <c r="K237" s="11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9" t="str">
        <f>IFERROR(__xludf.DUMMYFUNCTION("""COMPUTED_VALUE"""),"Ostdiek")</f>
        <v>Ostdiek</v>
      </c>
      <c r="B238" s="8" t="str">
        <f>IFERROR(__xludf.DUMMYFUNCTION("""COMPUTED_VALUE"""),"Aimee")</f>
        <v>Aimee</v>
      </c>
      <c r="C238" s="8" t="str">
        <f>IFERROR(__xludf.DUMMYFUNCTION("""COMPUTED_VALUE"""),"Lawrence")</f>
        <v>Lawrence</v>
      </c>
      <c r="D238" s="8" t="str">
        <f>IFERROR(__xludf.DUMMYFUNCTION("""COMPUTED_VALUE"""),"NE")</f>
        <v>NE</v>
      </c>
      <c r="E238" s="8" t="str">
        <f>IFERROR(__xludf.DUMMYFUNCTION("""COMPUTED_VALUE"""),"USA")</f>
        <v>USA</v>
      </c>
      <c r="F238" s="8" t="str">
        <f>IFERROR(__xludf.DUMMYFUNCTION("""COMPUTED_VALUE"""),"Womens Singles")</f>
        <v>Womens Singles</v>
      </c>
      <c r="G238" s="8" t="str">
        <f>IFERROR(__xludf.DUMMYFUNCTION("""COMPUTED_VALUE"""),"1st")</f>
        <v>1st</v>
      </c>
      <c r="H238" s="8" t="str">
        <f>IFERROR(__xludf.DUMMYFUNCTION("""COMPUTED_VALUE"""),"NE Regional 33")</f>
        <v>NE Regional 33</v>
      </c>
      <c r="I238" s="10">
        <f>IFERROR(__xludf.DUMMYFUNCTION("""COMPUTED_VALUE"""),43252.0)</f>
        <v>43252</v>
      </c>
      <c r="J238" s="10">
        <f>IFERROR(__xludf.DUMMYFUNCTION("""COMPUTED_VALUE"""),44348.0)</f>
        <v>44348</v>
      </c>
      <c r="K238" s="11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9" t="str">
        <f>IFERROR(__xludf.DUMMYFUNCTION("""COMPUTED_VALUE"""),"Painter")</f>
        <v>Painter</v>
      </c>
      <c r="B239" s="8" t="str">
        <f>IFERROR(__xludf.DUMMYFUNCTION("""COMPUTED_VALUE"""),"Angelique")</f>
        <v>Angelique</v>
      </c>
      <c r="C239" s="8" t="str">
        <f>IFERROR(__xludf.DUMMYFUNCTION("""COMPUTED_VALUE"""),"Mansfield")</f>
        <v>Mansfield</v>
      </c>
      <c r="D239" s="8" t="str">
        <f>IFERROR(__xludf.DUMMYFUNCTION("""COMPUTED_VALUE"""),"OH")</f>
        <v>OH</v>
      </c>
      <c r="E239" s="8" t="str">
        <f>IFERROR(__xludf.DUMMYFUNCTION("""COMPUTED_VALUE"""),"USA")</f>
        <v>USA</v>
      </c>
      <c r="F239" s="8" t="str">
        <f>IFERROR(__xludf.DUMMYFUNCTION("""COMPUTED_VALUE"""),"Womens Doubles")</f>
        <v>Womens Doubles</v>
      </c>
      <c r="G239" s="8" t="str">
        <f>IFERROR(__xludf.DUMMYFUNCTION("""COMPUTED_VALUE"""),"3rd")</f>
        <v>3rd</v>
      </c>
      <c r="H239" s="8" t="str">
        <f>IFERROR(__xludf.DUMMYFUNCTION("""COMPUTED_VALUE"""),"OH Regional 32")</f>
        <v>OH Regional 32</v>
      </c>
      <c r="I239" s="10">
        <f>IFERROR(__xludf.DUMMYFUNCTION("""COMPUTED_VALUE"""),42887.0)</f>
        <v>42887</v>
      </c>
      <c r="J239" s="10">
        <f>IFERROR(__xludf.DUMMYFUNCTION("""COMPUTED_VALUE"""),43983.0)</f>
        <v>43983</v>
      </c>
      <c r="K239" s="11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9" t="str">
        <f>IFERROR(__xludf.DUMMYFUNCTION("""COMPUTED_VALUE"""),"Palermo")</f>
        <v>Palermo</v>
      </c>
      <c r="B240" s="8" t="str">
        <f>IFERROR(__xludf.DUMMYFUNCTION("""COMPUTED_VALUE"""),"Susanne")</f>
        <v>Susanne</v>
      </c>
      <c r="C240" s="8" t="str">
        <f>IFERROR(__xludf.DUMMYFUNCTION("""COMPUTED_VALUE"""),"Greece")</f>
        <v>Greece</v>
      </c>
      <c r="D240" s="8" t="str">
        <f>IFERROR(__xludf.DUMMYFUNCTION("""COMPUTED_VALUE"""),"NY")</f>
        <v>NY</v>
      </c>
      <c r="E240" s="8" t="str">
        <f>IFERROR(__xludf.DUMMYFUNCTION("""COMPUTED_VALUE"""),"USA")</f>
        <v>USA</v>
      </c>
      <c r="F240" s="8" t="str">
        <f>IFERROR(__xludf.DUMMYFUNCTION("""COMPUTED_VALUE"""),"Womens Doubles")</f>
        <v>Womens Doubles</v>
      </c>
      <c r="G240" s="8" t="str">
        <f>IFERROR(__xludf.DUMMYFUNCTION("""COMPUTED_VALUE"""),"2nd")</f>
        <v>2nd</v>
      </c>
      <c r="H240" s="8" t="str">
        <f>IFERROR(__xludf.DUMMYFUNCTION("""COMPUTED_VALUE"""),"NY Regional 33")</f>
        <v>NY Regional 33</v>
      </c>
      <c r="I240" s="10">
        <f>IFERROR(__xludf.DUMMYFUNCTION("""COMPUTED_VALUE"""),43252.0)</f>
        <v>43252</v>
      </c>
      <c r="J240" s="10">
        <f>IFERROR(__xludf.DUMMYFUNCTION("""COMPUTED_VALUE"""),44348.0)</f>
        <v>44348</v>
      </c>
      <c r="K240" s="11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9" t="str">
        <f>IFERROR(__xludf.DUMMYFUNCTION("""COMPUTED_VALUE"""),"Panti")</f>
        <v>Panti</v>
      </c>
      <c r="B241" s="8" t="str">
        <f>IFERROR(__xludf.DUMMYFUNCTION("""COMPUTED_VALUE"""),"Kimberly")</f>
        <v>Kimberly</v>
      </c>
      <c r="C241" s="8" t="str">
        <f>IFERROR(__xludf.DUMMYFUNCTION("""COMPUTED_VALUE"""),"Jacksonville")</f>
        <v>Jacksonville</v>
      </c>
      <c r="D241" s="8" t="str">
        <f>IFERROR(__xludf.DUMMYFUNCTION("""COMPUTED_VALUE"""),"FL")</f>
        <v>FL</v>
      </c>
      <c r="E241" s="8" t="str">
        <f>IFERROR(__xludf.DUMMYFUNCTION("""COMPUTED_VALUE"""),"USA")</f>
        <v>USA</v>
      </c>
      <c r="F241" s="8" t="str">
        <f>IFERROR(__xludf.DUMMYFUNCTION("""COMPUTED_VALUE"""),"Women 301 Doubles")</f>
        <v>Women 301 Doubles</v>
      </c>
      <c r="G241" s="8" t="str">
        <f>IFERROR(__xludf.DUMMYFUNCTION("""COMPUTED_VALUE"""),"3rd")</f>
        <v>3rd</v>
      </c>
      <c r="H241" s="8" t="str">
        <f>IFERROR(__xludf.DUMMYFUNCTION("""COMPUTED_VALUE"""),"South Carolina BS 34")</f>
        <v>South Carolina BS 34</v>
      </c>
      <c r="I241" s="10">
        <f>IFERROR(__xludf.DUMMYFUNCTION("""COMPUTED_VALUE"""),43617.0)</f>
        <v>43617</v>
      </c>
      <c r="J241" s="10">
        <f>IFERROR(__xludf.DUMMYFUNCTION("""COMPUTED_VALUE"""),44713.0)</f>
        <v>44713</v>
      </c>
      <c r="K241" s="11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9" t="str">
        <f>IFERROR(__xludf.DUMMYFUNCTION("""COMPUTED_VALUE"""),"Patterson")</f>
        <v>Patterson</v>
      </c>
      <c r="B242" s="8" t="str">
        <f>IFERROR(__xludf.DUMMYFUNCTION("""COMPUTED_VALUE"""),"April")</f>
        <v>April</v>
      </c>
      <c r="C242" s="8" t="str">
        <f>IFERROR(__xludf.DUMMYFUNCTION("""COMPUTED_VALUE"""),"Phlox")</f>
        <v>Phlox</v>
      </c>
      <c r="D242" s="8" t="str">
        <f>IFERROR(__xludf.DUMMYFUNCTION("""COMPUTED_VALUE"""),"WI")</f>
        <v>WI</v>
      </c>
      <c r="E242" s="8" t="str">
        <f>IFERROR(__xludf.DUMMYFUNCTION("""COMPUTED_VALUE"""),"USA")</f>
        <v>USA</v>
      </c>
      <c r="F242" s="8" t="str">
        <f>IFERROR(__xludf.DUMMYFUNCTION("""COMPUTED_VALUE"""),"Women B Cricket Doubles")</f>
        <v>Women B Cricket Doubles</v>
      </c>
      <c r="G242" s="8" t="str">
        <f>IFERROR(__xludf.DUMMYFUNCTION("""COMPUTED_VALUE"""),"3rd")</f>
        <v>3rd</v>
      </c>
      <c r="H242" s="8" t="str">
        <f>IFERROR(__xludf.DUMMYFUNCTION("""COMPUTED_VALUE"""),"BullShooter 34 Finals")</f>
        <v>BullShooter 34 Finals</v>
      </c>
      <c r="I242" s="10">
        <f>IFERROR(__xludf.DUMMYFUNCTION("""COMPUTED_VALUE"""),43617.0)</f>
        <v>43617</v>
      </c>
      <c r="J242" s="10">
        <f>IFERROR(__xludf.DUMMYFUNCTION("""COMPUTED_VALUE"""),44713.0)</f>
        <v>44713</v>
      </c>
      <c r="K242" s="11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9" t="str">
        <f>IFERROR(__xludf.DUMMYFUNCTION("""COMPUTED_VALUE"""),"Payer")</f>
        <v>Payer</v>
      </c>
      <c r="B243" s="8" t="str">
        <f>IFERROR(__xludf.DUMMYFUNCTION("""COMPUTED_VALUE"""),"Benita")</f>
        <v>Benita</v>
      </c>
      <c r="C243" s="8" t="str">
        <f>IFERROR(__xludf.DUMMYFUNCTION("""COMPUTED_VALUE"""),"Winnebago")</f>
        <v>Winnebago</v>
      </c>
      <c r="D243" s="8" t="str">
        <f>IFERROR(__xludf.DUMMYFUNCTION("""COMPUTED_VALUE"""),"NE")</f>
        <v>NE</v>
      </c>
      <c r="E243" s="8" t="str">
        <f>IFERROR(__xludf.DUMMYFUNCTION("""COMPUTED_VALUE"""),"USA")</f>
        <v>USA</v>
      </c>
      <c r="F243" s="8" t="str">
        <f>IFERROR(__xludf.DUMMYFUNCTION("""COMPUTED_VALUE"""),"Womens Doubles")</f>
        <v>Womens Doubles</v>
      </c>
      <c r="G243" s="8" t="str">
        <f>IFERROR(__xludf.DUMMYFUNCTION("""COMPUTED_VALUE"""),"3rd")</f>
        <v>3rd</v>
      </c>
      <c r="H243" s="8" t="str">
        <f>IFERROR(__xludf.DUMMYFUNCTION("""COMPUTED_VALUE"""),"NE Regional 32")</f>
        <v>NE Regional 32</v>
      </c>
      <c r="I243" s="10">
        <f>IFERROR(__xludf.DUMMYFUNCTION("""COMPUTED_VALUE"""),42887.0)</f>
        <v>42887</v>
      </c>
      <c r="J243" s="10">
        <f>IFERROR(__xludf.DUMMYFUNCTION("""COMPUTED_VALUE"""),43983.0)</f>
        <v>43983</v>
      </c>
      <c r="K243" s="11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9" t="str">
        <f>IFERROR(__xludf.DUMMYFUNCTION("""COMPUTED_VALUE"""),"Perez")</f>
        <v>Perez</v>
      </c>
      <c r="B244" s="8" t="str">
        <f>IFERROR(__xludf.DUMMYFUNCTION("""COMPUTED_VALUE"""),"Gina")</f>
        <v>Gina</v>
      </c>
      <c r="C244" s="8" t="str">
        <f>IFERROR(__xludf.DUMMYFUNCTION("""COMPUTED_VALUE"""),"Fort Mohave")</f>
        <v>Fort Mohave</v>
      </c>
      <c r="D244" s="8" t="str">
        <f>IFERROR(__xludf.DUMMYFUNCTION("""COMPUTED_VALUE"""),"AZ")</f>
        <v>AZ</v>
      </c>
      <c r="E244" s="8" t="str">
        <f>IFERROR(__xludf.DUMMYFUNCTION("""COMPUTED_VALUE"""),"USA")</f>
        <v>USA</v>
      </c>
      <c r="F244" s="8" t="str">
        <f>IFERROR(__xludf.DUMMYFUNCTION("""COMPUTED_VALUE"""),"Womens Singles")</f>
        <v>Womens Singles</v>
      </c>
      <c r="G244" s="8" t="str">
        <f>IFERROR(__xludf.DUMMYFUNCTION("""COMPUTED_VALUE"""),"3rd")</f>
        <v>3rd</v>
      </c>
      <c r="H244" s="8" t="str">
        <f>IFERROR(__xludf.DUMMYFUNCTION("""COMPUTED_VALUE"""),"NV Regional 32")</f>
        <v>NV Regional 32</v>
      </c>
      <c r="I244" s="10">
        <f>IFERROR(__xludf.DUMMYFUNCTION("""COMPUTED_VALUE"""),42887.0)</f>
        <v>42887</v>
      </c>
      <c r="J244" s="10">
        <f>IFERROR(__xludf.DUMMYFUNCTION("""COMPUTED_VALUE"""),43983.0)</f>
        <v>43983</v>
      </c>
      <c r="K244" s="11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9" t="str">
        <f>IFERROR(__xludf.DUMMYFUNCTION("""COMPUTED_VALUE"""),"Piersing")</f>
        <v>Piersing</v>
      </c>
      <c r="B245" s="8" t="str">
        <f>IFERROR(__xludf.DUMMYFUNCTION("""COMPUTED_VALUE"""),"Christina")</f>
        <v>Christina</v>
      </c>
      <c r="C245" s="8" t="str">
        <f>IFERROR(__xludf.DUMMYFUNCTION("""COMPUTED_VALUE"""),"Millington")</f>
        <v>Millington</v>
      </c>
      <c r="D245" s="8" t="str">
        <f>IFERROR(__xludf.DUMMYFUNCTION("""COMPUTED_VALUE"""),"TX")</f>
        <v>TX</v>
      </c>
      <c r="E245" s="8" t="str">
        <f>IFERROR(__xludf.DUMMYFUNCTION("""COMPUTED_VALUE"""),"USA")</f>
        <v>USA</v>
      </c>
      <c r="F245" s="8" t="str">
        <f>IFERROR(__xludf.DUMMYFUNCTION("""COMPUTED_VALUE"""),"Womens A/AA Combo Luck")</f>
        <v>Womens A/AA Combo Luck</v>
      </c>
      <c r="G245" s="8" t="str">
        <f>IFERROR(__xludf.DUMMYFUNCTION("""COMPUTED_VALUE"""),"1st")</f>
        <v>1st</v>
      </c>
      <c r="H245" s="8" t="str">
        <f>IFERROR(__xludf.DUMMYFUNCTION("""COMPUTED_VALUE"""),"BullShooter 31")</f>
        <v>BullShooter 31</v>
      </c>
      <c r="I245" s="10">
        <f>IFERROR(__xludf.DUMMYFUNCTION("""COMPUTED_VALUE"""),42522.0)</f>
        <v>42522</v>
      </c>
      <c r="J245" s="10">
        <f>IFERROR(__xludf.DUMMYFUNCTION("""COMPUTED_VALUE"""),44713.0)</f>
        <v>44713</v>
      </c>
      <c r="K245" s="11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9" t="str">
        <f>IFERROR(__xludf.DUMMYFUNCTION("""COMPUTED_VALUE"""),"Pitts")</f>
        <v>Pitts</v>
      </c>
      <c r="B246" s="8" t="str">
        <f>IFERROR(__xludf.DUMMYFUNCTION("""COMPUTED_VALUE"""),"Jennifer")</f>
        <v>Jennifer</v>
      </c>
      <c r="C246" s="8" t="str">
        <f>IFERROR(__xludf.DUMMYFUNCTION("""COMPUTED_VALUE"""),"Box Elder")</f>
        <v>Box Elder</v>
      </c>
      <c r="D246" s="8" t="str">
        <f>IFERROR(__xludf.DUMMYFUNCTION("""COMPUTED_VALUE"""),"SD")</f>
        <v>SD</v>
      </c>
      <c r="E246" s="8" t="str">
        <f>IFERROR(__xludf.DUMMYFUNCTION("""COMPUTED_VALUE"""),"USA")</f>
        <v>USA</v>
      </c>
      <c r="F246" s="8" t="str">
        <f>IFERROR(__xludf.DUMMYFUNCTION("""COMPUTED_VALUE"""),"Women Combo Doubles")</f>
        <v>Women Combo Doubles</v>
      </c>
      <c r="G246" s="8" t="str">
        <f>IFERROR(__xludf.DUMMYFUNCTION("""COMPUTED_VALUE"""),"1st")</f>
        <v>1st</v>
      </c>
      <c r="H246" s="8" t="str">
        <f>IFERROR(__xludf.DUMMYFUNCTION("""COMPUTED_VALUE"""),"Nebraska BS 34")</f>
        <v>Nebraska BS 34</v>
      </c>
      <c r="I246" s="10">
        <f>IFERROR(__xludf.DUMMYFUNCTION("""COMPUTED_VALUE"""),43617.0)</f>
        <v>43617</v>
      </c>
      <c r="J246" s="10">
        <f>IFERROR(__xludf.DUMMYFUNCTION("""COMPUTED_VALUE"""),44713.0)</f>
        <v>44713</v>
      </c>
      <c r="K246" s="11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9" t="str">
        <f>IFERROR(__xludf.DUMMYFUNCTION("""COMPUTED_VALUE"""),"Plaehn")</f>
        <v>Plaehn</v>
      </c>
      <c r="B247" s="8" t="str">
        <f>IFERROR(__xludf.DUMMYFUNCTION("""COMPUTED_VALUE"""),"Anja")</f>
        <v>Anja</v>
      </c>
      <c r="C247" s="8" t="str">
        <f>IFERROR(__xludf.DUMMYFUNCTION("""COMPUTED_VALUE"""),"")</f>
        <v/>
      </c>
      <c r="D247" s="8" t="str">
        <f>IFERROR(__xludf.DUMMYFUNCTION("""COMPUTED_VALUE"""),"")</f>
        <v/>
      </c>
      <c r="E247" s="8" t="str">
        <f>IFERROR(__xludf.DUMMYFUNCTION("""COMPUTED_VALUE"""),"Germany")</f>
        <v>Germany</v>
      </c>
      <c r="F247" s="8" t="str">
        <f>IFERROR(__xludf.DUMMYFUNCTION("""COMPUTED_VALUE"""),"Womens A Doubles X01")</f>
        <v>Womens A Doubles X01</v>
      </c>
      <c r="G247" s="8" t="str">
        <f>IFERROR(__xludf.DUMMYFUNCTION("""COMPUTED_VALUE"""),"1st")</f>
        <v>1st</v>
      </c>
      <c r="H247" s="8" t="str">
        <f>IFERROR(__xludf.DUMMYFUNCTION("""COMPUTED_VALUE"""),"Off AA List")</f>
        <v>Off AA List</v>
      </c>
      <c r="I247" s="10">
        <f>IFERROR(__xludf.DUMMYFUNCTION("""COMPUTED_VALUE"""),42887.0)</f>
        <v>42887</v>
      </c>
      <c r="J247" s="10">
        <f>IFERROR(__xludf.DUMMYFUNCTION("""COMPUTED_VALUE"""),43983.0)</f>
        <v>43983</v>
      </c>
      <c r="K247" s="11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9" t="str">
        <f>IFERROR(__xludf.DUMMYFUNCTION("""COMPUTED_VALUE"""),"Plantz")</f>
        <v>Plantz</v>
      </c>
      <c r="B248" s="8" t="str">
        <f>IFERROR(__xludf.DUMMYFUNCTION("""COMPUTED_VALUE"""),"Sandy")</f>
        <v>Sandy</v>
      </c>
      <c r="C248" s="8" t="str">
        <f>IFERROR(__xludf.DUMMYFUNCTION("""COMPUTED_VALUE"""),"Milwaukee")</f>
        <v>Milwaukee</v>
      </c>
      <c r="D248" s="8" t="str">
        <f>IFERROR(__xludf.DUMMYFUNCTION("""COMPUTED_VALUE"""),"WI")</f>
        <v>WI</v>
      </c>
      <c r="E248" s="8" t="str">
        <f>IFERROR(__xludf.DUMMYFUNCTION("""COMPUTED_VALUE"""),"USA")</f>
        <v>USA</v>
      </c>
      <c r="F248" s="8" t="str">
        <f>IFERROR(__xludf.DUMMYFUNCTION("""COMPUTED_VALUE"""),"")</f>
        <v/>
      </c>
      <c r="G248" s="8" t="str">
        <f>IFERROR(__xludf.DUMMYFUNCTION("""COMPUTED_VALUE"""),"")</f>
        <v/>
      </c>
      <c r="H248" s="8" t="str">
        <f>IFERROR(__xludf.DUMMYFUNCTION("""COMPUTED_VALUE"""),"BS 30 Finals")</f>
        <v>BS 30 Finals</v>
      </c>
      <c r="I248" s="10">
        <f>IFERROR(__xludf.DUMMYFUNCTION("""COMPUTED_VALUE"""),43252.0)</f>
        <v>43252</v>
      </c>
      <c r="J248" s="10">
        <f>IFERROR(__xludf.DUMMYFUNCTION("""COMPUTED_VALUE"""),44348.0)</f>
        <v>44348</v>
      </c>
      <c r="K248" s="11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9" t="str">
        <f>IFERROR(__xludf.DUMMYFUNCTION("""COMPUTED_VALUE"""),"Poppe")</f>
        <v>Poppe</v>
      </c>
      <c r="B249" s="8" t="str">
        <f>IFERROR(__xludf.DUMMYFUNCTION("""COMPUTED_VALUE"""),"Sally Frank")</f>
        <v>Sally Frank</v>
      </c>
      <c r="C249" s="8" t="str">
        <f>IFERROR(__xludf.DUMMYFUNCTION("""COMPUTED_VALUE"""),"Indianapolis")</f>
        <v>Indianapolis</v>
      </c>
      <c r="D249" s="8" t="str">
        <f>IFERROR(__xludf.DUMMYFUNCTION("""COMPUTED_VALUE"""),"IN")</f>
        <v>IN</v>
      </c>
      <c r="E249" s="8" t="str">
        <f>IFERROR(__xludf.DUMMYFUNCTION("""COMPUTED_VALUE"""),"USA")</f>
        <v>USA</v>
      </c>
      <c r="F249" s="8" t="str">
        <f>IFERROR(__xludf.DUMMYFUNCTION("""COMPUTED_VALUE"""),"Womens Doubles")</f>
        <v>Womens Doubles</v>
      </c>
      <c r="G249" s="8" t="str">
        <f>IFERROR(__xludf.DUMMYFUNCTION("""COMPUTED_VALUE"""),"3rd")</f>
        <v>3rd</v>
      </c>
      <c r="H249" s="8" t="str">
        <f>IFERROR(__xludf.DUMMYFUNCTION("""COMPUTED_VALUE"""),"IN Regional 32")</f>
        <v>IN Regional 32</v>
      </c>
      <c r="I249" s="10">
        <f>IFERROR(__xludf.DUMMYFUNCTION("""COMPUTED_VALUE"""),42887.0)</f>
        <v>42887</v>
      </c>
      <c r="J249" s="10">
        <f>IFERROR(__xludf.DUMMYFUNCTION("""COMPUTED_VALUE"""),43983.0)</f>
        <v>43983</v>
      </c>
      <c r="K249" s="11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9" t="str">
        <f>IFERROR(__xludf.DUMMYFUNCTION("""COMPUTED_VALUE"""),"Porter")</f>
        <v>Porter</v>
      </c>
      <c r="B250" s="8" t="str">
        <f>IFERROR(__xludf.DUMMYFUNCTION("""COMPUTED_VALUE"""),"Shirley")</f>
        <v>Shirley</v>
      </c>
      <c r="C250" s="8" t="str">
        <f>IFERROR(__xludf.DUMMYFUNCTION("""COMPUTED_VALUE"""),"Chicago")</f>
        <v>Chicago</v>
      </c>
      <c r="D250" s="8" t="str">
        <f>IFERROR(__xludf.DUMMYFUNCTION("""COMPUTED_VALUE"""),"IL")</f>
        <v>IL</v>
      </c>
      <c r="E250" s="8" t="str">
        <f>IFERROR(__xludf.DUMMYFUNCTION("""COMPUTED_VALUE"""),"USA")</f>
        <v>USA</v>
      </c>
      <c r="F250" s="8" t="str">
        <f>IFERROR(__xludf.DUMMYFUNCTION("""COMPUTED_VALUE"""),"Womens B Combo Luck")</f>
        <v>Womens B Combo Luck</v>
      </c>
      <c r="G250" s="8" t="str">
        <f>IFERROR(__xludf.DUMMYFUNCTION("""COMPUTED_VALUE"""),"3rd")</f>
        <v>3rd</v>
      </c>
      <c r="H250" s="8" t="str">
        <f>IFERROR(__xludf.DUMMYFUNCTION("""COMPUTED_VALUE"""),"BullShooter 32")</f>
        <v>BullShooter 32</v>
      </c>
      <c r="I250" s="10">
        <f>IFERROR(__xludf.DUMMYFUNCTION("""COMPUTED_VALUE"""),42887.0)</f>
        <v>42887</v>
      </c>
      <c r="J250" s="10">
        <f>IFERROR(__xludf.DUMMYFUNCTION("""COMPUTED_VALUE"""),43983.0)</f>
        <v>43983</v>
      </c>
      <c r="K250" s="11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9" t="str">
        <f>IFERROR(__xludf.DUMMYFUNCTION("""COMPUTED_VALUE"""),"Proctor")</f>
        <v>Proctor</v>
      </c>
      <c r="B251" s="8" t="str">
        <f>IFERROR(__xludf.DUMMYFUNCTION("""COMPUTED_VALUE"""),"Jennifer")</f>
        <v>Jennifer</v>
      </c>
      <c r="C251" s="8" t="str">
        <f>IFERROR(__xludf.DUMMYFUNCTION("""COMPUTED_VALUE"""),"Osseo")</f>
        <v>Osseo</v>
      </c>
      <c r="D251" s="8" t="str">
        <f>IFERROR(__xludf.DUMMYFUNCTION("""COMPUTED_VALUE"""),"WI")</f>
        <v>WI</v>
      </c>
      <c r="E251" s="8" t="str">
        <f>IFERROR(__xludf.DUMMYFUNCTION("""COMPUTED_VALUE"""),"USA")</f>
        <v>USA</v>
      </c>
      <c r="F251" s="8" t="str">
        <f>IFERROR(__xludf.DUMMYFUNCTION("""COMPUTED_VALUE"""),"Womens A Doubles X01")</f>
        <v>Womens A Doubles X01</v>
      </c>
      <c r="G251" s="8" t="str">
        <f>IFERROR(__xludf.DUMMYFUNCTION("""COMPUTED_VALUE"""),"4th")</f>
        <v>4th</v>
      </c>
      <c r="H251" s="8" t="str">
        <f>IFERROR(__xludf.DUMMYFUNCTION("""COMPUTED_VALUE"""),"Off AA List")</f>
        <v>Off AA List</v>
      </c>
      <c r="I251" s="10">
        <f>IFERROR(__xludf.DUMMYFUNCTION("""COMPUTED_VALUE"""),42887.0)</f>
        <v>42887</v>
      </c>
      <c r="J251" s="10">
        <f>IFERROR(__xludf.DUMMYFUNCTION("""COMPUTED_VALUE"""),43983.0)</f>
        <v>43983</v>
      </c>
      <c r="K251" s="11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9" t="str">
        <f>IFERROR(__xludf.DUMMYFUNCTION("""COMPUTED_VALUE"""),"Pulido")</f>
        <v>Pulido</v>
      </c>
      <c r="B252" s="8" t="str">
        <f>IFERROR(__xludf.DUMMYFUNCTION("""COMPUTED_VALUE"""),"Sofia")</f>
        <v>Sofia</v>
      </c>
      <c r="C252" s="8" t="str">
        <f>IFERROR(__xludf.DUMMYFUNCTION("""COMPUTED_VALUE"""),"New London")</f>
        <v>New London</v>
      </c>
      <c r="D252" s="8" t="str">
        <f>IFERROR(__xludf.DUMMYFUNCTION("""COMPUTED_VALUE"""),"WI")</f>
        <v>WI</v>
      </c>
      <c r="E252" s="8" t="str">
        <f>IFERROR(__xludf.DUMMYFUNCTION("""COMPUTED_VALUE"""),"USA")</f>
        <v>USA</v>
      </c>
      <c r="F252" s="8" t="str">
        <f>IFERROR(__xludf.DUMMYFUNCTION("""COMPUTED_VALUE"""),"Women B Cricket Doubles")</f>
        <v>Women B Cricket Doubles</v>
      </c>
      <c r="G252" s="8" t="str">
        <f>IFERROR(__xludf.DUMMYFUNCTION("""COMPUTED_VALUE"""),"3rd")</f>
        <v>3rd</v>
      </c>
      <c r="H252" s="8" t="str">
        <f>IFERROR(__xludf.DUMMYFUNCTION("""COMPUTED_VALUE"""),"BullShooter 34 Finals")</f>
        <v>BullShooter 34 Finals</v>
      </c>
      <c r="I252" s="10">
        <f>IFERROR(__xludf.DUMMYFUNCTION("""COMPUTED_VALUE"""),43617.0)</f>
        <v>43617</v>
      </c>
      <c r="J252" s="10">
        <f>IFERROR(__xludf.DUMMYFUNCTION("""COMPUTED_VALUE"""),44713.0)</f>
        <v>44713</v>
      </c>
      <c r="K252" s="11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9" t="str">
        <f>IFERROR(__xludf.DUMMYFUNCTION("""COMPUTED_VALUE"""),"Purgold")</f>
        <v>Purgold</v>
      </c>
      <c r="B253" s="8" t="str">
        <f>IFERROR(__xludf.DUMMYFUNCTION("""COMPUTED_VALUE"""),"Jean")</f>
        <v>Jean</v>
      </c>
      <c r="C253" s="8" t="str">
        <f>IFERROR(__xludf.DUMMYFUNCTION("""COMPUTED_VALUE"""),"Wimauma")</f>
        <v>Wimauma</v>
      </c>
      <c r="D253" s="8" t="str">
        <f>IFERROR(__xludf.DUMMYFUNCTION("""COMPUTED_VALUE"""),"FL")</f>
        <v>FL</v>
      </c>
      <c r="E253" s="8" t="str">
        <f>IFERROR(__xludf.DUMMYFUNCTION("""COMPUTED_VALUE"""),"USA")</f>
        <v>USA</v>
      </c>
      <c r="F253" s="8" t="str">
        <f>IFERROR(__xludf.DUMMYFUNCTION("""COMPUTED_VALUE"""),"Womens Doubles")</f>
        <v>Womens Doubles</v>
      </c>
      <c r="G253" s="8" t="str">
        <f>IFERROR(__xludf.DUMMYFUNCTION("""COMPUTED_VALUE"""),"2nd")</f>
        <v>2nd</v>
      </c>
      <c r="H253" s="8" t="str">
        <f>IFERROR(__xludf.DUMMYFUNCTION("""COMPUTED_VALUE"""),"FL Regional 33")</f>
        <v>FL Regional 33</v>
      </c>
      <c r="I253" s="10">
        <f>IFERROR(__xludf.DUMMYFUNCTION("""COMPUTED_VALUE"""),43252.0)</f>
        <v>43252</v>
      </c>
      <c r="J253" s="10">
        <f>IFERROR(__xludf.DUMMYFUNCTION("""COMPUTED_VALUE"""),44348.0)</f>
        <v>44348</v>
      </c>
      <c r="K253" s="11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9" t="str">
        <f>IFERROR(__xludf.DUMMYFUNCTION("""COMPUTED_VALUE"""),"Quinn")</f>
        <v>Quinn</v>
      </c>
      <c r="B254" s="8" t="str">
        <f>IFERROR(__xludf.DUMMYFUNCTION("""COMPUTED_VALUE"""),"Anne")</f>
        <v>Anne</v>
      </c>
      <c r="C254" s="8" t="str">
        <f>IFERROR(__xludf.DUMMYFUNCTION("""COMPUTED_VALUE"""),"Chicago")</f>
        <v>Chicago</v>
      </c>
      <c r="D254" s="8" t="str">
        <f>IFERROR(__xludf.DUMMYFUNCTION("""COMPUTED_VALUE"""),"IL")</f>
        <v>IL</v>
      </c>
      <c r="E254" s="8" t="str">
        <f>IFERROR(__xludf.DUMMYFUNCTION("""COMPUTED_VALUE"""),"USA")</f>
        <v>USA</v>
      </c>
      <c r="F254" s="8" t="str">
        <f>IFERROR(__xludf.DUMMYFUNCTION("""COMPUTED_VALUE"""),"Top Gun Triples")</f>
        <v>Top Gun Triples</v>
      </c>
      <c r="G254" s="8" t="str">
        <f>IFERROR(__xludf.DUMMYFUNCTION("""COMPUTED_VALUE"""),"1st")</f>
        <v>1st</v>
      </c>
      <c r="H254" s="8" t="str">
        <f>IFERROR(__xludf.DUMMYFUNCTION("""COMPUTED_VALUE"""),"BS 33 Finals")</f>
        <v>BS 33 Finals</v>
      </c>
      <c r="I254" s="10">
        <f>IFERROR(__xludf.DUMMYFUNCTION("""COMPUTED_VALUE"""),43252.0)</f>
        <v>43252</v>
      </c>
      <c r="J254" s="10">
        <f>IFERROR(__xludf.DUMMYFUNCTION("""COMPUTED_VALUE"""),44348.0)</f>
        <v>44348</v>
      </c>
      <c r="K254" s="11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9" t="str">
        <f>IFERROR(__xludf.DUMMYFUNCTION("""COMPUTED_VALUE"""),"Quinones")</f>
        <v>Quinones</v>
      </c>
      <c r="B255" s="8" t="str">
        <f>IFERROR(__xludf.DUMMYFUNCTION("""COMPUTED_VALUE"""),"Yvette")</f>
        <v>Yvette</v>
      </c>
      <c r="C255" s="8" t="str">
        <f>IFERROR(__xludf.DUMMYFUNCTION("""COMPUTED_VALUE"""),"San Antonio")</f>
        <v>San Antonio</v>
      </c>
      <c r="D255" s="8" t="str">
        <f>IFERROR(__xludf.DUMMYFUNCTION("""COMPUTED_VALUE"""),"TX")</f>
        <v>TX</v>
      </c>
      <c r="E255" s="8" t="str">
        <f>IFERROR(__xludf.DUMMYFUNCTION("""COMPUTED_VALUE"""),"USA")</f>
        <v>USA</v>
      </c>
      <c r="F255" s="8" t="str">
        <f>IFERROR(__xludf.DUMMYFUNCTION("""COMPUTED_VALUE"""),"Womens Doubles Combo")</f>
        <v>Womens Doubles Combo</v>
      </c>
      <c r="G255" s="8" t="str">
        <f>IFERROR(__xludf.DUMMYFUNCTION("""COMPUTED_VALUE"""),"2nd")</f>
        <v>2nd</v>
      </c>
      <c r="H255" s="8" t="str">
        <f>IFERROR(__xludf.DUMMYFUNCTION("""COMPUTED_VALUE"""),"TX Regional 33")</f>
        <v>TX Regional 33</v>
      </c>
      <c r="I255" s="10">
        <f>IFERROR(__xludf.DUMMYFUNCTION("""COMPUTED_VALUE"""),43252.0)</f>
        <v>43252</v>
      </c>
      <c r="J255" s="10">
        <f>IFERROR(__xludf.DUMMYFUNCTION("""COMPUTED_VALUE"""),44348.0)</f>
        <v>44348</v>
      </c>
      <c r="K255" s="11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9" t="str">
        <f>IFERROR(__xludf.DUMMYFUNCTION("""COMPUTED_VALUE"""),"Raines")</f>
        <v>Raines</v>
      </c>
      <c r="B256" s="8" t="str">
        <f>IFERROR(__xludf.DUMMYFUNCTION("""COMPUTED_VALUE"""),"Heidi")</f>
        <v>Heidi</v>
      </c>
      <c r="C256" s="8" t="str">
        <f>IFERROR(__xludf.DUMMYFUNCTION("""COMPUTED_VALUE"""),"Spirit Lake")</f>
        <v>Spirit Lake</v>
      </c>
      <c r="D256" s="8" t="str">
        <f>IFERROR(__xludf.DUMMYFUNCTION("""COMPUTED_VALUE"""),"IA")</f>
        <v>IA</v>
      </c>
      <c r="E256" s="8" t="str">
        <f>IFERROR(__xludf.DUMMYFUNCTION("""COMPUTED_VALUE"""),"USA")</f>
        <v>USA</v>
      </c>
      <c r="F256" s="8" t="str">
        <f>IFERROR(__xludf.DUMMYFUNCTION("""COMPUTED_VALUE"""),"Womens Dbls Combo")</f>
        <v>Womens Dbls Combo</v>
      </c>
      <c r="G256" s="8" t="str">
        <f>IFERROR(__xludf.DUMMYFUNCTION("""COMPUTED_VALUE"""),"2nd")</f>
        <v>2nd</v>
      </c>
      <c r="H256" s="8" t="str">
        <f>IFERROR(__xludf.DUMMYFUNCTION("""COMPUTED_VALUE"""),"NE Regional 33")</f>
        <v>NE Regional 33</v>
      </c>
      <c r="I256" s="10">
        <f>IFERROR(__xludf.DUMMYFUNCTION("""COMPUTED_VALUE"""),42887.0)</f>
        <v>42887</v>
      </c>
      <c r="J256" s="10">
        <f>IFERROR(__xludf.DUMMYFUNCTION("""COMPUTED_VALUE"""),43983.0)</f>
        <v>43983</v>
      </c>
      <c r="K256" s="11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9" t="str">
        <f>IFERROR(__xludf.DUMMYFUNCTION("""COMPUTED_VALUE"""),"Ralls")</f>
        <v>Ralls</v>
      </c>
      <c r="B257" s="8" t="str">
        <f>IFERROR(__xludf.DUMMYFUNCTION("""COMPUTED_VALUE"""),"Alexis")</f>
        <v>Alexis</v>
      </c>
      <c r="C257" s="8" t="str">
        <f>IFERROR(__xludf.DUMMYFUNCTION("""COMPUTED_VALUE"""),"Cape Girardeau")</f>
        <v>Cape Girardeau</v>
      </c>
      <c r="D257" s="8" t="str">
        <f>IFERROR(__xludf.DUMMYFUNCTION("""COMPUTED_VALUE"""),"MO")</f>
        <v>MO</v>
      </c>
      <c r="E257" s="8" t="str">
        <f>IFERROR(__xludf.DUMMYFUNCTION("""COMPUTED_VALUE"""),"USA")</f>
        <v>USA</v>
      </c>
      <c r="F257" s="8" t="str">
        <f>IFERROR(__xludf.DUMMYFUNCTION("""COMPUTED_VALUE"""),"Women 301 Doubles")</f>
        <v>Women 301 Doubles</v>
      </c>
      <c r="G257" s="8" t="str">
        <f>IFERROR(__xludf.DUMMYFUNCTION("""COMPUTED_VALUE"""),"3rd")</f>
        <v>3rd</v>
      </c>
      <c r="H257" s="8" t="str">
        <f>IFERROR(__xludf.DUMMYFUNCTION("""COMPUTED_VALUE"""),"Tennessee BS 34")</f>
        <v>Tennessee BS 34</v>
      </c>
      <c r="I257" s="10">
        <f>IFERROR(__xludf.DUMMYFUNCTION("""COMPUTED_VALUE"""),43617.0)</f>
        <v>43617</v>
      </c>
      <c r="J257" s="10">
        <f>IFERROR(__xludf.DUMMYFUNCTION("""COMPUTED_VALUE"""),44713.0)</f>
        <v>44713</v>
      </c>
      <c r="K257" s="11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9" t="str">
        <f>IFERROR(__xludf.DUMMYFUNCTION("""COMPUTED_VALUE"""),"Ramos")</f>
        <v>Ramos</v>
      </c>
      <c r="B258" s="8" t="str">
        <f>IFERROR(__xludf.DUMMYFUNCTION("""COMPUTED_VALUE"""),"Janie")</f>
        <v>Janie</v>
      </c>
      <c r="C258" s="8" t="str">
        <f>IFERROR(__xludf.DUMMYFUNCTION("""COMPUTED_VALUE"""),"Cedar Creek")</f>
        <v>Cedar Creek</v>
      </c>
      <c r="D258" s="8" t="str">
        <f>IFERROR(__xludf.DUMMYFUNCTION("""COMPUTED_VALUE"""),"TX")</f>
        <v>TX</v>
      </c>
      <c r="E258" s="8" t="str">
        <f>IFERROR(__xludf.DUMMYFUNCTION("""COMPUTED_VALUE"""),"USA")</f>
        <v>USA</v>
      </c>
      <c r="F258" s="8" t="str">
        <f>IFERROR(__xludf.DUMMYFUNCTION("""COMPUTED_VALUE"""),"Women Combo Doubles")</f>
        <v>Women Combo Doubles</v>
      </c>
      <c r="G258" s="8" t="str">
        <f>IFERROR(__xludf.DUMMYFUNCTION("""COMPUTED_VALUE"""),"3rd")</f>
        <v>3rd</v>
      </c>
      <c r="H258" s="8" t="str">
        <f>IFERROR(__xludf.DUMMYFUNCTION("""COMPUTED_VALUE"""),"Texas BS 34")</f>
        <v>Texas BS 34</v>
      </c>
      <c r="I258" s="10">
        <f>IFERROR(__xludf.DUMMYFUNCTION("""COMPUTED_VALUE"""),43617.0)</f>
        <v>43617</v>
      </c>
      <c r="J258" s="10">
        <f>IFERROR(__xludf.DUMMYFUNCTION("""COMPUTED_VALUE"""),44713.0)</f>
        <v>44713</v>
      </c>
      <c r="K258" s="11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9" t="str">
        <f>IFERROR(__xludf.DUMMYFUNCTION("""COMPUTED_VALUE"""),"Rausch")</f>
        <v>Rausch</v>
      </c>
      <c r="B259" s="8" t="str">
        <f>IFERROR(__xludf.DUMMYFUNCTION("""COMPUTED_VALUE"""),"Charlotte")</f>
        <v>Charlotte</v>
      </c>
      <c r="C259" s="8" t="str">
        <f>IFERROR(__xludf.DUMMYFUNCTION("""COMPUTED_VALUE"""),"Knoxville")</f>
        <v>Knoxville</v>
      </c>
      <c r="D259" s="8" t="str">
        <f>IFERROR(__xludf.DUMMYFUNCTION("""COMPUTED_VALUE"""),"TN")</f>
        <v>TN</v>
      </c>
      <c r="E259" s="8" t="str">
        <f>IFERROR(__xludf.DUMMYFUNCTION("""COMPUTED_VALUE"""),"USA")</f>
        <v>USA</v>
      </c>
      <c r="F259" s="8" t="str">
        <f>IFERROR(__xludf.DUMMYFUNCTION("""COMPUTED_VALUE"""),"Womens Doubles")</f>
        <v>Womens Doubles</v>
      </c>
      <c r="G259" s="8" t="str">
        <f>IFERROR(__xludf.DUMMYFUNCTION("""COMPUTED_VALUE"""),"2nd")</f>
        <v>2nd</v>
      </c>
      <c r="H259" s="8" t="str">
        <f>IFERROR(__xludf.DUMMYFUNCTION("""COMPUTED_VALUE"""),"TN Regional 33")</f>
        <v>TN Regional 33</v>
      </c>
      <c r="I259" s="10">
        <f>IFERROR(__xludf.DUMMYFUNCTION("""COMPUTED_VALUE"""),43252.0)</f>
        <v>43252</v>
      </c>
      <c r="J259" s="10">
        <f>IFERROR(__xludf.DUMMYFUNCTION("""COMPUTED_VALUE"""),44348.0)</f>
        <v>44348</v>
      </c>
      <c r="K259" s="11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9" t="str">
        <f>IFERROR(__xludf.DUMMYFUNCTION("""COMPUTED_VALUE"""),"Raymond")</f>
        <v>Raymond</v>
      </c>
      <c r="B260" s="8" t="str">
        <f>IFERROR(__xludf.DUMMYFUNCTION("""COMPUTED_VALUE"""),"Lorelei")</f>
        <v>Lorelei</v>
      </c>
      <c r="C260" s="8" t="str">
        <f>IFERROR(__xludf.DUMMYFUNCTION("""COMPUTED_VALUE"""),"San Mateo")</f>
        <v>San Mateo</v>
      </c>
      <c r="D260" s="8" t="str">
        <f>IFERROR(__xludf.DUMMYFUNCTION("""COMPUTED_VALUE"""),"FL")</f>
        <v>FL</v>
      </c>
      <c r="E260" s="8" t="str">
        <f>IFERROR(__xludf.DUMMYFUNCTION("""COMPUTED_VALUE"""),"USA")</f>
        <v>USA</v>
      </c>
      <c r="F260" s="8" t="str">
        <f>IFERROR(__xludf.DUMMYFUNCTION("""COMPUTED_VALUE"""),"Women Combo Singles")</f>
        <v>Women Combo Singles</v>
      </c>
      <c r="G260" s="8" t="str">
        <f>IFERROR(__xludf.DUMMYFUNCTION("""COMPUTED_VALUE"""),"3rd")</f>
        <v>3rd</v>
      </c>
      <c r="H260" s="8" t="str">
        <f>IFERROR(__xludf.DUMMYFUNCTION("""COMPUTED_VALUE"""),"Florida BS 34")</f>
        <v>Florida BS 34</v>
      </c>
      <c r="I260" s="10">
        <f>IFERROR(__xludf.DUMMYFUNCTION("""COMPUTED_VALUE"""),43617.0)</f>
        <v>43617</v>
      </c>
      <c r="J260" s="10">
        <f>IFERROR(__xludf.DUMMYFUNCTION("""COMPUTED_VALUE"""),44713.0)</f>
        <v>44713</v>
      </c>
      <c r="K260" s="11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9" t="str">
        <f>IFERROR(__xludf.DUMMYFUNCTION("""COMPUTED_VALUE"""),"Reardon")</f>
        <v>Reardon</v>
      </c>
      <c r="B261" s="8" t="str">
        <f>IFERROR(__xludf.DUMMYFUNCTION("""COMPUTED_VALUE"""),"Tamara")</f>
        <v>Tamara</v>
      </c>
      <c r="C261" s="8" t="str">
        <f>IFERROR(__xludf.DUMMYFUNCTION("""COMPUTED_VALUE"""),"Savannah")</f>
        <v>Savannah</v>
      </c>
      <c r="D261" s="8" t="str">
        <f>IFERROR(__xludf.DUMMYFUNCTION("""COMPUTED_VALUE"""),"GA")</f>
        <v>GA</v>
      </c>
      <c r="E261" s="8" t="str">
        <f>IFERROR(__xludf.DUMMYFUNCTION("""COMPUTED_VALUE"""),"USA")</f>
        <v>USA</v>
      </c>
      <c r="F261" s="8" t="str">
        <f>IFERROR(__xludf.DUMMYFUNCTION("""COMPUTED_VALUE"""),"Womens Singles")</f>
        <v>Womens Singles</v>
      </c>
      <c r="G261" s="8" t="str">
        <f>IFERROR(__xludf.DUMMYFUNCTION("""COMPUTED_VALUE"""),"3rd")</f>
        <v>3rd</v>
      </c>
      <c r="H261" s="8" t="str">
        <f>IFERROR(__xludf.DUMMYFUNCTION("""COMPUTED_VALUE"""),"SC Regional 32")</f>
        <v>SC Regional 32</v>
      </c>
      <c r="I261" s="10">
        <f>IFERROR(__xludf.DUMMYFUNCTION("""COMPUTED_VALUE"""),42887.0)</f>
        <v>42887</v>
      </c>
      <c r="J261" s="10">
        <f>IFERROR(__xludf.DUMMYFUNCTION("""COMPUTED_VALUE"""),43983.0)</f>
        <v>43983</v>
      </c>
      <c r="K261" s="1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9" t="str">
        <f>IFERROR(__xludf.DUMMYFUNCTION("""COMPUTED_VALUE"""),"Reymer")</f>
        <v>Reymer</v>
      </c>
      <c r="B262" s="8" t="str">
        <f>IFERROR(__xludf.DUMMYFUNCTION("""COMPUTED_VALUE"""),"Stacey")</f>
        <v>Stacey</v>
      </c>
      <c r="C262" s="8" t="str">
        <f>IFERROR(__xludf.DUMMYFUNCTION("""COMPUTED_VALUE"""),"Powell")</f>
        <v>Powell</v>
      </c>
      <c r="D262" s="8" t="str">
        <f>IFERROR(__xludf.DUMMYFUNCTION("""COMPUTED_VALUE"""),"TN")</f>
        <v>TN</v>
      </c>
      <c r="E262" s="8" t="str">
        <f>IFERROR(__xludf.DUMMYFUNCTION("""COMPUTED_VALUE"""),"USA")</f>
        <v>USA</v>
      </c>
      <c r="F262" s="8" t="str">
        <f>IFERROR(__xludf.DUMMYFUNCTION("""COMPUTED_VALUE"""),"Women 301 Doubles")</f>
        <v>Women 301 Doubles</v>
      </c>
      <c r="G262" s="8" t="str">
        <f>IFERROR(__xludf.DUMMYFUNCTION("""COMPUTED_VALUE"""),"2nd")</f>
        <v>2nd</v>
      </c>
      <c r="H262" s="8" t="str">
        <f>IFERROR(__xludf.DUMMYFUNCTION("""COMPUTED_VALUE"""),"Tennessee BS 34")</f>
        <v>Tennessee BS 34</v>
      </c>
      <c r="I262" s="10">
        <f>IFERROR(__xludf.DUMMYFUNCTION("""COMPUTED_VALUE"""),43617.0)</f>
        <v>43617</v>
      </c>
      <c r="J262" s="10">
        <f>IFERROR(__xludf.DUMMYFUNCTION("""COMPUTED_VALUE"""),44713.0)</f>
        <v>44713</v>
      </c>
      <c r="K262" s="11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9" t="str">
        <f>IFERROR(__xludf.DUMMYFUNCTION("""COMPUTED_VALUE"""),"Richards")</f>
        <v>Richards</v>
      </c>
      <c r="B263" s="8" t="str">
        <f>IFERROR(__xludf.DUMMYFUNCTION("""COMPUTED_VALUE"""),"Carla")</f>
        <v>Carla</v>
      </c>
      <c r="C263" s="8" t="str">
        <f>IFERROR(__xludf.DUMMYFUNCTION("""COMPUTED_VALUE"""),"Washington")</f>
        <v>Washington</v>
      </c>
      <c r="D263" s="8" t="str">
        <f>IFERROR(__xludf.DUMMYFUNCTION("""COMPUTED_VALUE"""),"PA")</f>
        <v>PA</v>
      </c>
      <c r="E263" s="8" t="str">
        <f>IFERROR(__xludf.DUMMYFUNCTION("""COMPUTED_VALUE"""),"USA")</f>
        <v>USA</v>
      </c>
      <c r="F263" s="8" t="str">
        <f>IFERROR(__xludf.DUMMYFUNCTION("""COMPUTED_VALUE"""),"Womens Doubles")</f>
        <v>Womens Doubles</v>
      </c>
      <c r="G263" s="8" t="str">
        <f>IFERROR(__xludf.DUMMYFUNCTION("""COMPUTED_VALUE"""),"2nd")</f>
        <v>2nd</v>
      </c>
      <c r="H263" s="8" t="str">
        <f>IFERROR(__xludf.DUMMYFUNCTION("""COMPUTED_VALUE"""),"PA Regional 33")</f>
        <v>PA Regional 33</v>
      </c>
      <c r="I263" s="10">
        <f>IFERROR(__xludf.DUMMYFUNCTION("""COMPUTED_VALUE"""),43252.0)</f>
        <v>43252</v>
      </c>
      <c r="J263" s="10">
        <f>IFERROR(__xludf.DUMMYFUNCTION("""COMPUTED_VALUE"""),44348.0)</f>
        <v>44348</v>
      </c>
      <c r="K263" s="11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9" t="str">
        <f>IFERROR(__xludf.DUMMYFUNCTION("""COMPUTED_VALUE"""),"Richards")</f>
        <v>Richards</v>
      </c>
      <c r="B264" s="8" t="str">
        <f>IFERROR(__xludf.DUMMYFUNCTION("""COMPUTED_VALUE"""),"Cheyenne")</f>
        <v>Cheyenne</v>
      </c>
      <c r="C264" s="8" t="str">
        <f>IFERROR(__xludf.DUMMYFUNCTION("""COMPUTED_VALUE"""),"Cleveland")</f>
        <v>Cleveland</v>
      </c>
      <c r="D264" s="8" t="str">
        <f>IFERROR(__xludf.DUMMYFUNCTION("""COMPUTED_VALUE"""),"TX")</f>
        <v>TX</v>
      </c>
      <c r="E264" s="8" t="str">
        <f>IFERROR(__xludf.DUMMYFUNCTION("""COMPUTED_VALUE"""),"USA")</f>
        <v>USA</v>
      </c>
      <c r="F264" s="8" t="str">
        <f>IFERROR(__xludf.DUMMYFUNCTION("""COMPUTED_VALUE"""),"Womens Doubles")</f>
        <v>Womens Doubles</v>
      </c>
      <c r="G264" s="8" t="str">
        <f>IFERROR(__xludf.DUMMYFUNCTION("""COMPUTED_VALUE"""),"3rd")</f>
        <v>3rd</v>
      </c>
      <c r="H264" s="8" t="str">
        <f>IFERROR(__xludf.DUMMYFUNCTION("""COMPUTED_VALUE"""),"TX Regional 33")</f>
        <v>TX Regional 33</v>
      </c>
      <c r="I264" s="10">
        <f>IFERROR(__xludf.DUMMYFUNCTION("""COMPUTED_VALUE"""),43252.0)</f>
        <v>43252</v>
      </c>
      <c r="J264" s="10">
        <f>IFERROR(__xludf.DUMMYFUNCTION("""COMPUTED_VALUE"""),44348.0)</f>
        <v>44348</v>
      </c>
      <c r="K264" s="11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9" t="str">
        <f>IFERROR(__xludf.DUMMYFUNCTION("""COMPUTED_VALUE"""),"Richey")</f>
        <v>Richey</v>
      </c>
      <c r="B265" s="8" t="str">
        <f>IFERROR(__xludf.DUMMYFUNCTION("""COMPUTED_VALUE"""),"Ashley")</f>
        <v>Ashley</v>
      </c>
      <c r="C265" s="8" t="str">
        <f>IFERROR(__xludf.DUMMYFUNCTION("""COMPUTED_VALUE"""),"Port St. Lucie")</f>
        <v>Port St. Lucie</v>
      </c>
      <c r="D265" s="8" t="str">
        <f>IFERROR(__xludf.DUMMYFUNCTION("""COMPUTED_VALUE"""),"FL")</f>
        <v>FL</v>
      </c>
      <c r="E265" s="8" t="str">
        <f>IFERROR(__xludf.DUMMYFUNCTION("""COMPUTED_VALUE"""),"USA")</f>
        <v>USA</v>
      </c>
      <c r="F265" s="8" t="str">
        <f>IFERROR(__xludf.DUMMYFUNCTION("""COMPUTED_VALUE"""),"Womens Doubles")</f>
        <v>Womens Doubles</v>
      </c>
      <c r="G265" s="8" t="str">
        <f>IFERROR(__xludf.DUMMYFUNCTION("""COMPUTED_VALUE"""),"3rd")</f>
        <v>3rd</v>
      </c>
      <c r="H265" s="8" t="str">
        <f>IFERROR(__xludf.DUMMYFUNCTION("""COMPUTED_VALUE"""),"FL Regional 33")</f>
        <v>FL Regional 33</v>
      </c>
      <c r="I265" s="10">
        <f>IFERROR(__xludf.DUMMYFUNCTION("""COMPUTED_VALUE"""),43252.0)</f>
        <v>43252</v>
      </c>
      <c r="J265" s="10">
        <f>IFERROR(__xludf.DUMMYFUNCTION("""COMPUTED_VALUE"""),44348.0)</f>
        <v>44348</v>
      </c>
      <c r="K265" s="11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9" t="str">
        <f>IFERROR(__xludf.DUMMYFUNCTION("""COMPUTED_VALUE"""),"Rinear")</f>
        <v>Rinear</v>
      </c>
      <c r="B266" s="8" t="str">
        <f>IFERROR(__xludf.DUMMYFUNCTION("""COMPUTED_VALUE"""),"Kelli")</f>
        <v>Kelli</v>
      </c>
      <c r="C266" s="8" t="str">
        <f>IFERROR(__xludf.DUMMYFUNCTION("""COMPUTED_VALUE"""),"Southgate")</f>
        <v>Southgate</v>
      </c>
      <c r="D266" s="8" t="str">
        <f>IFERROR(__xludf.DUMMYFUNCTION("""COMPUTED_VALUE"""),"KY")</f>
        <v>KY</v>
      </c>
      <c r="E266" s="8" t="str">
        <f>IFERROR(__xludf.DUMMYFUNCTION("""COMPUTED_VALUE"""),"USA")</f>
        <v>USA</v>
      </c>
      <c r="F266" s="8" t="str">
        <f>IFERROR(__xludf.DUMMYFUNCTION("""COMPUTED_VALUE"""),"Women 301 Doubles")</f>
        <v>Women 301 Doubles</v>
      </c>
      <c r="G266" s="8" t="str">
        <f>IFERROR(__xludf.DUMMYFUNCTION("""COMPUTED_VALUE"""),"3rd")</f>
        <v>3rd</v>
      </c>
      <c r="H266" s="8" t="str">
        <f>IFERROR(__xludf.DUMMYFUNCTION("""COMPUTED_VALUE"""),"Indiana BS 34")</f>
        <v>Indiana BS 34</v>
      </c>
      <c r="I266" s="10">
        <f>IFERROR(__xludf.DUMMYFUNCTION("""COMPUTED_VALUE"""),43617.0)</f>
        <v>43617</v>
      </c>
      <c r="J266" s="10">
        <f>IFERROR(__xludf.DUMMYFUNCTION("""COMPUTED_VALUE"""),44713.0)</f>
        <v>44713</v>
      </c>
      <c r="K266" s="11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9" t="str">
        <f>IFERROR(__xludf.DUMMYFUNCTION("""COMPUTED_VALUE"""),"Rock")</f>
        <v>Rock</v>
      </c>
      <c r="B267" s="8" t="str">
        <f>IFERROR(__xludf.DUMMYFUNCTION("""COMPUTED_VALUE"""),"Jenica")</f>
        <v>Jenica</v>
      </c>
      <c r="C267" s="8" t="str">
        <f>IFERROR(__xludf.DUMMYFUNCTION("""COMPUTED_VALUE"""),"Chesapeake")</f>
        <v>Chesapeake</v>
      </c>
      <c r="D267" s="8" t="str">
        <f>IFERROR(__xludf.DUMMYFUNCTION("""COMPUTED_VALUE"""),"VA")</f>
        <v>VA</v>
      </c>
      <c r="E267" s="8" t="str">
        <f>IFERROR(__xludf.DUMMYFUNCTION("""COMPUTED_VALUE"""),"USA")</f>
        <v>USA</v>
      </c>
      <c r="F267" s="8" t="str">
        <f>IFERROR(__xludf.DUMMYFUNCTION("""COMPUTED_VALUE"""),"ADO 2016")</f>
        <v>ADO 2016</v>
      </c>
      <c r="G267" s="8" t="str">
        <f>IFERROR(__xludf.DUMMYFUNCTION("""COMPUTED_VALUE"""),"25th")</f>
        <v>25th</v>
      </c>
      <c r="H267" s="8" t="str">
        <f>IFERROR(__xludf.DUMMYFUNCTION("""COMPUTED_VALUE"""),"ADO 2016")</f>
        <v>ADO 2016</v>
      </c>
      <c r="I267" s="10">
        <f>IFERROR(__xludf.DUMMYFUNCTION("""COMPUTED_VALUE"""),42401.0)</f>
        <v>42401</v>
      </c>
      <c r="J267" s="10">
        <f>IFERROR(__xludf.DUMMYFUNCTION("""COMPUTED_VALUE"""),44713.0)</f>
        <v>44713</v>
      </c>
      <c r="K267" s="11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9" t="str">
        <f>IFERROR(__xludf.DUMMYFUNCTION("""COMPUTED_VALUE"""),"Rourke")</f>
        <v>Rourke</v>
      </c>
      <c r="B268" s="8" t="str">
        <f>IFERROR(__xludf.DUMMYFUNCTION("""COMPUTED_VALUE"""),"Angela")</f>
        <v>Angela</v>
      </c>
      <c r="C268" s="8" t="str">
        <f>IFERROR(__xludf.DUMMYFUNCTION("""COMPUTED_VALUE"""),"")</f>
        <v/>
      </c>
      <c r="D268" s="8" t="str">
        <f>IFERROR(__xludf.DUMMYFUNCTION("""COMPUTED_VALUE"""),"CA")</f>
        <v>CA</v>
      </c>
      <c r="E268" s="8" t="str">
        <f>IFERROR(__xludf.DUMMYFUNCTION("""COMPUTED_VALUE"""),"USA")</f>
        <v>USA</v>
      </c>
      <c r="F268" s="8" t="str">
        <f>IFERROR(__xludf.DUMMYFUNCTION("""COMPUTED_VALUE"""),"Womens Doubles")</f>
        <v>Womens Doubles</v>
      </c>
      <c r="G268" s="8" t="str">
        <f>IFERROR(__xludf.DUMMYFUNCTION("""COMPUTED_VALUE"""),"3rd")</f>
        <v>3rd</v>
      </c>
      <c r="H268" s="8" t="str">
        <f>IFERROR(__xludf.DUMMYFUNCTION("""COMPUTED_VALUE"""),"CA Regional 33")</f>
        <v>CA Regional 33</v>
      </c>
      <c r="I268" s="10">
        <f>IFERROR(__xludf.DUMMYFUNCTION("""COMPUTED_VALUE"""),43252.0)</f>
        <v>43252</v>
      </c>
      <c r="J268" s="10">
        <f>IFERROR(__xludf.DUMMYFUNCTION("""COMPUTED_VALUE"""),44348.0)</f>
        <v>44348</v>
      </c>
      <c r="K268" s="11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9" t="str">
        <f>IFERROR(__xludf.DUMMYFUNCTION("""COMPUTED_VALUE"""),"Rubenzer")</f>
        <v>Rubenzer</v>
      </c>
      <c r="B269" s="8" t="str">
        <f>IFERROR(__xludf.DUMMYFUNCTION("""COMPUTED_VALUE"""),"Stacy")</f>
        <v>Stacy</v>
      </c>
      <c r="C269" s="8" t="str">
        <f>IFERROR(__xludf.DUMMYFUNCTION("""COMPUTED_VALUE"""),"Chippewa")</f>
        <v>Chippewa</v>
      </c>
      <c r="D269" s="8" t="str">
        <f>IFERROR(__xludf.DUMMYFUNCTION("""COMPUTED_VALUE"""),"WI")</f>
        <v>WI</v>
      </c>
      <c r="E269" s="8" t="str">
        <f>IFERROR(__xludf.DUMMYFUNCTION("""COMPUTED_VALUE"""),"USA")</f>
        <v>USA</v>
      </c>
      <c r="F269" s="8" t="str">
        <f>IFERROR(__xludf.DUMMYFUNCTION("""COMPUTED_VALUE"""),"Womens A Doubles X01")</f>
        <v>Womens A Doubles X01</v>
      </c>
      <c r="G269" s="8" t="str">
        <f>IFERROR(__xludf.DUMMYFUNCTION("""COMPUTED_VALUE"""),"4th")</f>
        <v>4th</v>
      </c>
      <c r="H269" s="8" t="str">
        <f>IFERROR(__xludf.DUMMYFUNCTION("""COMPUTED_VALUE"""),"Off AA List")</f>
        <v>Off AA List</v>
      </c>
      <c r="I269" s="10">
        <f>IFERROR(__xludf.DUMMYFUNCTION("""COMPUTED_VALUE"""),42887.0)</f>
        <v>42887</v>
      </c>
      <c r="J269" s="10">
        <f>IFERROR(__xludf.DUMMYFUNCTION("""COMPUTED_VALUE"""),43983.0)</f>
        <v>43983</v>
      </c>
      <c r="K269" s="11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9" t="str">
        <f>IFERROR(__xludf.DUMMYFUNCTION("""COMPUTED_VALUE"""),"Russo")</f>
        <v>Russo</v>
      </c>
      <c r="B270" s="8" t="str">
        <f>IFERROR(__xludf.DUMMYFUNCTION("""COMPUTED_VALUE"""),"Tina")</f>
        <v>Tina</v>
      </c>
      <c r="C270" s="8" t="str">
        <f>IFERROR(__xludf.DUMMYFUNCTION("""COMPUTED_VALUE"""),"Jefferson Hills")</f>
        <v>Jefferson Hills</v>
      </c>
      <c r="D270" s="8" t="str">
        <f>IFERROR(__xludf.DUMMYFUNCTION("""COMPUTED_VALUE"""),"PA")</f>
        <v>PA</v>
      </c>
      <c r="E270" s="8" t="str">
        <f>IFERROR(__xludf.DUMMYFUNCTION("""COMPUTED_VALUE"""),"USA")</f>
        <v>USA</v>
      </c>
      <c r="F270" s="8" t="str">
        <f>IFERROR(__xludf.DUMMYFUNCTION("""COMPUTED_VALUE"""),"Women 301 Doubles")</f>
        <v>Women 301 Doubles</v>
      </c>
      <c r="G270" s="8" t="str">
        <f>IFERROR(__xludf.DUMMYFUNCTION("""COMPUTED_VALUE"""),"3rd")</f>
        <v>3rd</v>
      </c>
      <c r="H270" s="8" t="str">
        <f>IFERROR(__xludf.DUMMYFUNCTION("""COMPUTED_VALUE"""),"Ohio BS 34")</f>
        <v>Ohio BS 34</v>
      </c>
      <c r="I270" s="10">
        <f>IFERROR(__xludf.DUMMYFUNCTION("""COMPUTED_VALUE"""),43617.0)</f>
        <v>43617</v>
      </c>
      <c r="J270" s="10">
        <f>IFERROR(__xludf.DUMMYFUNCTION("""COMPUTED_VALUE"""),44713.0)</f>
        <v>44713</v>
      </c>
      <c r="K270" s="11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9" t="str">
        <f>IFERROR(__xludf.DUMMYFUNCTION("""COMPUTED_VALUE"""),"Rutherford")</f>
        <v>Rutherford</v>
      </c>
      <c r="B271" s="8" t="str">
        <f>IFERROR(__xludf.DUMMYFUNCTION("""COMPUTED_VALUE"""),"Diana")</f>
        <v>Diana</v>
      </c>
      <c r="C271" s="8" t="str">
        <f>IFERROR(__xludf.DUMMYFUNCTION("""COMPUTED_VALUE"""),"Kansas City")</f>
        <v>Kansas City</v>
      </c>
      <c r="D271" s="8" t="str">
        <f>IFERROR(__xludf.DUMMYFUNCTION("""COMPUTED_VALUE"""),"KS")</f>
        <v>KS</v>
      </c>
      <c r="E271" s="8" t="str">
        <f>IFERROR(__xludf.DUMMYFUNCTION("""COMPUTED_VALUE"""),"USA")</f>
        <v>USA</v>
      </c>
      <c r="F271" s="8" t="str">
        <f>IFERROR(__xludf.DUMMYFUNCTION("""COMPUTED_VALUE"""),"Womens Doubles")</f>
        <v>Womens Doubles</v>
      </c>
      <c r="G271" s="8" t="str">
        <f>IFERROR(__xludf.DUMMYFUNCTION("""COMPUTED_VALUE"""),"2nd")</f>
        <v>2nd</v>
      </c>
      <c r="H271" s="8" t="str">
        <f>IFERROR(__xludf.DUMMYFUNCTION("""COMPUTED_VALUE"""),"NE Regional 33")</f>
        <v>NE Regional 33</v>
      </c>
      <c r="I271" s="10">
        <f>IFERROR(__xludf.DUMMYFUNCTION("""COMPUTED_VALUE"""),43252.0)</f>
        <v>43252</v>
      </c>
      <c r="J271" s="10">
        <f>IFERROR(__xludf.DUMMYFUNCTION("""COMPUTED_VALUE"""),44348.0)</f>
        <v>44348</v>
      </c>
      <c r="K271" s="1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9" t="str">
        <f>IFERROR(__xludf.DUMMYFUNCTION("""COMPUTED_VALUE"""),"Sacik")</f>
        <v>Sacik</v>
      </c>
      <c r="B272" s="8" t="str">
        <f>IFERROR(__xludf.DUMMYFUNCTION("""COMPUTED_VALUE"""),"Heather")</f>
        <v>Heather</v>
      </c>
      <c r="C272" s="8" t="str">
        <f>IFERROR(__xludf.DUMMYFUNCTION("""COMPUTED_VALUE"""),"New Castle")</f>
        <v>New Castle</v>
      </c>
      <c r="D272" s="8" t="str">
        <f>IFERROR(__xludf.DUMMYFUNCTION("""COMPUTED_VALUE"""),"PA")</f>
        <v>PA</v>
      </c>
      <c r="E272" s="8" t="str">
        <f>IFERROR(__xludf.DUMMYFUNCTION("""COMPUTED_VALUE"""),"USA")</f>
        <v>USA</v>
      </c>
      <c r="F272" s="8" t="str">
        <f>IFERROR(__xludf.DUMMYFUNCTION("""COMPUTED_VALUE"""),"Women Combo Doubles")</f>
        <v>Women Combo Doubles</v>
      </c>
      <c r="G272" s="8" t="str">
        <f>IFERROR(__xludf.DUMMYFUNCTION("""COMPUTED_VALUE"""),"2nd")</f>
        <v>2nd</v>
      </c>
      <c r="H272" s="8" t="str">
        <f>IFERROR(__xludf.DUMMYFUNCTION("""COMPUTED_VALUE"""),"New York BS 34")</f>
        <v>New York BS 34</v>
      </c>
      <c r="I272" s="10">
        <f>IFERROR(__xludf.DUMMYFUNCTION("""COMPUTED_VALUE"""),43617.0)</f>
        <v>43617</v>
      </c>
      <c r="J272" s="10">
        <f>IFERROR(__xludf.DUMMYFUNCTION("""COMPUTED_VALUE"""),44713.0)</f>
        <v>44713</v>
      </c>
      <c r="K272" s="1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9" t="str">
        <f>IFERROR(__xludf.DUMMYFUNCTION("""COMPUTED_VALUE"""),"Sacik")</f>
        <v>Sacik</v>
      </c>
      <c r="B273" s="8" t="str">
        <f>IFERROR(__xludf.DUMMYFUNCTION("""COMPUTED_VALUE"""),"Shelley")</f>
        <v>Shelley</v>
      </c>
      <c r="C273" s="8" t="str">
        <f>IFERROR(__xludf.DUMMYFUNCTION("""COMPUTED_VALUE"""),"New Castle")</f>
        <v>New Castle</v>
      </c>
      <c r="D273" s="8" t="str">
        <f>IFERROR(__xludf.DUMMYFUNCTION("""COMPUTED_VALUE"""),"PA")</f>
        <v>PA</v>
      </c>
      <c r="E273" s="8" t="str">
        <f>IFERROR(__xludf.DUMMYFUNCTION("""COMPUTED_VALUE"""),"USA")</f>
        <v>USA</v>
      </c>
      <c r="F273" s="8" t="str">
        <f>IFERROR(__xludf.DUMMYFUNCTION("""COMPUTED_VALUE"""),"Women Combo Doubles")</f>
        <v>Women Combo Doubles</v>
      </c>
      <c r="G273" s="8" t="str">
        <f>IFERROR(__xludf.DUMMYFUNCTION("""COMPUTED_VALUE"""),"2nd")</f>
        <v>2nd</v>
      </c>
      <c r="H273" s="8" t="str">
        <f>IFERROR(__xludf.DUMMYFUNCTION("""COMPUTED_VALUE"""),"New York BS 34")</f>
        <v>New York BS 34</v>
      </c>
      <c r="I273" s="10">
        <f>IFERROR(__xludf.DUMMYFUNCTION("""COMPUTED_VALUE"""),43617.0)</f>
        <v>43617</v>
      </c>
      <c r="J273" s="10">
        <f>IFERROR(__xludf.DUMMYFUNCTION("""COMPUTED_VALUE"""),44713.0)</f>
        <v>44713</v>
      </c>
      <c r="K273" s="11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9" t="str">
        <f>IFERROR(__xludf.DUMMYFUNCTION("""COMPUTED_VALUE"""),"Samples")</f>
        <v>Samples</v>
      </c>
      <c r="B274" s="8" t="str">
        <f>IFERROR(__xludf.DUMMYFUNCTION("""COMPUTED_VALUE"""),"Jennifer")</f>
        <v>Jennifer</v>
      </c>
      <c r="C274" s="8" t="str">
        <f>IFERROR(__xludf.DUMMYFUNCTION("""COMPUTED_VALUE"""),"Cordova")</f>
        <v>Cordova</v>
      </c>
      <c r="D274" s="8" t="str">
        <f>IFERROR(__xludf.DUMMYFUNCTION("""COMPUTED_VALUE"""),"AL")</f>
        <v>AL</v>
      </c>
      <c r="E274" s="8" t="str">
        <f>IFERROR(__xludf.DUMMYFUNCTION("""COMPUTED_VALUE"""),"USA")</f>
        <v>USA</v>
      </c>
      <c r="F274" s="8" t="str">
        <f>IFERROR(__xludf.DUMMYFUNCTION("""COMPUTED_VALUE"""),"Women Combo Doubles")</f>
        <v>Women Combo Doubles</v>
      </c>
      <c r="G274" s="8" t="str">
        <f>IFERROR(__xludf.DUMMYFUNCTION("""COMPUTED_VALUE"""),"3rd")</f>
        <v>3rd</v>
      </c>
      <c r="H274" s="8" t="str">
        <f>IFERROR(__xludf.DUMMYFUNCTION("""COMPUTED_VALUE"""),"Georgia BS 34")</f>
        <v>Georgia BS 34</v>
      </c>
      <c r="I274" s="10">
        <f>IFERROR(__xludf.DUMMYFUNCTION("""COMPUTED_VALUE"""),43617.0)</f>
        <v>43617</v>
      </c>
      <c r="J274" s="10">
        <f>IFERROR(__xludf.DUMMYFUNCTION("""COMPUTED_VALUE"""),44713.0)</f>
        <v>44713</v>
      </c>
      <c r="K274" s="11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9" t="str">
        <f>IFERROR(__xludf.DUMMYFUNCTION("""COMPUTED_VALUE"""),"Sanford")</f>
        <v>Sanford</v>
      </c>
      <c r="B275" s="8" t="str">
        <f>IFERROR(__xludf.DUMMYFUNCTION("""COMPUTED_VALUE"""),"Leslie")</f>
        <v>Leslie</v>
      </c>
      <c r="C275" s="8" t="str">
        <f>IFERROR(__xludf.DUMMYFUNCTION("""COMPUTED_VALUE"""),"Auburndale")</f>
        <v>Auburndale</v>
      </c>
      <c r="D275" s="8" t="str">
        <f>IFERROR(__xludf.DUMMYFUNCTION("""COMPUTED_VALUE"""),"FL")</f>
        <v>FL</v>
      </c>
      <c r="E275" s="8" t="str">
        <f>IFERROR(__xludf.DUMMYFUNCTION("""COMPUTED_VALUE"""),"USA")</f>
        <v>USA</v>
      </c>
      <c r="F275" s="8" t="str">
        <f>IFERROR(__xludf.DUMMYFUNCTION("""COMPUTED_VALUE"""),"Womens Doubles Combo")</f>
        <v>Womens Doubles Combo</v>
      </c>
      <c r="G275" s="8" t="str">
        <f>IFERROR(__xludf.DUMMYFUNCTION("""COMPUTED_VALUE"""),"1st")</f>
        <v>1st</v>
      </c>
      <c r="H275" s="8" t="str">
        <f>IFERROR(__xludf.DUMMYFUNCTION("""COMPUTED_VALUE"""),"GA Regional 33")</f>
        <v>GA Regional 33</v>
      </c>
      <c r="I275" s="10">
        <f>IFERROR(__xludf.DUMMYFUNCTION("""COMPUTED_VALUE"""),43252.0)</f>
        <v>43252</v>
      </c>
      <c r="J275" s="10">
        <f>IFERROR(__xludf.DUMMYFUNCTION("""COMPUTED_VALUE"""),44348.0)</f>
        <v>44348</v>
      </c>
      <c r="K275" s="11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9" t="str">
        <f>IFERROR(__xludf.DUMMYFUNCTION("""COMPUTED_VALUE"""),"Sasser")</f>
        <v>Sasser</v>
      </c>
      <c r="B276" s="8" t="str">
        <f>IFERROR(__xludf.DUMMYFUNCTION("""COMPUTED_VALUE"""),"Tammy")</f>
        <v>Tammy</v>
      </c>
      <c r="C276" s="8" t="str">
        <f>IFERROR(__xludf.DUMMYFUNCTION("""COMPUTED_VALUE"""),"Montgomery")</f>
        <v>Montgomery</v>
      </c>
      <c r="D276" s="8" t="str">
        <f>IFERROR(__xludf.DUMMYFUNCTION("""COMPUTED_VALUE"""),"AL")</f>
        <v>AL</v>
      </c>
      <c r="E276" s="8" t="str">
        <f>IFERROR(__xludf.DUMMYFUNCTION("""COMPUTED_VALUE"""),"USA")</f>
        <v>USA</v>
      </c>
      <c r="F276" s="8" t="str">
        <f>IFERROR(__xludf.DUMMYFUNCTION("""COMPUTED_VALUE"""),"Womens Dbls Combo")</f>
        <v>Womens Dbls Combo</v>
      </c>
      <c r="G276" s="8" t="str">
        <f>IFERROR(__xludf.DUMMYFUNCTION("""COMPUTED_VALUE"""),"3rd")</f>
        <v>3rd</v>
      </c>
      <c r="H276" s="8" t="str">
        <f>IFERROR(__xludf.DUMMYFUNCTION("""COMPUTED_VALUE"""),"TN Regional 32")</f>
        <v>TN Regional 32</v>
      </c>
      <c r="I276" s="10">
        <f>IFERROR(__xludf.DUMMYFUNCTION("""COMPUTED_VALUE"""),42887.0)</f>
        <v>42887</v>
      </c>
      <c r="J276" s="10">
        <f>IFERROR(__xludf.DUMMYFUNCTION("""COMPUTED_VALUE"""),43983.0)</f>
        <v>43983</v>
      </c>
      <c r="K276" s="11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9" t="str">
        <f>IFERROR(__xludf.DUMMYFUNCTION("""COMPUTED_VALUE"""),"Scantlen")</f>
        <v>Scantlen</v>
      </c>
      <c r="B277" s="8" t="str">
        <f>IFERROR(__xludf.DUMMYFUNCTION("""COMPUTED_VALUE"""),"Cassandra")</f>
        <v>Cassandra</v>
      </c>
      <c r="C277" s="8" t="str">
        <f>IFERROR(__xludf.DUMMYFUNCTION("""COMPUTED_VALUE"""),"")</f>
        <v/>
      </c>
      <c r="D277" s="8" t="str">
        <f>IFERROR(__xludf.DUMMYFUNCTION("""COMPUTED_VALUE"""),"CA")</f>
        <v>CA</v>
      </c>
      <c r="E277" s="8" t="str">
        <f>IFERROR(__xludf.DUMMYFUNCTION("""COMPUTED_VALUE"""),"USA")</f>
        <v>USA</v>
      </c>
      <c r="F277" s="8" t="str">
        <f>IFERROR(__xludf.DUMMYFUNCTION("""COMPUTED_VALUE"""),"Womens Doubles")</f>
        <v>Womens Doubles</v>
      </c>
      <c r="G277" s="8" t="str">
        <f>IFERROR(__xludf.DUMMYFUNCTION("""COMPUTED_VALUE"""),"1st")</f>
        <v>1st</v>
      </c>
      <c r="H277" s="8" t="str">
        <f>IFERROR(__xludf.DUMMYFUNCTION("""COMPUTED_VALUE"""),"CA Regional 33")</f>
        <v>CA Regional 33</v>
      </c>
      <c r="I277" s="10">
        <f>IFERROR(__xludf.DUMMYFUNCTION("""COMPUTED_VALUE"""),43252.0)</f>
        <v>43252</v>
      </c>
      <c r="J277" s="10">
        <f>IFERROR(__xludf.DUMMYFUNCTION("""COMPUTED_VALUE"""),44348.0)</f>
        <v>44348</v>
      </c>
      <c r="K277" s="11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9" t="str">
        <f>IFERROR(__xludf.DUMMYFUNCTION("""COMPUTED_VALUE"""),"Schlosser")</f>
        <v>Schlosser</v>
      </c>
      <c r="B278" s="8" t="str">
        <f>IFERROR(__xludf.DUMMYFUNCTION("""COMPUTED_VALUE"""),"Kristin")</f>
        <v>Kristin</v>
      </c>
      <c r="C278" s="8" t="str">
        <f>IFERROR(__xludf.DUMMYFUNCTION("""COMPUTED_VALUE"""),"Oswego")</f>
        <v>Oswego</v>
      </c>
      <c r="D278" s="8" t="str">
        <f>IFERROR(__xludf.DUMMYFUNCTION("""COMPUTED_VALUE"""),"NY")</f>
        <v>NY</v>
      </c>
      <c r="E278" s="8" t="str">
        <f>IFERROR(__xludf.DUMMYFUNCTION("""COMPUTED_VALUE"""),"USA")</f>
        <v>USA</v>
      </c>
      <c r="F278" s="8" t="str">
        <f>IFERROR(__xludf.DUMMYFUNCTION("""COMPUTED_VALUE"""),"Women 301 Doubles")</f>
        <v>Women 301 Doubles</v>
      </c>
      <c r="G278" s="8" t="str">
        <f>IFERROR(__xludf.DUMMYFUNCTION("""COMPUTED_VALUE"""),"1st")</f>
        <v>1st</v>
      </c>
      <c r="H278" s="8" t="str">
        <f>IFERROR(__xludf.DUMMYFUNCTION("""COMPUTED_VALUE"""),"New York BS 34")</f>
        <v>New York BS 34</v>
      </c>
      <c r="I278" s="10">
        <f>IFERROR(__xludf.DUMMYFUNCTION("""COMPUTED_VALUE"""),43617.0)</f>
        <v>43617</v>
      </c>
      <c r="J278" s="10">
        <f>IFERROR(__xludf.DUMMYFUNCTION("""COMPUTED_VALUE"""),44713.0)</f>
        <v>44713</v>
      </c>
      <c r="K278" s="1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9" t="str">
        <f>IFERROR(__xludf.DUMMYFUNCTION("""COMPUTED_VALUE"""),"Schommer")</f>
        <v>Schommer</v>
      </c>
      <c r="B279" s="8" t="str">
        <f>IFERROR(__xludf.DUMMYFUNCTION("""COMPUTED_VALUE"""),"Amy")</f>
        <v>Amy</v>
      </c>
      <c r="C279" s="8" t="str">
        <f>IFERROR(__xludf.DUMMYFUNCTION("""COMPUTED_VALUE"""),"Columbus")</f>
        <v>Columbus</v>
      </c>
      <c r="D279" s="8" t="str">
        <f>IFERROR(__xludf.DUMMYFUNCTION("""COMPUTED_VALUE"""),"OH")</f>
        <v>OH</v>
      </c>
      <c r="E279" s="8" t="str">
        <f>IFERROR(__xludf.DUMMYFUNCTION("""COMPUTED_VALUE"""),"USA")</f>
        <v>USA</v>
      </c>
      <c r="F279" s="8" t="str">
        <f>IFERROR(__xludf.DUMMYFUNCTION("""COMPUTED_VALUE"""),"Women 301 Doubles")</f>
        <v>Women 301 Doubles</v>
      </c>
      <c r="G279" s="8" t="str">
        <f>IFERROR(__xludf.DUMMYFUNCTION("""COMPUTED_VALUE"""),"2nd")</f>
        <v>2nd</v>
      </c>
      <c r="H279" s="8" t="str">
        <f>IFERROR(__xludf.DUMMYFUNCTION("""COMPUTED_VALUE"""),"Ohio BS 34")</f>
        <v>Ohio BS 34</v>
      </c>
      <c r="I279" s="10">
        <f>IFERROR(__xludf.DUMMYFUNCTION("""COMPUTED_VALUE"""),43617.0)</f>
        <v>43617</v>
      </c>
      <c r="J279" s="10">
        <f>IFERROR(__xludf.DUMMYFUNCTION("""COMPUTED_VALUE"""),44713.0)</f>
        <v>44713</v>
      </c>
      <c r="K279" s="1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9" t="str">
        <f>IFERROR(__xludf.DUMMYFUNCTION("""COMPUTED_VALUE"""),"Schraeder")</f>
        <v>Schraeder</v>
      </c>
      <c r="B280" s="8" t="str">
        <f>IFERROR(__xludf.DUMMYFUNCTION("""COMPUTED_VALUE"""),"Heidi")</f>
        <v>Heidi</v>
      </c>
      <c r="C280" s="8" t="str">
        <f>IFERROR(__xludf.DUMMYFUNCTION("""COMPUTED_VALUE"""),"Chicago")</f>
        <v>Chicago</v>
      </c>
      <c r="D280" s="8" t="str">
        <f>IFERROR(__xludf.DUMMYFUNCTION("""COMPUTED_VALUE"""),"IL")</f>
        <v>IL</v>
      </c>
      <c r="E280" s="8" t="str">
        <f>IFERROR(__xludf.DUMMYFUNCTION("""COMPUTED_VALUE"""),"USA")</f>
        <v>USA</v>
      </c>
      <c r="F280" s="8" t="str">
        <f>IFERROR(__xludf.DUMMYFUNCTION("""COMPUTED_VALUE"""),"TopGun Women B Singles")</f>
        <v>TopGun Women B Singles</v>
      </c>
      <c r="G280" s="8" t="str">
        <f>IFERROR(__xludf.DUMMYFUNCTION("""COMPUTED_VALUE"""),"3rd")</f>
        <v>3rd</v>
      </c>
      <c r="H280" s="8" t="str">
        <f>IFERROR(__xludf.DUMMYFUNCTION("""COMPUTED_VALUE"""),"BullShooter 34 Finals")</f>
        <v>BullShooter 34 Finals</v>
      </c>
      <c r="I280" s="10">
        <f>IFERROR(__xludf.DUMMYFUNCTION("""COMPUTED_VALUE"""),43617.0)</f>
        <v>43617</v>
      </c>
      <c r="J280" s="10">
        <f>IFERROR(__xludf.DUMMYFUNCTION("""COMPUTED_VALUE"""),44713.0)</f>
        <v>44713</v>
      </c>
      <c r="K280" s="11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9" t="str">
        <f>IFERROR(__xludf.DUMMYFUNCTION("""COMPUTED_VALUE"""),"Schwinn")</f>
        <v>Schwinn</v>
      </c>
      <c r="B281" s="8" t="str">
        <f>IFERROR(__xludf.DUMMYFUNCTION("""COMPUTED_VALUE"""),"Brittany")</f>
        <v>Brittany</v>
      </c>
      <c r="C281" s="8" t="str">
        <f>IFERROR(__xludf.DUMMYFUNCTION("""COMPUTED_VALUE"""),"Sheboygan Falls")</f>
        <v>Sheboygan Falls</v>
      </c>
      <c r="D281" s="8" t="str">
        <f>IFERROR(__xludf.DUMMYFUNCTION("""COMPUTED_VALUE"""),"WI")</f>
        <v>WI</v>
      </c>
      <c r="E281" s="8" t="str">
        <f>IFERROR(__xludf.DUMMYFUNCTION("""COMPUTED_VALUE"""),"USA")</f>
        <v>USA</v>
      </c>
      <c r="F281" s="8" t="str">
        <f>IFERROR(__xludf.DUMMYFUNCTION("""COMPUTED_VALUE"""),"Womens B Cricket")</f>
        <v>Womens B Cricket</v>
      </c>
      <c r="G281" s="8" t="str">
        <f>IFERROR(__xludf.DUMMYFUNCTION("""COMPUTED_VALUE"""),"4th")</f>
        <v>4th</v>
      </c>
      <c r="H281" s="8" t="str">
        <f>IFERROR(__xludf.DUMMYFUNCTION("""COMPUTED_VALUE"""),"BS 33 Finals")</f>
        <v>BS 33 Finals</v>
      </c>
      <c r="I281" s="10">
        <f>IFERROR(__xludf.DUMMYFUNCTION("""COMPUTED_VALUE"""),43252.0)</f>
        <v>43252</v>
      </c>
      <c r="J281" s="10">
        <f>IFERROR(__xludf.DUMMYFUNCTION("""COMPUTED_VALUE"""),44348.0)</f>
        <v>44348</v>
      </c>
      <c r="K281" s="11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9" t="str">
        <f>IFERROR(__xludf.DUMMYFUNCTION("""COMPUTED_VALUE"""),"Schwinn")</f>
        <v>Schwinn</v>
      </c>
      <c r="B282" s="8" t="str">
        <f>IFERROR(__xludf.DUMMYFUNCTION("""COMPUTED_VALUE"""),"Lorrie")</f>
        <v>Lorrie</v>
      </c>
      <c r="C282" s="8" t="str">
        <f>IFERROR(__xludf.DUMMYFUNCTION("""COMPUTED_VALUE"""),"Sheboygan")</f>
        <v>Sheboygan</v>
      </c>
      <c r="D282" s="8" t="str">
        <f>IFERROR(__xludf.DUMMYFUNCTION("""COMPUTED_VALUE"""),"WI")</f>
        <v>WI</v>
      </c>
      <c r="E282" s="8" t="str">
        <f>IFERROR(__xludf.DUMMYFUNCTION("""COMPUTED_VALUE"""),"USA")</f>
        <v>USA</v>
      </c>
      <c r="F282" s="8" t="str">
        <f>IFERROR(__xludf.DUMMYFUNCTION("""COMPUTED_VALUE"""),"Womens B Cricket")</f>
        <v>Womens B Cricket</v>
      </c>
      <c r="G282" s="8" t="str">
        <f>IFERROR(__xludf.DUMMYFUNCTION("""COMPUTED_VALUE"""),"4th")</f>
        <v>4th</v>
      </c>
      <c r="H282" s="8" t="str">
        <f>IFERROR(__xludf.DUMMYFUNCTION("""COMPUTED_VALUE"""),"BS 33 Finals")</f>
        <v>BS 33 Finals</v>
      </c>
      <c r="I282" s="10">
        <f>IFERROR(__xludf.DUMMYFUNCTION("""COMPUTED_VALUE"""),43252.0)</f>
        <v>43252</v>
      </c>
      <c r="J282" s="10">
        <f>IFERROR(__xludf.DUMMYFUNCTION("""COMPUTED_VALUE"""),44348.0)</f>
        <v>44348</v>
      </c>
      <c r="K282" s="1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9" t="str">
        <f>IFERROR(__xludf.DUMMYFUNCTION("""COMPUTED_VALUE"""),"Septak")</f>
        <v>Septak</v>
      </c>
      <c r="B283" s="8" t="str">
        <f>IFERROR(__xludf.DUMMYFUNCTION("""COMPUTED_VALUE"""),"Michelle")</f>
        <v>Michelle</v>
      </c>
      <c r="C283" s="8" t="str">
        <f>IFERROR(__xludf.DUMMYFUNCTION("""COMPUTED_VALUE"""),"Bethel Park")</f>
        <v>Bethel Park</v>
      </c>
      <c r="D283" s="8" t="str">
        <f>IFERROR(__xludf.DUMMYFUNCTION("""COMPUTED_VALUE"""),"PA")</f>
        <v>PA</v>
      </c>
      <c r="E283" s="8" t="str">
        <f>IFERROR(__xludf.DUMMYFUNCTION("""COMPUTED_VALUE"""),"USA")</f>
        <v>USA</v>
      </c>
      <c r="F283" s="8" t="str">
        <f>IFERROR(__xludf.DUMMYFUNCTION("""COMPUTED_VALUE"""),"Womens Doubles")</f>
        <v>Womens Doubles</v>
      </c>
      <c r="G283" s="8" t="str">
        <f>IFERROR(__xludf.DUMMYFUNCTION("""COMPUTED_VALUE"""),"1st")</f>
        <v>1st</v>
      </c>
      <c r="H283" s="8" t="str">
        <f>IFERROR(__xludf.DUMMYFUNCTION("""COMPUTED_VALUE"""),"NY Regional 33")</f>
        <v>NY Regional 33</v>
      </c>
      <c r="I283" s="10">
        <f>IFERROR(__xludf.DUMMYFUNCTION("""COMPUTED_VALUE"""),43252.0)</f>
        <v>43252</v>
      </c>
      <c r="J283" s="10">
        <f>IFERROR(__xludf.DUMMYFUNCTION("""COMPUTED_VALUE"""),44348.0)</f>
        <v>44348</v>
      </c>
      <c r="K283" s="1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9" t="str">
        <f>IFERROR(__xludf.DUMMYFUNCTION("""COMPUTED_VALUE"""),"Shelton")</f>
        <v>Shelton</v>
      </c>
      <c r="B284" s="8" t="str">
        <f>IFERROR(__xludf.DUMMYFUNCTION("""COMPUTED_VALUE"""),"Stacy")</f>
        <v>Stacy</v>
      </c>
      <c r="C284" s="8" t="str">
        <f>IFERROR(__xludf.DUMMYFUNCTION("""COMPUTED_VALUE"""),"Pittsburgh")</f>
        <v>Pittsburgh</v>
      </c>
      <c r="D284" s="8" t="str">
        <f>IFERROR(__xludf.DUMMYFUNCTION("""COMPUTED_VALUE"""),"PA")</f>
        <v>PA</v>
      </c>
      <c r="E284" s="8" t="str">
        <f>IFERROR(__xludf.DUMMYFUNCTION("""COMPUTED_VALUE"""),"USA")</f>
        <v>USA</v>
      </c>
      <c r="F284" s="8" t="str">
        <f>IFERROR(__xludf.DUMMYFUNCTION("""COMPUTED_VALUE"""),"Women Combo Singles")</f>
        <v>Women Combo Singles</v>
      </c>
      <c r="G284" s="8" t="str">
        <f>IFERROR(__xludf.DUMMYFUNCTION("""COMPUTED_VALUE"""),"1st")</f>
        <v>1st</v>
      </c>
      <c r="H284" s="8" t="str">
        <f>IFERROR(__xludf.DUMMYFUNCTION("""COMPUTED_VALUE"""),"Pennsylvania BS 34")</f>
        <v>Pennsylvania BS 34</v>
      </c>
      <c r="I284" s="10">
        <f>IFERROR(__xludf.DUMMYFUNCTION("""COMPUTED_VALUE"""),43617.0)</f>
        <v>43617</v>
      </c>
      <c r="J284" s="10">
        <f>IFERROR(__xludf.DUMMYFUNCTION("""COMPUTED_VALUE"""),44713.0)</f>
        <v>44713</v>
      </c>
      <c r="K284" s="1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9" t="str">
        <f>IFERROR(__xludf.DUMMYFUNCTION("""COMPUTED_VALUE"""),"Shickle")</f>
        <v>Shickle</v>
      </c>
      <c r="B285" s="8" t="str">
        <f>IFERROR(__xludf.DUMMYFUNCTION("""COMPUTED_VALUE"""),"Elissa")</f>
        <v>Elissa</v>
      </c>
      <c r="C285" s="8" t="str">
        <f>IFERROR(__xludf.DUMMYFUNCTION("""COMPUTED_VALUE"""),"Mt. Zion")</f>
        <v>Mt. Zion</v>
      </c>
      <c r="D285" s="8" t="str">
        <f>IFERROR(__xludf.DUMMYFUNCTION("""COMPUTED_VALUE"""),"IL")</f>
        <v>IL</v>
      </c>
      <c r="E285" s="8" t="str">
        <f>IFERROR(__xludf.DUMMYFUNCTION("""COMPUTED_VALUE"""),"USA")</f>
        <v>USA</v>
      </c>
      <c r="F285" s="8" t="str">
        <f>IFERROR(__xludf.DUMMYFUNCTION("""COMPUTED_VALUE"""),"Women Combo Singles")</f>
        <v>Women Combo Singles</v>
      </c>
      <c r="G285" s="8" t="str">
        <f>IFERROR(__xludf.DUMMYFUNCTION("""COMPUTED_VALUE"""),"3rd")</f>
        <v>3rd</v>
      </c>
      <c r="H285" s="8" t="str">
        <f>IFERROR(__xludf.DUMMYFUNCTION("""COMPUTED_VALUE"""),"Indiana BS 34")</f>
        <v>Indiana BS 34</v>
      </c>
      <c r="I285" s="10">
        <f>IFERROR(__xludf.DUMMYFUNCTION("""COMPUTED_VALUE"""),43617.0)</f>
        <v>43617</v>
      </c>
      <c r="J285" s="10">
        <f>IFERROR(__xludf.DUMMYFUNCTION("""COMPUTED_VALUE"""),44713.0)</f>
        <v>44713</v>
      </c>
      <c r="K285" s="1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9" t="str">
        <f>IFERROR(__xludf.DUMMYFUNCTION("""COMPUTED_VALUE"""),"Shirley")</f>
        <v>Shirley</v>
      </c>
      <c r="B286" s="8" t="str">
        <f>IFERROR(__xludf.DUMMYFUNCTION("""COMPUTED_VALUE"""),"Shari Ann")</f>
        <v>Shari Ann</v>
      </c>
      <c r="C286" s="8" t="str">
        <f>IFERROR(__xludf.DUMMYFUNCTION("""COMPUTED_VALUE"""),"Blairsville")</f>
        <v>Blairsville</v>
      </c>
      <c r="D286" s="8" t="str">
        <f>IFERROR(__xludf.DUMMYFUNCTION("""COMPUTED_VALUE"""),"PA")</f>
        <v>PA</v>
      </c>
      <c r="E286" s="8" t="str">
        <f>IFERROR(__xludf.DUMMYFUNCTION("""COMPUTED_VALUE"""),"USA")</f>
        <v>USA</v>
      </c>
      <c r="F286" s="8" t="str">
        <f>IFERROR(__xludf.DUMMYFUNCTION("""COMPUTED_VALUE"""),"Women Combo Doubles")</f>
        <v>Women Combo Doubles</v>
      </c>
      <c r="G286" s="8" t="str">
        <f>IFERROR(__xludf.DUMMYFUNCTION("""COMPUTED_VALUE"""),"2nd")</f>
        <v>2nd</v>
      </c>
      <c r="H286" s="8" t="str">
        <f>IFERROR(__xludf.DUMMYFUNCTION("""COMPUTED_VALUE"""),"Tennessee BS 34")</f>
        <v>Tennessee BS 34</v>
      </c>
      <c r="I286" s="10">
        <f>IFERROR(__xludf.DUMMYFUNCTION("""COMPUTED_VALUE"""),43617.0)</f>
        <v>43617</v>
      </c>
      <c r="J286" s="10">
        <f>IFERROR(__xludf.DUMMYFUNCTION("""COMPUTED_VALUE"""),44713.0)</f>
        <v>44713</v>
      </c>
      <c r="K286" s="1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9" t="str">
        <f>IFERROR(__xludf.DUMMYFUNCTION("""COMPUTED_VALUE"""),"Shook")</f>
        <v>Shook</v>
      </c>
      <c r="B287" s="8" t="str">
        <f>IFERROR(__xludf.DUMMYFUNCTION("""COMPUTED_VALUE"""),"Alexis")</f>
        <v>Alexis</v>
      </c>
      <c r="C287" s="8" t="str">
        <f>IFERROR(__xludf.DUMMYFUNCTION("""COMPUTED_VALUE"""),"Cumberland")</f>
        <v>Cumberland</v>
      </c>
      <c r="D287" s="8" t="str">
        <f>IFERROR(__xludf.DUMMYFUNCTION("""COMPUTED_VALUE"""),"MD")</f>
        <v>MD</v>
      </c>
      <c r="E287" s="8" t="str">
        <f>IFERROR(__xludf.DUMMYFUNCTION("""COMPUTED_VALUE"""),"USA")</f>
        <v>USA</v>
      </c>
      <c r="F287" s="8" t="str">
        <f>IFERROR(__xludf.DUMMYFUNCTION("""COMPUTED_VALUE"""),"Women 301 Doubles")</f>
        <v>Women 301 Doubles</v>
      </c>
      <c r="G287" s="8" t="str">
        <f>IFERROR(__xludf.DUMMYFUNCTION("""COMPUTED_VALUE"""),"2nd")</f>
        <v>2nd</v>
      </c>
      <c r="H287" s="8" t="str">
        <f>IFERROR(__xludf.DUMMYFUNCTION("""COMPUTED_VALUE"""),"Pennsylvania BS 34")</f>
        <v>Pennsylvania BS 34</v>
      </c>
      <c r="I287" s="10">
        <f>IFERROR(__xludf.DUMMYFUNCTION("""COMPUTED_VALUE"""),43617.0)</f>
        <v>43617</v>
      </c>
      <c r="J287" s="10">
        <f>IFERROR(__xludf.DUMMYFUNCTION("""COMPUTED_VALUE"""),44713.0)</f>
        <v>44713</v>
      </c>
      <c r="K287" s="1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9" t="str">
        <f>IFERROR(__xludf.DUMMYFUNCTION("""COMPUTED_VALUE"""),"Simonsen")</f>
        <v>Simonsen</v>
      </c>
      <c r="B288" s="8" t="str">
        <f>IFERROR(__xludf.DUMMYFUNCTION("""COMPUTED_VALUE"""),"Jamie")</f>
        <v>Jamie</v>
      </c>
      <c r="C288" s="8" t="str">
        <f>IFERROR(__xludf.DUMMYFUNCTION("""COMPUTED_VALUE"""),"Mt. Pleasant")</f>
        <v>Mt. Pleasant</v>
      </c>
      <c r="D288" s="8" t="str">
        <f>IFERROR(__xludf.DUMMYFUNCTION("""COMPUTED_VALUE"""),"WI")</f>
        <v>WI</v>
      </c>
      <c r="E288" s="8" t="str">
        <f>IFERROR(__xludf.DUMMYFUNCTION("""COMPUTED_VALUE"""),"USA")</f>
        <v>USA</v>
      </c>
      <c r="F288" s="8" t="str">
        <f>IFERROR(__xludf.DUMMYFUNCTION("""COMPUTED_VALUE"""),"Womens B Cricket Dbls")</f>
        <v>Womens B Cricket Dbls</v>
      </c>
      <c r="G288" s="8" t="str">
        <f>IFERROR(__xludf.DUMMYFUNCTION("""COMPUTED_VALUE"""),"1st")</f>
        <v>1st</v>
      </c>
      <c r="H288" s="8" t="str">
        <f>IFERROR(__xludf.DUMMYFUNCTION("""COMPUTED_VALUE"""),"BullShooter 32")</f>
        <v>BullShooter 32</v>
      </c>
      <c r="I288" s="10">
        <f>IFERROR(__xludf.DUMMYFUNCTION("""COMPUTED_VALUE"""),42887.0)</f>
        <v>42887</v>
      </c>
      <c r="J288" s="10">
        <f>IFERROR(__xludf.DUMMYFUNCTION("""COMPUTED_VALUE"""),43983.0)</f>
        <v>43983</v>
      </c>
      <c r="K288" s="1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9" t="str">
        <f>IFERROR(__xludf.DUMMYFUNCTION("""COMPUTED_VALUE"""),"Sims")</f>
        <v>Sims</v>
      </c>
      <c r="B289" s="8" t="str">
        <f>IFERROR(__xludf.DUMMYFUNCTION("""COMPUTED_VALUE"""),"Madison")</f>
        <v>Madison</v>
      </c>
      <c r="C289" s="8" t="str">
        <f>IFERROR(__xludf.DUMMYFUNCTION("""COMPUTED_VALUE"""),"Norton")</f>
        <v>Norton</v>
      </c>
      <c r="D289" s="8" t="str">
        <f>IFERROR(__xludf.DUMMYFUNCTION("""COMPUTED_VALUE"""),"OH")</f>
        <v>OH</v>
      </c>
      <c r="E289" s="8" t="str">
        <f>IFERROR(__xludf.DUMMYFUNCTION("""COMPUTED_VALUE"""),"USA")</f>
        <v>USA</v>
      </c>
      <c r="F289" s="8" t="str">
        <f>IFERROR(__xludf.DUMMYFUNCTION("""COMPUTED_VALUE"""),"Women Combo Singles")</f>
        <v>Women Combo Singles</v>
      </c>
      <c r="G289" s="8" t="str">
        <f>IFERROR(__xludf.DUMMYFUNCTION("""COMPUTED_VALUE"""),"1st")</f>
        <v>1st</v>
      </c>
      <c r="H289" s="8" t="str">
        <f>IFERROR(__xludf.DUMMYFUNCTION("""COMPUTED_VALUE"""),"Ohio BS 34")</f>
        <v>Ohio BS 34</v>
      </c>
      <c r="I289" s="10">
        <f>IFERROR(__xludf.DUMMYFUNCTION("""COMPUTED_VALUE"""),43617.0)</f>
        <v>43617</v>
      </c>
      <c r="J289" s="10">
        <f>IFERROR(__xludf.DUMMYFUNCTION("""COMPUTED_VALUE"""),44713.0)</f>
        <v>44713</v>
      </c>
      <c r="K289" s="11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9" t="str">
        <f>IFERROR(__xludf.DUMMYFUNCTION("""COMPUTED_VALUE"""),"Sims")</f>
        <v>Sims</v>
      </c>
      <c r="B290" s="8" t="str">
        <f>IFERROR(__xludf.DUMMYFUNCTION("""COMPUTED_VALUE"""),"Jennifer")</f>
        <v>Jennifer</v>
      </c>
      <c r="C290" s="8" t="str">
        <f>IFERROR(__xludf.DUMMYFUNCTION("""COMPUTED_VALUE"""),"Niagara Falls")</f>
        <v>Niagara Falls</v>
      </c>
      <c r="D290" s="8" t="str">
        <f>IFERROR(__xludf.DUMMYFUNCTION("""COMPUTED_VALUE"""),"NY")</f>
        <v>NY</v>
      </c>
      <c r="E290" s="8" t="str">
        <f>IFERROR(__xludf.DUMMYFUNCTION("""COMPUTED_VALUE"""),"USA")</f>
        <v>USA</v>
      </c>
      <c r="F290" s="8" t="str">
        <f>IFERROR(__xludf.DUMMYFUNCTION("""COMPUTED_VALUE"""),"Women 301 Doubles")</f>
        <v>Women 301 Doubles</v>
      </c>
      <c r="G290" s="8" t="str">
        <f>IFERROR(__xludf.DUMMYFUNCTION("""COMPUTED_VALUE"""),"1st")</f>
        <v>1st</v>
      </c>
      <c r="H290" s="8" t="str">
        <f>IFERROR(__xludf.DUMMYFUNCTION("""COMPUTED_VALUE"""),"New York BS 34")</f>
        <v>New York BS 34</v>
      </c>
      <c r="I290" s="10">
        <f>IFERROR(__xludf.DUMMYFUNCTION("""COMPUTED_VALUE"""),43617.0)</f>
        <v>43617</v>
      </c>
      <c r="J290" s="10">
        <f>IFERROR(__xludf.DUMMYFUNCTION("""COMPUTED_VALUE"""),44713.0)</f>
        <v>44713</v>
      </c>
      <c r="K290" s="11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9" t="str">
        <f>IFERROR(__xludf.DUMMYFUNCTION("""COMPUTED_VALUE"""),"Smith")</f>
        <v>Smith</v>
      </c>
      <c r="B291" s="8" t="str">
        <f>IFERROR(__xludf.DUMMYFUNCTION("""COMPUTED_VALUE"""),"Kathy")</f>
        <v>Kathy</v>
      </c>
      <c r="C291" s="8" t="str">
        <f>IFERROR(__xludf.DUMMYFUNCTION("""COMPUTED_VALUE"""),"Littlestown")</f>
        <v>Littlestown</v>
      </c>
      <c r="D291" s="8" t="str">
        <f>IFERROR(__xludf.DUMMYFUNCTION("""COMPUTED_VALUE"""),"PA")</f>
        <v>PA</v>
      </c>
      <c r="E291" s="8" t="str">
        <f>IFERROR(__xludf.DUMMYFUNCTION("""COMPUTED_VALUE"""),"USA")</f>
        <v>USA</v>
      </c>
      <c r="F291" s="8" t="str">
        <f>IFERROR(__xludf.DUMMYFUNCTION("""COMPUTED_VALUE"""),"Womens A/AA Combo Luck")</f>
        <v>Womens A/AA Combo Luck</v>
      </c>
      <c r="G291" s="8" t="str">
        <f>IFERROR(__xludf.DUMMYFUNCTION("""COMPUTED_VALUE"""),"3rd")</f>
        <v>3rd</v>
      </c>
      <c r="H291" s="8" t="str">
        <f>IFERROR(__xludf.DUMMYFUNCTION("""COMPUTED_VALUE"""),"BullShooter 31")</f>
        <v>BullShooter 31</v>
      </c>
      <c r="I291" s="10">
        <f>IFERROR(__xludf.DUMMYFUNCTION("""COMPUTED_VALUE"""),42522.0)</f>
        <v>42522</v>
      </c>
      <c r="J291" s="10">
        <f>IFERROR(__xludf.DUMMYFUNCTION("""COMPUTED_VALUE"""),44713.0)</f>
        <v>44713</v>
      </c>
      <c r="K291" s="11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9" t="str">
        <f>IFERROR(__xludf.DUMMYFUNCTION("""COMPUTED_VALUE"""),"Smith")</f>
        <v>Smith</v>
      </c>
      <c r="B292" s="8" t="str">
        <f>IFERROR(__xludf.DUMMYFUNCTION("""COMPUTED_VALUE"""),"Christine")</f>
        <v>Christine</v>
      </c>
      <c r="C292" s="8" t="str">
        <f>IFERROR(__xludf.DUMMYFUNCTION("""COMPUTED_VALUE"""),"Duke Center")</f>
        <v>Duke Center</v>
      </c>
      <c r="D292" s="8" t="str">
        <f>IFERROR(__xludf.DUMMYFUNCTION("""COMPUTED_VALUE"""),"PA")</f>
        <v>PA</v>
      </c>
      <c r="E292" s="8" t="str">
        <f>IFERROR(__xludf.DUMMYFUNCTION("""COMPUTED_VALUE"""),"USA")</f>
        <v>USA</v>
      </c>
      <c r="F292" s="8" t="str">
        <f>IFERROR(__xludf.DUMMYFUNCTION("""COMPUTED_VALUE"""),"Women Combo Doubles")</f>
        <v>Women Combo Doubles</v>
      </c>
      <c r="G292" s="8" t="str">
        <f>IFERROR(__xludf.DUMMYFUNCTION("""COMPUTED_VALUE"""),"1st")</f>
        <v>1st</v>
      </c>
      <c r="H292" s="8" t="str">
        <f>IFERROR(__xludf.DUMMYFUNCTION("""COMPUTED_VALUE"""),"New York BS 34")</f>
        <v>New York BS 34</v>
      </c>
      <c r="I292" s="10">
        <f>IFERROR(__xludf.DUMMYFUNCTION("""COMPUTED_VALUE"""),43617.0)</f>
        <v>43617</v>
      </c>
      <c r="J292" s="10">
        <f>IFERROR(__xludf.DUMMYFUNCTION("""COMPUTED_VALUE"""),44713.0)</f>
        <v>44713</v>
      </c>
      <c r="K292" s="1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9" t="str">
        <f>IFERROR(__xludf.DUMMYFUNCTION("""COMPUTED_VALUE"""),"Smith")</f>
        <v>Smith</v>
      </c>
      <c r="B293" s="8" t="str">
        <f>IFERROR(__xludf.DUMMYFUNCTION("""COMPUTED_VALUE"""),"Susan")</f>
        <v>Susan</v>
      </c>
      <c r="C293" s="8" t="str">
        <f>IFERROR(__xludf.DUMMYFUNCTION("""COMPUTED_VALUE"""),"Phoenix")</f>
        <v>Phoenix</v>
      </c>
      <c r="D293" s="8" t="str">
        <f>IFERROR(__xludf.DUMMYFUNCTION("""COMPUTED_VALUE"""),"AZ")</f>
        <v>AZ</v>
      </c>
      <c r="E293" s="8" t="str">
        <f>IFERROR(__xludf.DUMMYFUNCTION("""COMPUTED_VALUE"""),"USA")</f>
        <v>USA</v>
      </c>
      <c r="F293" s="8" t="str">
        <f>IFERROR(__xludf.DUMMYFUNCTION("""COMPUTED_VALUE"""),"Mixed 701 Triples")</f>
        <v>Mixed 701 Triples</v>
      </c>
      <c r="G293" s="8" t="str">
        <f>IFERROR(__xludf.DUMMYFUNCTION("""COMPUTED_VALUE"""),"4th")</f>
        <v>4th</v>
      </c>
      <c r="H293" s="8" t="str">
        <f>IFERROR(__xludf.DUMMYFUNCTION("""COMPUTED_VALUE"""),"BullShooter 34 Finals")</f>
        <v>BullShooter 34 Finals</v>
      </c>
      <c r="I293" s="10">
        <f>IFERROR(__xludf.DUMMYFUNCTION("""COMPUTED_VALUE"""),43617.0)</f>
        <v>43617</v>
      </c>
      <c r="J293" s="10">
        <f>IFERROR(__xludf.DUMMYFUNCTION("""COMPUTED_VALUE"""),44713.0)</f>
        <v>44713</v>
      </c>
      <c r="K293" s="1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9" t="str">
        <f>IFERROR(__xludf.DUMMYFUNCTION("""COMPUTED_VALUE"""),"Solomon")</f>
        <v>Solomon</v>
      </c>
      <c r="B294" s="8" t="str">
        <f>IFERROR(__xludf.DUMMYFUNCTION("""COMPUTED_VALUE"""),"Kristie")</f>
        <v>Kristie</v>
      </c>
      <c r="C294" s="8" t="str">
        <f>IFERROR(__xludf.DUMMYFUNCTION("""COMPUTED_VALUE"""),"Lima")</f>
        <v>Lima</v>
      </c>
      <c r="D294" s="8" t="str">
        <f>IFERROR(__xludf.DUMMYFUNCTION("""COMPUTED_VALUE"""),"OH")</f>
        <v>OH</v>
      </c>
      <c r="E294" s="8" t="str">
        <f>IFERROR(__xludf.DUMMYFUNCTION("""COMPUTED_VALUE"""),"USA")</f>
        <v>USA</v>
      </c>
      <c r="F294" s="8" t="str">
        <f>IFERROR(__xludf.DUMMYFUNCTION("""COMPUTED_VALUE"""),"Womens A Cricket Dbls")</f>
        <v>Womens A Cricket Dbls</v>
      </c>
      <c r="G294" s="8" t="str">
        <f>IFERROR(__xludf.DUMMYFUNCTION("""COMPUTED_VALUE"""),"3rd")</f>
        <v>3rd</v>
      </c>
      <c r="H294" s="8" t="str">
        <f>IFERROR(__xludf.DUMMYFUNCTION("""COMPUTED_VALUE"""),"BullShooter 31")</f>
        <v>BullShooter 31</v>
      </c>
      <c r="I294" s="10">
        <f>IFERROR(__xludf.DUMMYFUNCTION("""COMPUTED_VALUE"""),42522.0)</f>
        <v>42522</v>
      </c>
      <c r="J294" s="10">
        <f>IFERROR(__xludf.DUMMYFUNCTION("""COMPUTED_VALUE"""),44713.0)</f>
        <v>44713</v>
      </c>
      <c r="K294" s="11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9" t="str">
        <f>IFERROR(__xludf.DUMMYFUNCTION("""COMPUTED_VALUE"""),"Soto")</f>
        <v>Soto</v>
      </c>
      <c r="B295" s="8" t="str">
        <f>IFERROR(__xludf.DUMMYFUNCTION("""COMPUTED_VALUE"""),"Sandra")</f>
        <v>Sandra</v>
      </c>
      <c r="C295" s="8" t="str">
        <f>IFERROR(__xludf.DUMMYFUNCTION("""COMPUTED_VALUE"""),"San Antonio")</f>
        <v>San Antonio</v>
      </c>
      <c r="D295" s="8" t="str">
        <f>IFERROR(__xludf.DUMMYFUNCTION("""COMPUTED_VALUE"""),"TX")</f>
        <v>TX</v>
      </c>
      <c r="E295" s="8" t="str">
        <f>IFERROR(__xludf.DUMMYFUNCTION("""COMPUTED_VALUE"""),"USA")</f>
        <v>USA</v>
      </c>
      <c r="F295" s="8" t="str">
        <f>IFERROR(__xludf.DUMMYFUNCTION("""COMPUTED_VALUE"""),"Women Combo Doubles")</f>
        <v>Women Combo Doubles</v>
      </c>
      <c r="G295" s="8" t="str">
        <f>IFERROR(__xludf.DUMMYFUNCTION("""COMPUTED_VALUE"""),"2nd")</f>
        <v>2nd</v>
      </c>
      <c r="H295" s="8" t="str">
        <f>IFERROR(__xludf.DUMMYFUNCTION("""COMPUTED_VALUE"""),"Texas BS 34")</f>
        <v>Texas BS 34</v>
      </c>
      <c r="I295" s="10">
        <f>IFERROR(__xludf.DUMMYFUNCTION("""COMPUTED_VALUE"""),43617.0)</f>
        <v>43617</v>
      </c>
      <c r="J295" s="10">
        <f>IFERROR(__xludf.DUMMYFUNCTION("""COMPUTED_VALUE"""),44713.0)</f>
        <v>44713</v>
      </c>
      <c r="K295" s="11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9" t="str">
        <f>IFERROR(__xludf.DUMMYFUNCTION("""COMPUTED_VALUE"""),"Sparrow")</f>
        <v>Sparrow</v>
      </c>
      <c r="B296" s="8" t="str">
        <f>IFERROR(__xludf.DUMMYFUNCTION("""COMPUTED_VALUE"""),"Sharon")</f>
        <v>Sharon</v>
      </c>
      <c r="C296" s="8" t="str">
        <f>IFERROR(__xludf.DUMMYFUNCTION("""COMPUTED_VALUE"""),"Plattsburgh")</f>
        <v>Plattsburgh</v>
      </c>
      <c r="D296" s="8" t="str">
        <f>IFERROR(__xludf.DUMMYFUNCTION("""COMPUTED_VALUE"""),"PA")</f>
        <v>PA</v>
      </c>
      <c r="E296" s="8" t="str">
        <f>IFERROR(__xludf.DUMMYFUNCTION("""COMPUTED_VALUE"""),"USA")</f>
        <v>USA</v>
      </c>
      <c r="F296" s="8" t="str">
        <f>IFERROR(__xludf.DUMMYFUNCTION("""COMPUTED_VALUE"""),"Womens Singles")</f>
        <v>Womens Singles</v>
      </c>
      <c r="G296" s="8" t="str">
        <f>IFERROR(__xludf.DUMMYFUNCTION("""COMPUTED_VALUE"""),"3rd")</f>
        <v>3rd</v>
      </c>
      <c r="H296" s="8" t="str">
        <f>IFERROR(__xludf.DUMMYFUNCTION("""COMPUTED_VALUE"""),"Ny Regional 32")</f>
        <v>Ny Regional 32</v>
      </c>
      <c r="I296" s="10">
        <f>IFERROR(__xludf.DUMMYFUNCTION("""COMPUTED_VALUE"""),42887.0)</f>
        <v>42887</v>
      </c>
      <c r="J296" s="10">
        <f>IFERROR(__xludf.DUMMYFUNCTION("""COMPUTED_VALUE"""),43983.0)</f>
        <v>43983</v>
      </c>
      <c r="K296" s="1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9" t="str">
        <f>IFERROR(__xludf.DUMMYFUNCTION("""COMPUTED_VALUE"""),"Spencer")</f>
        <v>Spencer</v>
      </c>
      <c r="B297" s="8" t="str">
        <f>IFERROR(__xludf.DUMMYFUNCTION("""COMPUTED_VALUE"""),"Meredith")</f>
        <v>Meredith</v>
      </c>
      <c r="C297" s="8" t="str">
        <f>IFERROR(__xludf.DUMMYFUNCTION("""COMPUTED_VALUE"""),"Kearney")</f>
        <v>Kearney</v>
      </c>
      <c r="D297" s="8" t="str">
        <f>IFERROR(__xludf.DUMMYFUNCTION("""COMPUTED_VALUE"""),"NE")</f>
        <v>NE</v>
      </c>
      <c r="E297" s="8" t="str">
        <f>IFERROR(__xludf.DUMMYFUNCTION("""COMPUTED_VALUE"""),"USA")</f>
        <v>USA</v>
      </c>
      <c r="F297" s="8" t="str">
        <f>IFERROR(__xludf.DUMMYFUNCTION("""COMPUTED_VALUE"""),"Women 301 Doubles")</f>
        <v>Women 301 Doubles</v>
      </c>
      <c r="G297" s="8" t="str">
        <f>IFERROR(__xludf.DUMMYFUNCTION("""COMPUTED_VALUE"""),"2nd")</f>
        <v>2nd</v>
      </c>
      <c r="H297" s="8" t="str">
        <f>IFERROR(__xludf.DUMMYFUNCTION("""COMPUTED_VALUE"""),"Nebraska BS 34")</f>
        <v>Nebraska BS 34</v>
      </c>
      <c r="I297" s="10">
        <f>IFERROR(__xludf.DUMMYFUNCTION("""COMPUTED_VALUE"""),43617.0)</f>
        <v>43617</v>
      </c>
      <c r="J297" s="10">
        <f>IFERROR(__xludf.DUMMYFUNCTION("""COMPUTED_VALUE"""),44713.0)</f>
        <v>44713</v>
      </c>
      <c r="K297" s="1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9" t="str">
        <f>IFERROR(__xludf.DUMMYFUNCTION("""COMPUTED_VALUE"""),"Spicer")</f>
        <v>Spicer</v>
      </c>
      <c r="B298" s="8" t="str">
        <f>IFERROR(__xludf.DUMMYFUNCTION("""COMPUTED_VALUE"""),"Coral")</f>
        <v>Coral</v>
      </c>
      <c r="C298" s="8" t="str">
        <f>IFERROR(__xludf.DUMMYFUNCTION("""COMPUTED_VALUE"""),"Crystal Lake")</f>
        <v>Crystal Lake</v>
      </c>
      <c r="D298" s="8" t="str">
        <f>IFERROR(__xludf.DUMMYFUNCTION("""COMPUTED_VALUE"""),"IL")</f>
        <v>IL</v>
      </c>
      <c r="E298" s="8" t="str">
        <f>IFERROR(__xludf.DUMMYFUNCTION("""COMPUTED_VALUE"""),"USA")</f>
        <v>USA</v>
      </c>
      <c r="F298" s="8" t="str">
        <f>IFERROR(__xludf.DUMMYFUNCTION("""COMPUTED_VALUE"""),"Womens B Doubles")</f>
        <v>Womens B Doubles</v>
      </c>
      <c r="G298" s="8" t="str">
        <f>IFERROR(__xludf.DUMMYFUNCTION("""COMPUTED_VALUE"""),"4th")</f>
        <v>4th</v>
      </c>
      <c r="H298" s="8" t="str">
        <f>IFERROR(__xludf.DUMMYFUNCTION("""COMPUTED_VALUE"""),"BS 33 Finals")</f>
        <v>BS 33 Finals</v>
      </c>
      <c r="I298" s="10">
        <f>IFERROR(__xludf.DUMMYFUNCTION("""COMPUTED_VALUE"""),43252.0)</f>
        <v>43252</v>
      </c>
      <c r="J298" s="10">
        <f>IFERROR(__xludf.DUMMYFUNCTION("""COMPUTED_VALUE"""),44348.0)</f>
        <v>44348</v>
      </c>
      <c r="K298" s="11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9" t="str">
        <f>IFERROR(__xludf.DUMMYFUNCTION("""COMPUTED_VALUE"""),"Spott")</f>
        <v>Spott</v>
      </c>
      <c r="B299" s="8" t="str">
        <f>IFERROR(__xludf.DUMMYFUNCTION("""COMPUTED_VALUE"""),"Abby")</f>
        <v>Abby</v>
      </c>
      <c r="C299" s="8" t="str">
        <f>IFERROR(__xludf.DUMMYFUNCTION("""COMPUTED_VALUE"""),"New Richmond")</f>
        <v>New Richmond</v>
      </c>
      <c r="D299" s="8" t="str">
        <f>IFERROR(__xludf.DUMMYFUNCTION("""COMPUTED_VALUE"""),"WI")</f>
        <v>WI</v>
      </c>
      <c r="E299" s="8" t="str">
        <f>IFERROR(__xludf.DUMMYFUNCTION("""COMPUTED_VALUE"""),"USA")</f>
        <v>USA</v>
      </c>
      <c r="F299" s="8" t="str">
        <f>IFERROR(__xludf.DUMMYFUNCTION("""COMPUTED_VALUE"""),"Mixed Triples")</f>
        <v>Mixed Triples</v>
      </c>
      <c r="G299" s="8" t="str">
        <f>IFERROR(__xludf.DUMMYFUNCTION("""COMPUTED_VALUE"""),"1st")</f>
        <v>1st</v>
      </c>
      <c r="H299" s="8" t="str">
        <f>IFERROR(__xludf.DUMMYFUNCTION("""COMPUTED_VALUE"""),"BS 33 Finals")</f>
        <v>BS 33 Finals</v>
      </c>
      <c r="I299" s="10">
        <f>IFERROR(__xludf.DUMMYFUNCTION("""COMPUTED_VALUE"""),43252.0)</f>
        <v>43252</v>
      </c>
      <c r="J299" s="10">
        <f>IFERROR(__xludf.DUMMYFUNCTION("""COMPUTED_VALUE"""),44348.0)</f>
        <v>44348</v>
      </c>
      <c r="K299" s="11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9" t="str">
        <f>IFERROR(__xludf.DUMMYFUNCTION("""COMPUTED_VALUE"""),"Steele")</f>
        <v>Steele</v>
      </c>
      <c r="B300" s="8" t="str">
        <f>IFERROR(__xludf.DUMMYFUNCTION("""COMPUTED_VALUE"""),"Jessica")</f>
        <v>Jessica</v>
      </c>
      <c r="C300" s="8" t="str">
        <f>IFERROR(__xludf.DUMMYFUNCTION("""COMPUTED_VALUE"""),"Memphis")</f>
        <v>Memphis</v>
      </c>
      <c r="D300" s="8" t="str">
        <f>IFERROR(__xludf.DUMMYFUNCTION("""COMPUTED_VALUE"""),"TN")</f>
        <v>TN</v>
      </c>
      <c r="E300" s="8" t="str">
        <f>IFERROR(__xludf.DUMMYFUNCTION("""COMPUTED_VALUE"""),"USA")</f>
        <v>USA</v>
      </c>
      <c r="F300" s="8" t="str">
        <f>IFERROR(__xludf.DUMMYFUNCTION("""COMPUTED_VALUE"""),"Womens Doubles")</f>
        <v>Womens Doubles</v>
      </c>
      <c r="G300" s="8" t="str">
        <f>IFERROR(__xludf.DUMMYFUNCTION("""COMPUTED_VALUE"""),"1st")</f>
        <v>1st</v>
      </c>
      <c r="H300" s="8" t="str">
        <f>IFERROR(__xludf.DUMMYFUNCTION("""COMPUTED_VALUE"""),"TN Regional 33")</f>
        <v>TN Regional 33</v>
      </c>
      <c r="I300" s="10">
        <f>IFERROR(__xludf.DUMMYFUNCTION("""COMPUTED_VALUE"""),43252.0)</f>
        <v>43252</v>
      </c>
      <c r="J300" s="10">
        <f>IFERROR(__xludf.DUMMYFUNCTION("""COMPUTED_VALUE"""),44348.0)</f>
        <v>44348</v>
      </c>
      <c r="K300" s="1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9" t="str">
        <f>IFERROR(__xludf.DUMMYFUNCTION("""COMPUTED_VALUE"""),"Stephens")</f>
        <v>Stephens</v>
      </c>
      <c r="B301" s="8" t="str">
        <f>IFERROR(__xludf.DUMMYFUNCTION("""COMPUTED_VALUE"""),"Missy")</f>
        <v>Missy</v>
      </c>
      <c r="C301" s="8" t="str">
        <f>IFERROR(__xludf.DUMMYFUNCTION("""COMPUTED_VALUE"""),"New Carlisle")</f>
        <v>New Carlisle</v>
      </c>
      <c r="D301" s="8" t="str">
        <f>IFERROR(__xludf.DUMMYFUNCTION("""COMPUTED_VALUE"""),"OH")</f>
        <v>OH</v>
      </c>
      <c r="E301" s="8" t="str">
        <f>IFERROR(__xludf.DUMMYFUNCTION("""COMPUTED_VALUE"""),"USA")</f>
        <v>USA</v>
      </c>
      <c r="F301" s="8" t="str">
        <f>IFERROR(__xludf.DUMMYFUNCTION("""COMPUTED_VALUE"""),"Womens Doubles")</f>
        <v>Womens Doubles</v>
      </c>
      <c r="G301" s="8" t="str">
        <f>IFERROR(__xludf.DUMMYFUNCTION("""COMPUTED_VALUE"""),"3rd")</f>
        <v>3rd</v>
      </c>
      <c r="H301" s="8" t="str">
        <f>IFERROR(__xludf.DUMMYFUNCTION("""COMPUTED_VALUE"""),"OH Regional 33")</f>
        <v>OH Regional 33</v>
      </c>
      <c r="I301" s="10">
        <f>IFERROR(__xludf.DUMMYFUNCTION("""COMPUTED_VALUE"""),43252.0)</f>
        <v>43252</v>
      </c>
      <c r="J301" s="10">
        <f>IFERROR(__xludf.DUMMYFUNCTION("""COMPUTED_VALUE"""),44348.0)</f>
        <v>44348</v>
      </c>
      <c r="K301" s="1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9" t="str">
        <f>IFERROR(__xludf.DUMMYFUNCTION("""COMPUTED_VALUE"""),"Strauch")</f>
        <v>Strauch</v>
      </c>
      <c r="B302" s="8" t="str">
        <f>IFERROR(__xludf.DUMMYFUNCTION("""COMPUTED_VALUE"""),"Bianca")</f>
        <v>Bianca</v>
      </c>
      <c r="C302" s="8" t="str">
        <f>IFERROR(__xludf.DUMMYFUNCTION("""COMPUTED_VALUE"""),"")</f>
        <v/>
      </c>
      <c r="D302" s="8" t="str">
        <f>IFERROR(__xludf.DUMMYFUNCTION("""COMPUTED_VALUE"""),"UNK")</f>
        <v>UNK</v>
      </c>
      <c r="E302" s="8" t="str">
        <f>IFERROR(__xludf.DUMMYFUNCTION("""COMPUTED_VALUE"""),"Germany")</f>
        <v>Germany</v>
      </c>
      <c r="F302" s="8" t="str">
        <f>IFERROR(__xludf.DUMMYFUNCTION("""COMPUTED_VALUE"""),"Womens A Cricket Dbls")</f>
        <v>Womens A Cricket Dbls</v>
      </c>
      <c r="G302" s="8" t="str">
        <f>IFERROR(__xludf.DUMMYFUNCTION("""COMPUTED_VALUE"""),"2nd")</f>
        <v>2nd</v>
      </c>
      <c r="H302" s="8" t="str">
        <f>IFERROR(__xludf.DUMMYFUNCTION("""COMPUTED_VALUE"""),"Off AA List")</f>
        <v>Off AA List</v>
      </c>
      <c r="I302" s="10">
        <f>IFERROR(__xludf.DUMMYFUNCTION("""COMPUTED_VALUE"""),42887.0)</f>
        <v>42887</v>
      </c>
      <c r="J302" s="10">
        <f>IFERROR(__xludf.DUMMYFUNCTION("""COMPUTED_VALUE"""),43983.0)</f>
        <v>43983</v>
      </c>
      <c r="K302" s="11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9" t="str">
        <f>IFERROR(__xludf.DUMMYFUNCTION("""COMPUTED_VALUE"""),"Strayer")</f>
        <v>Strayer</v>
      </c>
      <c r="B303" s="8" t="str">
        <f>IFERROR(__xludf.DUMMYFUNCTION("""COMPUTED_VALUE"""),"Kirstie")</f>
        <v>Kirstie</v>
      </c>
      <c r="C303" s="8" t="str">
        <f>IFERROR(__xludf.DUMMYFUNCTION("""COMPUTED_VALUE"""),"Hollidaysburg")</f>
        <v>Hollidaysburg</v>
      </c>
      <c r="D303" s="8" t="str">
        <f>IFERROR(__xludf.DUMMYFUNCTION("""COMPUTED_VALUE"""),"PA")</f>
        <v>PA</v>
      </c>
      <c r="E303" s="8" t="str">
        <f>IFERROR(__xludf.DUMMYFUNCTION("""COMPUTED_VALUE"""),"USA")</f>
        <v>USA</v>
      </c>
      <c r="F303" s="8" t="str">
        <f>IFERROR(__xludf.DUMMYFUNCTION("""COMPUTED_VALUE"""),"Women 301 Doubles")</f>
        <v>Women 301 Doubles</v>
      </c>
      <c r="G303" s="8" t="str">
        <f>IFERROR(__xludf.DUMMYFUNCTION("""COMPUTED_VALUE"""),"3rd")</f>
        <v>3rd</v>
      </c>
      <c r="H303" s="8" t="str">
        <f>IFERROR(__xludf.DUMMYFUNCTION("""COMPUTED_VALUE"""),"Pennsylvania BS 34")</f>
        <v>Pennsylvania BS 34</v>
      </c>
      <c r="I303" s="10">
        <f>IFERROR(__xludf.DUMMYFUNCTION("""COMPUTED_VALUE"""),43617.0)</f>
        <v>43617</v>
      </c>
      <c r="J303" s="10">
        <f>IFERROR(__xludf.DUMMYFUNCTION("""COMPUTED_VALUE"""),44713.0)</f>
        <v>44713</v>
      </c>
      <c r="K303" s="11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9" t="str">
        <f>IFERROR(__xludf.DUMMYFUNCTION("""COMPUTED_VALUE"""),"Sullivan")</f>
        <v>Sullivan</v>
      </c>
      <c r="B304" s="8" t="str">
        <f>IFERROR(__xludf.DUMMYFUNCTION("""COMPUTED_VALUE"""),"Theresa")</f>
        <v>Theresa</v>
      </c>
      <c r="C304" s="8" t="str">
        <f>IFERROR(__xludf.DUMMYFUNCTION("""COMPUTED_VALUE"""),"Clermont")</f>
        <v>Clermont</v>
      </c>
      <c r="D304" s="8" t="str">
        <f>IFERROR(__xludf.DUMMYFUNCTION("""COMPUTED_VALUE"""),"FL")</f>
        <v>FL</v>
      </c>
      <c r="E304" s="8" t="str">
        <f>IFERROR(__xludf.DUMMYFUNCTION("""COMPUTED_VALUE"""),"USA")</f>
        <v>USA</v>
      </c>
      <c r="F304" s="8" t="str">
        <f>IFERROR(__xludf.DUMMYFUNCTION("""COMPUTED_VALUE"""),"Women Combo Doubles")</f>
        <v>Women Combo Doubles</v>
      </c>
      <c r="G304" s="8" t="str">
        <f>IFERROR(__xludf.DUMMYFUNCTION("""COMPUTED_VALUE"""),"2nd")</f>
        <v>2nd</v>
      </c>
      <c r="H304" s="8" t="str">
        <f>IFERROR(__xludf.DUMMYFUNCTION("""COMPUTED_VALUE"""),"Florida BS 34")</f>
        <v>Florida BS 34</v>
      </c>
      <c r="I304" s="10">
        <f>IFERROR(__xludf.DUMMYFUNCTION("""COMPUTED_VALUE"""),43617.0)</f>
        <v>43617</v>
      </c>
      <c r="J304" s="10">
        <f>IFERROR(__xludf.DUMMYFUNCTION("""COMPUTED_VALUE"""),44713.0)</f>
        <v>44713</v>
      </c>
      <c r="K304" s="1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9" t="str">
        <f>IFERROR(__xludf.DUMMYFUNCTION("""COMPUTED_VALUE"""),"Surrency")</f>
        <v>Surrency</v>
      </c>
      <c r="B305" s="8" t="str">
        <f>IFERROR(__xludf.DUMMYFUNCTION("""COMPUTED_VALUE"""),"Keri")</f>
        <v>Keri</v>
      </c>
      <c r="C305" s="8" t="str">
        <f>IFERROR(__xludf.DUMMYFUNCTION("""COMPUTED_VALUE"""),"Plant City")</f>
        <v>Plant City</v>
      </c>
      <c r="D305" s="8" t="str">
        <f>IFERROR(__xludf.DUMMYFUNCTION("""COMPUTED_VALUE"""),"FL")</f>
        <v>FL</v>
      </c>
      <c r="E305" s="8" t="str">
        <f>IFERROR(__xludf.DUMMYFUNCTION("""COMPUTED_VALUE"""),"USA")</f>
        <v>USA</v>
      </c>
      <c r="F305" s="8" t="str">
        <f>IFERROR(__xludf.DUMMYFUNCTION("""COMPUTED_VALUE"""),"Womens Dbls Combo")</f>
        <v>Womens Dbls Combo</v>
      </c>
      <c r="G305" s="8" t="str">
        <f>IFERROR(__xludf.DUMMYFUNCTION("""COMPUTED_VALUE"""),"3rd")</f>
        <v>3rd</v>
      </c>
      <c r="H305" s="8" t="str">
        <f>IFERROR(__xludf.DUMMYFUNCTION("""COMPUTED_VALUE"""),"GA Regional 32")</f>
        <v>GA Regional 32</v>
      </c>
      <c r="I305" s="10">
        <f>IFERROR(__xludf.DUMMYFUNCTION("""COMPUTED_VALUE"""),42887.0)</f>
        <v>42887</v>
      </c>
      <c r="J305" s="10">
        <f>IFERROR(__xludf.DUMMYFUNCTION("""COMPUTED_VALUE"""),43983.0)</f>
        <v>43983</v>
      </c>
      <c r="K305" s="1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9" t="str">
        <f>IFERROR(__xludf.DUMMYFUNCTION("""COMPUTED_VALUE"""),"Sutton")</f>
        <v>Sutton</v>
      </c>
      <c r="B306" s="8" t="str">
        <f>IFERROR(__xludf.DUMMYFUNCTION("""COMPUTED_VALUE"""),"Anita")</f>
        <v>Anita</v>
      </c>
      <c r="C306" s="8" t="str">
        <f>IFERROR(__xludf.DUMMYFUNCTION("""COMPUTED_VALUE"""),"Rockford")</f>
        <v>Rockford</v>
      </c>
      <c r="D306" s="8" t="str">
        <f>IFERROR(__xludf.DUMMYFUNCTION("""COMPUTED_VALUE"""),"IL")</f>
        <v>IL</v>
      </c>
      <c r="E306" s="8" t="str">
        <f>IFERROR(__xludf.DUMMYFUNCTION("""COMPUTED_VALUE"""),"USA")</f>
        <v>USA</v>
      </c>
      <c r="F306" s="8" t="str">
        <f>IFERROR(__xludf.DUMMYFUNCTION("""COMPUTED_VALUE"""),"Women B Cricket Doubles")</f>
        <v>Women B Cricket Doubles</v>
      </c>
      <c r="G306" s="8" t="str">
        <f>IFERROR(__xludf.DUMMYFUNCTION("""COMPUTED_VALUE"""),"2nd")</f>
        <v>2nd</v>
      </c>
      <c r="H306" s="8" t="str">
        <f>IFERROR(__xludf.DUMMYFUNCTION("""COMPUTED_VALUE"""),"BullShooter 34 Finals")</f>
        <v>BullShooter 34 Finals</v>
      </c>
      <c r="I306" s="10">
        <f>IFERROR(__xludf.DUMMYFUNCTION("""COMPUTED_VALUE"""),43617.0)</f>
        <v>43617</v>
      </c>
      <c r="J306" s="10">
        <f>IFERROR(__xludf.DUMMYFUNCTION("""COMPUTED_VALUE"""),44713.0)</f>
        <v>44713</v>
      </c>
      <c r="K306" s="11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9" t="str">
        <f>IFERROR(__xludf.DUMMYFUNCTION("""COMPUTED_VALUE"""),"Taylor")</f>
        <v>Taylor</v>
      </c>
      <c r="B307" s="8" t="str">
        <f>IFERROR(__xludf.DUMMYFUNCTION("""COMPUTED_VALUE"""),"Andrea")</f>
        <v>Andrea</v>
      </c>
      <c r="C307" s="8" t="str">
        <f>IFERROR(__xludf.DUMMYFUNCTION("""COMPUTED_VALUE"""),"Ft. Worth")</f>
        <v>Ft. Worth</v>
      </c>
      <c r="D307" s="8" t="str">
        <f>IFERROR(__xludf.DUMMYFUNCTION("""COMPUTED_VALUE"""),"TX")</f>
        <v>TX</v>
      </c>
      <c r="E307" s="8" t="str">
        <f>IFERROR(__xludf.DUMMYFUNCTION("""COMPUTED_VALUE"""),"USA")</f>
        <v>USA</v>
      </c>
      <c r="F307" s="8" t="str">
        <f>IFERROR(__xludf.DUMMYFUNCTION("""COMPUTED_VALUE"""),"ADO 2014")</f>
        <v>ADO 2014</v>
      </c>
      <c r="G307" s="8" t="str">
        <f>IFERROR(__xludf.DUMMYFUNCTION("""COMPUTED_VALUE"""),"14th")</f>
        <v>14th</v>
      </c>
      <c r="H307" s="8" t="str">
        <f>IFERROR(__xludf.DUMMYFUNCTION("""COMPUTED_VALUE"""),"Off AA List")</f>
        <v>Off AA List</v>
      </c>
      <c r="I307" s="10">
        <f>IFERROR(__xludf.DUMMYFUNCTION("""COMPUTED_VALUE"""),42887.0)</f>
        <v>42887</v>
      </c>
      <c r="J307" s="10">
        <f>IFERROR(__xludf.DUMMYFUNCTION("""COMPUTED_VALUE"""),43983.0)</f>
        <v>43983</v>
      </c>
      <c r="K307" s="11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9" t="str">
        <f>IFERROR(__xludf.DUMMYFUNCTION("""COMPUTED_VALUE"""),"Teeter")</f>
        <v>Teeter</v>
      </c>
      <c r="B308" s="8" t="str">
        <f>IFERROR(__xludf.DUMMYFUNCTION("""COMPUTED_VALUE"""),"Cathie")</f>
        <v>Cathie</v>
      </c>
      <c r="C308" s="8" t="str">
        <f>IFERROR(__xludf.DUMMYFUNCTION("""COMPUTED_VALUE"""),"Mishawaka")</f>
        <v>Mishawaka</v>
      </c>
      <c r="D308" s="8" t="str">
        <f>IFERROR(__xludf.DUMMYFUNCTION("""COMPUTED_VALUE"""),"IN")</f>
        <v>IN</v>
      </c>
      <c r="E308" s="8" t="str">
        <f>IFERROR(__xludf.DUMMYFUNCTION("""COMPUTED_VALUE"""),"USA")</f>
        <v>USA</v>
      </c>
      <c r="F308" s="8" t="str">
        <f>IFERROR(__xludf.DUMMYFUNCTION("""COMPUTED_VALUE"""),"Womens B Doubles")</f>
        <v>Womens B Doubles</v>
      </c>
      <c r="G308" s="8" t="str">
        <f>IFERROR(__xludf.DUMMYFUNCTION("""COMPUTED_VALUE"""),"3rd")</f>
        <v>3rd</v>
      </c>
      <c r="H308" s="8" t="str">
        <f>IFERROR(__xludf.DUMMYFUNCTION("""COMPUTED_VALUE"""),"BullShooter 32")</f>
        <v>BullShooter 32</v>
      </c>
      <c r="I308" s="10">
        <f>IFERROR(__xludf.DUMMYFUNCTION("""COMPUTED_VALUE"""),42887.0)</f>
        <v>42887</v>
      </c>
      <c r="J308" s="10">
        <f>IFERROR(__xludf.DUMMYFUNCTION("""COMPUTED_VALUE"""),43983.0)</f>
        <v>43983</v>
      </c>
      <c r="K308" s="1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9" t="str">
        <f>IFERROR(__xludf.DUMMYFUNCTION("""COMPUTED_VALUE"""),"Terry")</f>
        <v>Terry</v>
      </c>
      <c r="B309" s="8" t="str">
        <f>IFERROR(__xludf.DUMMYFUNCTION("""COMPUTED_VALUE"""),"Deanna")</f>
        <v>Deanna</v>
      </c>
      <c r="C309" s="8" t="str">
        <f>IFERROR(__xludf.DUMMYFUNCTION("""COMPUTED_VALUE"""),"")</f>
        <v/>
      </c>
      <c r="D309" s="8" t="str">
        <f>IFERROR(__xludf.DUMMYFUNCTION("""COMPUTED_VALUE"""),"UNK")</f>
        <v>UNK</v>
      </c>
      <c r="E309" s="8" t="str">
        <f>IFERROR(__xludf.DUMMYFUNCTION("""COMPUTED_VALUE"""),"UNK")</f>
        <v>UNK</v>
      </c>
      <c r="F309" s="8" t="str">
        <f>IFERROR(__xludf.DUMMYFUNCTION("""COMPUTED_VALUE"""),"ADO 2016")</f>
        <v>ADO 2016</v>
      </c>
      <c r="G309" s="8" t="str">
        <f>IFERROR(__xludf.DUMMYFUNCTION("""COMPUTED_VALUE"""),"25th")</f>
        <v>25th</v>
      </c>
      <c r="H309" s="8" t="str">
        <f>IFERROR(__xludf.DUMMYFUNCTION("""COMPUTED_VALUE"""),"ADO 2016")</f>
        <v>ADO 2016</v>
      </c>
      <c r="I309" s="10">
        <f>IFERROR(__xludf.DUMMYFUNCTION("""COMPUTED_VALUE"""),42401.0)</f>
        <v>42401</v>
      </c>
      <c r="J309" s="10">
        <f>IFERROR(__xludf.DUMMYFUNCTION("""COMPUTED_VALUE"""),44713.0)</f>
        <v>44713</v>
      </c>
      <c r="K309" s="1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9" t="str">
        <f>IFERROR(__xludf.DUMMYFUNCTION("""COMPUTED_VALUE"""),"Thompson")</f>
        <v>Thompson</v>
      </c>
      <c r="B310" s="8" t="str">
        <f>IFERROR(__xludf.DUMMYFUNCTION("""COMPUTED_VALUE"""),"Holly")</f>
        <v>Holly</v>
      </c>
      <c r="C310" s="8" t="str">
        <f>IFERROR(__xludf.DUMMYFUNCTION("""COMPUTED_VALUE"""),"Indianapolis")</f>
        <v>Indianapolis</v>
      </c>
      <c r="D310" s="8" t="str">
        <f>IFERROR(__xludf.DUMMYFUNCTION("""COMPUTED_VALUE"""),"IN")</f>
        <v>IN</v>
      </c>
      <c r="E310" s="8" t="str">
        <f>IFERROR(__xludf.DUMMYFUNCTION("""COMPUTED_VALUE"""),"USA")</f>
        <v>USA</v>
      </c>
      <c r="F310" s="8" t="str">
        <f>IFERROR(__xludf.DUMMYFUNCTION("""COMPUTED_VALUE"""),"Top Gun A/AA Singles")</f>
        <v>Top Gun A/AA Singles</v>
      </c>
      <c r="G310" s="8" t="str">
        <f>IFERROR(__xludf.DUMMYFUNCTION("""COMPUTED_VALUE"""),"2nd")</f>
        <v>2nd</v>
      </c>
      <c r="H310" s="8" t="str">
        <f>IFERROR(__xludf.DUMMYFUNCTION("""COMPUTED_VALUE"""),"BullShooter 31")</f>
        <v>BullShooter 31</v>
      </c>
      <c r="I310" s="10">
        <f>IFERROR(__xludf.DUMMYFUNCTION("""COMPUTED_VALUE"""),42522.0)</f>
        <v>42522</v>
      </c>
      <c r="J310" s="10">
        <f>IFERROR(__xludf.DUMMYFUNCTION("""COMPUTED_VALUE"""),44713.0)</f>
        <v>44713</v>
      </c>
      <c r="K310" s="11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9" t="str">
        <f>IFERROR(__xludf.DUMMYFUNCTION("""COMPUTED_VALUE"""),"Thurley")</f>
        <v>Thurley</v>
      </c>
      <c r="B311" s="8" t="str">
        <f>IFERROR(__xludf.DUMMYFUNCTION("""COMPUTED_VALUE"""),"Lotte")</f>
        <v>Lotte</v>
      </c>
      <c r="C311" s="8" t="str">
        <f>IFERROR(__xludf.DUMMYFUNCTION("""COMPUTED_VALUE"""),"")</f>
        <v/>
      </c>
      <c r="D311" s="8" t="str">
        <f>IFERROR(__xludf.DUMMYFUNCTION("""COMPUTED_VALUE"""),"")</f>
        <v/>
      </c>
      <c r="E311" s="8" t="str">
        <f>IFERROR(__xludf.DUMMYFUNCTION("""COMPUTED_VALUE"""),"DENMARK")</f>
        <v>DENMARK</v>
      </c>
      <c r="F311" s="8" t="str">
        <f>IFERROR(__xludf.DUMMYFUNCTION("""COMPUTED_VALUE"""),"TopGun B Mixed Triples")</f>
        <v>TopGun B Mixed Triples</v>
      </c>
      <c r="G311" s="8" t="str">
        <f>IFERROR(__xludf.DUMMYFUNCTION("""COMPUTED_VALUE"""),"3rd")</f>
        <v>3rd</v>
      </c>
      <c r="H311" s="8" t="str">
        <f>IFERROR(__xludf.DUMMYFUNCTION("""COMPUTED_VALUE"""),"BullShooter 34 Finals")</f>
        <v>BullShooter 34 Finals</v>
      </c>
      <c r="I311" s="10">
        <f>IFERROR(__xludf.DUMMYFUNCTION("""COMPUTED_VALUE"""),43617.0)</f>
        <v>43617</v>
      </c>
      <c r="J311" s="10">
        <f>IFERROR(__xludf.DUMMYFUNCTION("""COMPUTED_VALUE"""),44713.0)</f>
        <v>44713</v>
      </c>
      <c r="K311" s="11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9" t="str">
        <f>IFERROR(__xludf.DUMMYFUNCTION("""COMPUTED_VALUE"""),"Tillman")</f>
        <v>Tillman</v>
      </c>
      <c r="B312" s="8" t="str">
        <f>IFERROR(__xludf.DUMMYFUNCTION("""COMPUTED_VALUE"""),"Erika")</f>
        <v>Erika</v>
      </c>
      <c r="C312" s="8" t="str">
        <f>IFERROR(__xludf.DUMMYFUNCTION("""COMPUTED_VALUE"""),"Moss Point")</f>
        <v>Moss Point</v>
      </c>
      <c r="D312" s="8" t="str">
        <f>IFERROR(__xludf.DUMMYFUNCTION("""COMPUTED_VALUE"""),"MS")</f>
        <v>MS</v>
      </c>
      <c r="E312" s="8" t="str">
        <f>IFERROR(__xludf.DUMMYFUNCTION("""COMPUTED_VALUE"""),"USA")</f>
        <v>USA</v>
      </c>
      <c r="F312" s="8" t="str">
        <f>IFERROR(__xludf.DUMMYFUNCTION("""COMPUTED_VALUE"""),"Womens Doubles")</f>
        <v>Womens Doubles</v>
      </c>
      <c r="G312" s="8" t="str">
        <f>IFERROR(__xludf.DUMMYFUNCTION("""COMPUTED_VALUE"""),"2nd")</f>
        <v>2nd</v>
      </c>
      <c r="H312" s="8" t="str">
        <f>IFERROR(__xludf.DUMMYFUNCTION("""COMPUTED_VALUE"""),"TX Regional 33")</f>
        <v>TX Regional 33</v>
      </c>
      <c r="I312" s="10">
        <f>IFERROR(__xludf.DUMMYFUNCTION("""COMPUTED_VALUE"""),43252.0)</f>
        <v>43252</v>
      </c>
      <c r="J312" s="10">
        <f>IFERROR(__xludf.DUMMYFUNCTION("""COMPUTED_VALUE"""),44348.0)</f>
        <v>44348</v>
      </c>
      <c r="K312" s="11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9" t="str">
        <f>IFERROR(__xludf.DUMMYFUNCTION("""COMPUTED_VALUE"""),"Timmins")</f>
        <v>Timmins</v>
      </c>
      <c r="B313" s="8" t="str">
        <f>IFERROR(__xludf.DUMMYFUNCTION("""COMPUTED_VALUE"""),"Lisa")</f>
        <v>Lisa</v>
      </c>
      <c r="C313" s="8" t="str">
        <f>IFERROR(__xludf.DUMMYFUNCTION("""COMPUTED_VALUE"""),"Omaha")</f>
        <v>Omaha</v>
      </c>
      <c r="D313" s="8" t="str">
        <f>IFERROR(__xludf.DUMMYFUNCTION("""COMPUTED_VALUE"""),"NE")</f>
        <v>NE</v>
      </c>
      <c r="E313" s="8" t="str">
        <f>IFERROR(__xludf.DUMMYFUNCTION("""COMPUTED_VALUE"""),"USA")</f>
        <v>USA</v>
      </c>
      <c r="F313" s="8" t="str">
        <f>IFERROR(__xludf.DUMMYFUNCTION("""COMPUTED_VALUE"""),"Womens Singles")</f>
        <v>Womens Singles</v>
      </c>
      <c r="G313" s="8" t="str">
        <f>IFERROR(__xludf.DUMMYFUNCTION("""COMPUTED_VALUE"""),"2nd")</f>
        <v>2nd</v>
      </c>
      <c r="H313" s="8" t="str">
        <f>IFERROR(__xludf.DUMMYFUNCTION("""COMPUTED_VALUE"""),"NE Regional 32")</f>
        <v>NE Regional 32</v>
      </c>
      <c r="I313" s="10">
        <f>IFERROR(__xludf.DUMMYFUNCTION("""COMPUTED_VALUE"""),42887.0)</f>
        <v>42887</v>
      </c>
      <c r="J313" s="10">
        <f>IFERROR(__xludf.DUMMYFUNCTION("""COMPUTED_VALUE"""),43983.0)</f>
        <v>43983</v>
      </c>
      <c r="K313" s="1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9" t="str">
        <f>IFERROR(__xludf.DUMMYFUNCTION("""COMPUTED_VALUE"""),"Trach")</f>
        <v>Trach</v>
      </c>
      <c r="B314" s="8" t="str">
        <f>IFERROR(__xludf.DUMMYFUNCTION("""COMPUTED_VALUE"""),"Roni")</f>
        <v>Roni</v>
      </c>
      <c r="C314" s="8" t="str">
        <f>IFERROR(__xludf.DUMMYFUNCTION("""COMPUTED_VALUE"""),"Bridgeville")</f>
        <v>Bridgeville</v>
      </c>
      <c r="D314" s="8" t="str">
        <f>IFERROR(__xludf.DUMMYFUNCTION("""COMPUTED_VALUE"""),"PA")</f>
        <v>PA</v>
      </c>
      <c r="E314" s="8" t="str">
        <f>IFERROR(__xludf.DUMMYFUNCTION("""COMPUTED_VALUE"""),"USA")</f>
        <v>USA</v>
      </c>
      <c r="F314" s="8" t="str">
        <f>IFERROR(__xludf.DUMMYFUNCTION("""COMPUTED_VALUE"""),"Womens Doubles Combo")</f>
        <v>Womens Doubles Combo</v>
      </c>
      <c r="G314" s="8" t="str">
        <f>IFERROR(__xludf.DUMMYFUNCTION("""COMPUTED_VALUE"""),"2nd")</f>
        <v>2nd</v>
      </c>
      <c r="H314" s="8" t="str">
        <f>IFERROR(__xludf.DUMMYFUNCTION("""COMPUTED_VALUE"""),"SC Regonal 32")</f>
        <v>SC Regonal 32</v>
      </c>
      <c r="I314" s="10">
        <f>IFERROR(__xludf.DUMMYFUNCTION("""COMPUTED_VALUE"""),42887.0)</f>
        <v>42887</v>
      </c>
      <c r="J314" s="10">
        <f>IFERROR(__xludf.DUMMYFUNCTION("""COMPUTED_VALUE"""),43983.0)</f>
        <v>43983</v>
      </c>
      <c r="K314" s="1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9" t="str">
        <f>IFERROR(__xludf.DUMMYFUNCTION("""COMPUTED_VALUE"""),"Troger")</f>
        <v>Troger</v>
      </c>
      <c r="B315" s="8" t="str">
        <f>IFERROR(__xludf.DUMMYFUNCTION("""COMPUTED_VALUE"""),"Daniela")</f>
        <v>Daniela</v>
      </c>
      <c r="C315" s="8" t="str">
        <f>IFERROR(__xludf.DUMMYFUNCTION("""COMPUTED_VALUE"""),"")</f>
        <v/>
      </c>
      <c r="D315" s="8" t="str">
        <f>IFERROR(__xludf.DUMMYFUNCTION("""COMPUTED_VALUE"""),"")</f>
        <v/>
      </c>
      <c r="E315" s="8" t="str">
        <f>IFERROR(__xludf.DUMMYFUNCTION("""COMPUTED_VALUE"""),"GERMANY")</f>
        <v>GERMANY</v>
      </c>
      <c r="F315" s="8" t="str">
        <f>IFERROR(__xludf.DUMMYFUNCTION("""COMPUTED_VALUE"""),"Women B 301 Doubles")</f>
        <v>Women B 301 Doubles</v>
      </c>
      <c r="G315" s="8" t="str">
        <f>IFERROR(__xludf.DUMMYFUNCTION("""COMPUTED_VALUE"""),"2nd")</f>
        <v>2nd</v>
      </c>
      <c r="H315" s="8" t="str">
        <f>IFERROR(__xludf.DUMMYFUNCTION("""COMPUTED_VALUE"""),"BullShooter 34 Finals")</f>
        <v>BullShooter 34 Finals</v>
      </c>
      <c r="I315" s="10">
        <f>IFERROR(__xludf.DUMMYFUNCTION("""COMPUTED_VALUE"""),43617.0)</f>
        <v>43617</v>
      </c>
      <c r="J315" s="10">
        <f>IFERROR(__xludf.DUMMYFUNCTION("""COMPUTED_VALUE"""),44713.0)</f>
        <v>44713</v>
      </c>
      <c r="K315" s="11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9" t="str">
        <f>IFERROR(__xludf.DUMMYFUNCTION("""COMPUTED_VALUE"""),"Turner")</f>
        <v>Turner</v>
      </c>
      <c r="B316" s="8" t="str">
        <f>IFERROR(__xludf.DUMMYFUNCTION("""COMPUTED_VALUE"""),"Bobby Jo")</f>
        <v>Bobby Jo</v>
      </c>
      <c r="C316" s="8" t="str">
        <f>IFERROR(__xludf.DUMMYFUNCTION("""COMPUTED_VALUE"""),"Canonsburg")</f>
        <v>Canonsburg</v>
      </c>
      <c r="D316" s="8" t="str">
        <f>IFERROR(__xludf.DUMMYFUNCTION("""COMPUTED_VALUE"""),"PA")</f>
        <v>PA</v>
      </c>
      <c r="E316" s="8" t="str">
        <f>IFERROR(__xludf.DUMMYFUNCTION("""COMPUTED_VALUE"""),"USA")</f>
        <v>USA</v>
      </c>
      <c r="F316" s="8" t="str">
        <f>IFERROR(__xludf.DUMMYFUNCTION("""COMPUTED_VALUE"""),"Women 301 Doubles")</f>
        <v>Women 301 Doubles</v>
      </c>
      <c r="G316" s="8" t="str">
        <f>IFERROR(__xludf.DUMMYFUNCTION("""COMPUTED_VALUE"""),"3rd")</f>
        <v>3rd</v>
      </c>
      <c r="H316" s="8" t="str">
        <f>IFERROR(__xludf.DUMMYFUNCTION("""COMPUTED_VALUE"""),"Ohio BS 34")</f>
        <v>Ohio BS 34</v>
      </c>
      <c r="I316" s="10">
        <f>IFERROR(__xludf.DUMMYFUNCTION("""COMPUTED_VALUE"""),43617.0)</f>
        <v>43617</v>
      </c>
      <c r="J316" s="10">
        <f>IFERROR(__xludf.DUMMYFUNCTION("""COMPUTED_VALUE"""),44713.0)</f>
        <v>44713</v>
      </c>
      <c r="K316" s="11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9" t="str">
        <f>IFERROR(__xludf.DUMMYFUNCTION("""COMPUTED_VALUE"""),"Uhinck")</f>
        <v>Uhinck</v>
      </c>
      <c r="B317" s="8" t="str">
        <f>IFERROR(__xludf.DUMMYFUNCTION("""COMPUTED_VALUE"""),"Marin")</f>
        <v>Marin</v>
      </c>
      <c r="C317" s="8" t="str">
        <f>IFERROR(__xludf.DUMMYFUNCTION("""COMPUTED_VALUE"""),"Marble Head")</f>
        <v>Marble Head</v>
      </c>
      <c r="D317" s="8" t="str">
        <f>IFERROR(__xludf.DUMMYFUNCTION("""COMPUTED_VALUE"""),"OH")</f>
        <v>OH</v>
      </c>
      <c r="E317" s="8" t="str">
        <f>IFERROR(__xludf.DUMMYFUNCTION("""COMPUTED_VALUE"""),"USA")</f>
        <v>USA</v>
      </c>
      <c r="F317" s="8" t="str">
        <f>IFERROR(__xludf.DUMMYFUNCTION("""COMPUTED_VALUE"""),"Women 301 Doubles")</f>
        <v>Women 301 Doubles</v>
      </c>
      <c r="G317" s="8" t="str">
        <f>IFERROR(__xludf.DUMMYFUNCTION("""COMPUTED_VALUE"""),"2nd")</f>
        <v>2nd</v>
      </c>
      <c r="H317" s="8" t="str">
        <f>IFERROR(__xludf.DUMMYFUNCTION("""COMPUTED_VALUE"""),"Ohio BS 34")</f>
        <v>Ohio BS 34</v>
      </c>
      <c r="I317" s="10">
        <f>IFERROR(__xludf.DUMMYFUNCTION("""COMPUTED_VALUE"""),43617.0)</f>
        <v>43617</v>
      </c>
      <c r="J317" s="10">
        <f>IFERROR(__xludf.DUMMYFUNCTION("""COMPUTED_VALUE"""),44713.0)</f>
        <v>44713</v>
      </c>
      <c r="K317" s="1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9" t="str">
        <f>IFERROR(__xludf.DUMMYFUNCTION("""COMPUTED_VALUE"""),"Van De Kasteele")</f>
        <v>Van De Kasteele</v>
      </c>
      <c r="B318" s="8" t="str">
        <f>IFERROR(__xludf.DUMMYFUNCTION("""COMPUTED_VALUE"""),"Diana")</f>
        <v>Diana</v>
      </c>
      <c r="C318" s="8" t="str">
        <f>IFERROR(__xludf.DUMMYFUNCTION("""COMPUTED_VALUE"""),"")</f>
        <v/>
      </c>
      <c r="D318" s="8" t="str">
        <f>IFERROR(__xludf.DUMMYFUNCTION("""COMPUTED_VALUE"""),"UNK")</f>
        <v>UNK</v>
      </c>
      <c r="E318" s="8" t="str">
        <f>IFERROR(__xludf.DUMMYFUNCTION("""COMPUTED_VALUE"""),"Holland")</f>
        <v>Holland</v>
      </c>
      <c r="F318" s="8" t="str">
        <f>IFERROR(__xludf.DUMMYFUNCTION("""COMPUTED_VALUE"""),"Womens A 501 Doubles")</f>
        <v>Womens A 501 Doubles</v>
      </c>
      <c r="G318" s="8" t="str">
        <f>IFERROR(__xludf.DUMMYFUNCTION("""COMPUTED_VALUE"""),"3rd")</f>
        <v>3rd</v>
      </c>
      <c r="H318" s="8" t="str">
        <f>IFERROR(__xludf.DUMMYFUNCTION("""COMPUTED_VALUE"""),"Off AA List")</f>
        <v>Off AA List</v>
      </c>
      <c r="I318" s="10">
        <f>IFERROR(__xludf.DUMMYFUNCTION("""COMPUTED_VALUE"""),42887.0)</f>
        <v>42887</v>
      </c>
      <c r="J318" s="10">
        <f>IFERROR(__xludf.DUMMYFUNCTION("""COMPUTED_VALUE"""),43983.0)</f>
        <v>43983</v>
      </c>
      <c r="K318" s="1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9" t="str">
        <f>IFERROR(__xludf.DUMMYFUNCTION("""COMPUTED_VALUE"""),"Van Der Pal")</f>
        <v>Van Der Pal</v>
      </c>
      <c r="B319" s="8" t="str">
        <f>IFERROR(__xludf.DUMMYFUNCTION("""COMPUTED_VALUE"""),"Eva")</f>
        <v>Eva</v>
      </c>
      <c r="C319" s="8" t="str">
        <f>IFERROR(__xludf.DUMMYFUNCTION("""COMPUTED_VALUE"""),"")</f>
        <v/>
      </c>
      <c r="D319" s="8" t="str">
        <f>IFERROR(__xludf.DUMMYFUNCTION("""COMPUTED_VALUE"""),"UNK")</f>
        <v>UNK</v>
      </c>
      <c r="E319" s="8" t="str">
        <f>IFERROR(__xludf.DUMMYFUNCTION("""COMPUTED_VALUE"""),"Holland")</f>
        <v>Holland</v>
      </c>
      <c r="F319" s="8" t="str">
        <f>IFERROR(__xludf.DUMMYFUNCTION("""COMPUTED_VALUE"""),"Womens A 501 Doubles")</f>
        <v>Womens A 501 Doubles</v>
      </c>
      <c r="G319" s="8" t="str">
        <f>IFERROR(__xludf.DUMMYFUNCTION("""COMPUTED_VALUE"""),"3rd")</f>
        <v>3rd</v>
      </c>
      <c r="H319" s="8" t="str">
        <f>IFERROR(__xludf.DUMMYFUNCTION("""COMPUTED_VALUE"""),"Off AA List")</f>
        <v>Off AA List</v>
      </c>
      <c r="I319" s="10">
        <f>IFERROR(__xludf.DUMMYFUNCTION("""COMPUTED_VALUE"""),42887.0)</f>
        <v>42887</v>
      </c>
      <c r="J319" s="10">
        <f>IFERROR(__xludf.DUMMYFUNCTION("""COMPUTED_VALUE"""),43983.0)</f>
        <v>43983</v>
      </c>
      <c r="K319" s="11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12" t="str">
        <f>IFERROR(__xludf.DUMMYFUNCTION("""COMPUTED_VALUE"""),"Van Houdt")</f>
        <v>Van Houdt</v>
      </c>
      <c r="B320" s="13" t="str">
        <f>IFERROR(__xludf.DUMMYFUNCTION("""COMPUTED_VALUE"""),"Casey")</f>
        <v>Casey</v>
      </c>
      <c r="C320" s="13" t="str">
        <f>IFERROR(__xludf.DUMMYFUNCTION("""COMPUTED_VALUE"""),"Waterville")</f>
        <v>Waterville</v>
      </c>
      <c r="D320" s="13" t="str">
        <f>IFERROR(__xludf.DUMMYFUNCTION("""COMPUTED_VALUE"""),"MN")</f>
        <v>MN</v>
      </c>
      <c r="E320" s="13" t="str">
        <f>IFERROR(__xludf.DUMMYFUNCTION("""COMPUTED_VALUE"""),"USA")</f>
        <v>USA</v>
      </c>
      <c r="F320" s="13" t="str">
        <f>IFERROR(__xludf.DUMMYFUNCTION("""COMPUTED_VALUE"""),"Womens Dbls Combo")</f>
        <v>Womens Dbls Combo</v>
      </c>
      <c r="G320" s="13" t="str">
        <f>IFERROR(__xludf.DUMMYFUNCTION("""COMPUTED_VALUE"""),"2nd")</f>
        <v>2nd</v>
      </c>
      <c r="H320" s="13" t="str">
        <f>IFERROR(__xludf.DUMMYFUNCTION("""COMPUTED_VALUE"""),"NE Regional 32")</f>
        <v>NE Regional 32</v>
      </c>
      <c r="I320" s="14">
        <f>IFERROR(__xludf.DUMMYFUNCTION("""COMPUTED_VALUE"""),42887.0)</f>
        <v>42887</v>
      </c>
      <c r="J320" s="14">
        <f>IFERROR(__xludf.DUMMYFUNCTION("""COMPUTED_VALUE"""),43983.0)</f>
        <v>43983</v>
      </c>
      <c r="K320" s="11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9" t="str">
        <f>IFERROR(__xludf.DUMMYFUNCTION("""COMPUTED_VALUE"""),"Van Kerkoerle")</f>
        <v>Van Kerkoerle</v>
      </c>
      <c r="B321" s="8" t="str">
        <f>IFERROR(__xludf.DUMMYFUNCTION("""COMPUTED_VALUE"""),"Betty")</f>
        <v>Betty</v>
      </c>
      <c r="C321" s="8" t="str">
        <f>IFERROR(__xludf.DUMMYFUNCTION("""COMPUTED_VALUE"""),"Kettering")</f>
        <v>Kettering</v>
      </c>
      <c r="D321" s="8" t="str">
        <f>IFERROR(__xludf.DUMMYFUNCTION("""COMPUTED_VALUE"""),"OH")</f>
        <v>OH</v>
      </c>
      <c r="E321" s="8" t="str">
        <f>IFERROR(__xludf.DUMMYFUNCTION("""COMPUTED_VALUE"""),"USA")</f>
        <v>USA</v>
      </c>
      <c r="F321" s="8" t="str">
        <f>IFERROR(__xludf.DUMMYFUNCTION("""COMPUTED_VALUE"""),"Womens Doubles Combo")</f>
        <v>Womens Doubles Combo</v>
      </c>
      <c r="G321" s="8" t="str">
        <f>IFERROR(__xludf.DUMMYFUNCTION("""COMPUTED_VALUE"""),"3rd")</f>
        <v>3rd</v>
      </c>
      <c r="H321" s="8" t="str">
        <f>IFERROR(__xludf.DUMMYFUNCTION("""COMPUTED_VALUE"""),"OH Regional 33")</f>
        <v>OH Regional 33</v>
      </c>
      <c r="I321" s="10">
        <f>IFERROR(__xludf.DUMMYFUNCTION("""COMPUTED_VALUE"""),43252.0)</f>
        <v>43252</v>
      </c>
      <c r="J321" s="10">
        <f>IFERROR(__xludf.DUMMYFUNCTION("""COMPUTED_VALUE"""),44348.0)</f>
        <v>44348</v>
      </c>
      <c r="K321" s="11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9" t="str">
        <f>IFERROR(__xludf.DUMMYFUNCTION("""COMPUTED_VALUE"""),"Vasenda")</f>
        <v>Vasenda</v>
      </c>
      <c r="B322" s="8" t="str">
        <f>IFERROR(__xludf.DUMMYFUNCTION("""COMPUTED_VALUE"""),"Jillian")</f>
        <v>Jillian</v>
      </c>
      <c r="C322" s="8" t="str">
        <f>IFERROR(__xludf.DUMMYFUNCTION("""COMPUTED_VALUE"""),"West Jordan")</f>
        <v>West Jordan</v>
      </c>
      <c r="D322" s="8" t="str">
        <f>IFERROR(__xludf.DUMMYFUNCTION("""COMPUTED_VALUE"""),"UT")</f>
        <v>UT</v>
      </c>
      <c r="E322" s="8" t="str">
        <f>IFERROR(__xludf.DUMMYFUNCTION("""COMPUTED_VALUE"""),"USA")</f>
        <v>USA</v>
      </c>
      <c r="F322" s="8" t="str">
        <f>IFERROR(__xludf.DUMMYFUNCTION("""COMPUTED_VALUE"""),"Womens Singles")</f>
        <v>Womens Singles</v>
      </c>
      <c r="G322" s="8" t="str">
        <f>IFERROR(__xludf.DUMMYFUNCTION("""COMPUTED_VALUE"""),"3rd")</f>
        <v>3rd</v>
      </c>
      <c r="H322" s="8" t="str">
        <f>IFERROR(__xludf.DUMMYFUNCTION("""COMPUTED_VALUE"""),"TX Regional 33")</f>
        <v>TX Regional 33</v>
      </c>
      <c r="I322" s="10">
        <f>IFERROR(__xludf.DUMMYFUNCTION("""COMPUTED_VALUE"""),43252.0)</f>
        <v>43252</v>
      </c>
      <c r="J322" s="10">
        <f>IFERROR(__xludf.DUMMYFUNCTION("""COMPUTED_VALUE"""),44348.0)</f>
        <v>44348</v>
      </c>
      <c r="K322" s="11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9" t="str">
        <f>IFERROR(__xludf.DUMMYFUNCTION("""COMPUTED_VALUE"""),"Vocaty")</f>
        <v>Vocaty</v>
      </c>
      <c r="B323" s="8" t="str">
        <f>IFERROR(__xludf.DUMMYFUNCTION("""COMPUTED_VALUE"""),"Carla")</f>
        <v>Carla</v>
      </c>
      <c r="C323" s="8" t="str">
        <f>IFERROR(__xludf.DUMMYFUNCTION("""COMPUTED_VALUE"""),"Plainfield")</f>
        <v>Plainfield</v>
      </c>
      <c r="D323" s="8" t="str">
        <f>IFERROR(__xludf.DUMMYFUNCTION("""COMPUTED_VALUE"""),"IL")</f>
        <v>IL</v>
      </c>
      <c r="E323" s="8" t="str">
        <f>IFERROR(__xludf.DUMMYFUNCTION("""COMPUTED_VALUE"""),"USA")</f>
        <v>USA</v>
      </c>
      <c r="F323" s="8" t="str">
        <f>IFERROR(__xludf.DUMMYFUNCTION("""COMPUTED_VALUE"""),"Womens Doubles")</f>
        <v>Womens Doubles</v>
      </c>
      <c r="G323" s="8" t="str">
        <f>IFERROR(__xludf.DUMMYFUNCTION("""COMPUTED_VALUE"""),"3rd")</f>
        <v>3rd</v>
      </c>
      <c r="H323" s="8" t="str">
        <f>IFERROR(__xludf.DUMMYFUNCTION("""COMPUTED_VALUE"""),"WI Regional 32")</f>
        <v>WI Regional 32</v>
      </c>
      <c r="I323" s="10">
        <f>IFERROR(__xludf.DUMMYFUNCTION("""COMPUTED_VALUE"""),42887.0)</f>
        <v>42887</v>
      </c>
      <c r="J323" s="10">
        <f>IFERROR(__xludf.DUMMYFUNCTION("""COMPUTED_VALUE"""),43983.0)</f>
        <v>43983</v>
      </c>
      <c r="K323" s="1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9" t="str">
        <f>IFERROR(__xludf.DUMMYFUNCTION("""COMPUTED_VALUE"""),"Wagnor")</f>
        <v>Wagnor</v>
      </c>
      <c r="B324" s="8" t="str">
        <f>IFERROR(__xludf.DUMMYFUNCTION("""COMPUTED_VALUE"""),"Crystal")</f>
        <v>Crystal</v>
      </c>
      <c r="C324" s="8" t="str">
        <f>IFERROR(__xludf.DUMMYFUNCTION("""COMPUTED_VALUE"""),"Union Mills")</f>
        <v>Union Mills</v>
      </c>
      <c r="D324" s="8" t="str">
        <f>IFERROR(__xludf.DUMMYFUNCTION("""COMPUTED_VALUE"""),"IN")</f>
        <v>IN</v>
      </c>
      <c r="E324" s="8" t="str">
        <f>IFERROR(__xludf.DUMMYFUNCTION("""COMPUTED_VALUE"""),"USA")</f>
        <v>USA</v>
      </c>
      <c r="F324" s="8" t="str">
        <f>IFERROR(__xludf.DUMMYFUNCTION("""COMPUTED_VALUE"""),"")</f>
        <v/>
      </c>
      <c r="G324" s="8" t="str">
        <f>IFERROR(__xludf.DUMMYFUNCTION("""COMPUTED_VALUE"""),"")</f>
        <v/>
      </c>
      <c r="H324" s="8" t="str">
        <f>IFERROR(__xludf.DUMMYFUNCTION("""COMPUTED_VALUE"""),"BS 30 Finals")</f>
        <v>BS 30 Finals</v>
      </c>
      <c r="I324" s="10">
        <f>IFERROR(__xludf.DUMMYFUNCTION("""COMPUTED_VALUE"""),43252.0)</f>
        <v>43252</v>
      </c>
      <c r="J324" s="10">
        <f>IFERROR(__xludf.DUMMYFUNCTION("""COMPUTED_VALUE"""),44348.0)</f>
        <v>44348</v>
      </c>
      <c r="K324" s="1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9" t="str">
        <f>IFERROR(__xludf.DUMMYFUNCTION("""COMPUTED_VALUE"""),"Wallace")</f>
        <v>Wallace</v>
      </c>
      <c r="B325" s="8" t="str">
        <f>IFERROR(__xludf.DUMMYFUNCTION("""COMPUTED_VALUE"""),"Laura")</f>
        <v>Laura</v>
      </c>
      <c r="C325" s="8" t="str">
        <f>IFERROR(__xludf.DUMMYFUNCTION("""COMPUTED_VALUE"""),"Adger")</f>
        <v>Adger</v>
      </c>
      <c r="D325" s="8" t="str">
        <f>IFERROR(__xludf.DUMMYFUNCTION("""COMPUTED_VALUE"""),"AL")</f>
        <v>AL</v>
      </c>
      <c r="E325" s="8" t="str">
        <f>IFERROR(__xludf.DUMMYFUNCTION("""COMPUTED_VALUE"""),"USA")</f>
        <v>USA</v>
      </c>
      <c r="F325" s="8" t="str">
        <f>IFERROR(__xludf.DUMMYFUNCTION("""COMPUTED_VALUE"""),"Womens Doubles")</f>
        <v>Womens Doubles</v>
      </c>
      <c r="G325" s="8" t="str">
        <f>IFERROR(__xludf.DUMMYFUNCTION("""COMPUTED_VALUE"""),"1st")</f>
        <v>1st</v>
      </c>
      <c r="H325" s="8" t="str">
        <f>IFERROR(__xludf.DUMMYFUNCTION("""COMPUTED_VALUE"""),"GA Regional 33")</f>
        <v>GA Regional 33</v>
      </c>
      <c r="I325" s="10">
        <f>IFERROR(__xludf.DUMMYFUNCTION("""COMPUTED_VALUE"""),43252.0)</f>
        <v>43252</v>
      </c>
      <c r="J325" s="10">
        <f>IFERROR(__xludf.DUMMYFUNCTION("""COMPUTED_VALUE"""),44348.0)</f>
        <v>44348</v>
      </c>
      <c r="K325" s="11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9" t="str">
        <f>IFERROR(__xludf.DUMMYFUNCTION("""COMPUTED_VALUE"""),"Washington")</f>
        <v>Washington</v>
      </c>
      <c r="B326" s="8" t="str">
        <f>IFERROR(__xludf.DUMMYFUNCTION("""COMPUTED_VALUE"""),"Dawn")</f>
        <v>Dawn</v>
      </c>
      <c r="C326" s="8" t="str">
        <f>IFERROR(__xludf.DUMMYFUNCTION("""COMPUTED_VALUE"""),"Houston")</f>
        <v>Houston</v>
      </c>
      <c r="D326" s="8" t="str">
        <f>IFERROR(__xludf.DUMMYFUNCTION("""COMPUTED_VALUE"""),"TX")</f>
        <v>TX</v>
      </c>
      <c r="E326" s="8" t="str">
        <f>IFERROR(__xludf.DUMMYFUNCTION("""COMPUTED_VALUE"""),"USA")</f>
        <v>USA</v>
      </c>
      <c r="F326" s="8" t="str">
        <f>IFERROR(__xludf.DUMMYFUNCTION("""COMPUTED_VALUE"""),"Womens Doubles")</f>
        <v>Womens Doubles</v>
      </c>
      <c r="G326" s="8" t="str">
        <f>IFERROR(__xludf.DUMMYFUNCTION("""COMPUTED_VALUE"""),"1st")</f>
        <v>1st</v>
      </c>
      <c r="H326" s="8" t="str">
        <f>IFERROR(__xludf.DUMMYFUNCTION("""COMPUTED_VALUE"""),"TX Regional 33")</f>
        <v>TX Regional 33</v>
      </c>
      <c r="I326" s="10">
        <f>IFERROR(__xludf.DUMMYFUNCTION("""COMPUTED_VALUE"""),43252.0)</f>
        <v>43252</v>
      </c>
      <c r="J326" s="10">
        <f>IFERROR(__xludf.DUMMYFUNCTION("""COMPUTED_VALUE"""),44348.0)</f>
        <v>44348</v>
      </c>
      <c r="K326" s="11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9" t="str">
        <f>IFERROR(__xludf.DUMMYFUNCTION("""COMPUTED_VALUE"""),"Waters")</f>
        <v>Waters</v>
      </c>
      <c r="B327" s="8" t="str">
        <f>IFERROR(__xludf.DUMMYFUNCTION("""COMPUTED_VALUE"""),"Tiffany")</f>
        <v>Tiffany</v>
      </c>
      <c r="C327" s="8" t="str">
        <f>IFERROR(__xludf.DUMMYFUNCTION("""COMPUTED_VALUE"""),"Jacksonville")</f>
        <v>Jacksonville</v>
      </c>
      <c r="D327" s="8" t="str">
        <f>IFERROR(__xludf.DUMMYFUNCTION("""COMPUTED_VALUE"""),"FL")</f>
        <v>FL</v>
      </c>
      <c r="E327" s="8" t="str">
        <f>IFERROR(__xludf.DUMMYFUNCTION("""COMPUTED_VALUE"""),"USA")</f>
        <v>USA</v>
      </c>
      <c r="F327" s="8" t="str">
        <f>IFERROR(__xludf.DUMMYFUNCTION("""COMPUTED_VALUE"""),"Women 301 Doubles")</f>
        <v>Women 301 Doubles</v>
      </c>
      <c r="G327" s="8" t="str">
        <f>IFERROR(__xludf.DUMMYFUNCTION("""COMPUTED_VALUE"""),"3rd")</f>
        <v>3rd</v>
      </c>
      <c r="H327" s="8" t="str">
        <f>IFERROR(__xludf.DUMMYFUNCTION("""COMPUTED_VALUE"""),"Georgia BS 34")</f>
        <v>Georgia BS 34</v>
      </c>
      <c r="I327" s="10">
        <f>IFERROR(__xludf.DUMMYFUNCTION("""COMPUTED_VALUE"""),43617.0)</f>
        <v>43617</v>
      </c>
      <c r="J327" s="10">
        <f>IFERROR(__xludf.DUMMYFUNCTION("""COMPUTED_VALUE"""),44713.0)</f>
        <v>44713</v>
      </c>
      <c r="K327" s="1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9" t="str">
        <f>IFERROR(__xludf.DUMMYFUNCTION("""COMPUTED_VALUE"""),"Watson")</f>
        <v>Watson</v>
      </c>
      <c r="B328" s="8" t="str">
        <f>IFERROR(__xludf.DUMMYFUNCTION("""COMPUTED_VALUE"""),"Megan")</f>
        <v>Megan</v>
      </c>
      <c r="C328" s="8" t="str">
        <f>IFERROR(__xludf.DUMMYFUNCTION("""COMPUTED_VALUE"""),"Spring Hill")</f>
        <v>Spring Hill</v>
      </c>
      <c r="D328" s="8" t="str">
        <f>IFERROR(__xludf.DUMMYFUNCTION("""COMPUTED_VALUE"""),"FL")</f>
        <v>FL</v>
      </c>
      <c r="E328" s="8" t="str">
        <f>IFERROR(__xludf.DUMMYFUNCTION("""COMPUTED_VALUE"""),"USA")</f>
        <v>USA</v>
      </c>
      <c r="F328" s="8" t="str">
        <f>IFERROR(__xludf.DUMMYFUNCTION("""COMPUTED_VALUE"""),"Womens B Luck")</f>
        <v>Womens B Luck</v>
      </c>
      <c r="G328" s="8" t="str">
        <f>IFERROR(__xludf.DUMMYFUNCTION("""COMPUTED_VALUE"""),"4th")</f>
        <v>4th</v>
      </c>
      <c r="H328" s="8" t="str">
        <f>IFERROR(__xludf.DUMMYFUNCTION("""COMPUTED_VALUE"""),"BS 33 Finals")</f>
        <v>BS 33 Finals</v>
      </c>
      <c r="I328" s="10">
        <f>IFERROR(__xludf.DUMMYFUNCTION("""COMPUTED_VALUE"""),43252.0)</f>
        <v>43252</v>
      </c>
      <c r="J328" s="10">
        <f>IFERROR(__xludf.DUMMYFUNCTION("""COMPUTED_VALUE"""),44348.0)</f>
        <v>44348</v>
      </c>
      <c r="K328" s="1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9" t="str">
        <f>IFERROR(__xludf.DUMMYFUNCTION("""COMPUTED_VALUE"""),"Welty")</f>
        <v>Welty</v>
      </c>
      <c r="B329" s="8" t="str">
        <f>IFERROR(__xludf.DUMMYFUNCTION("""COMPUTED_VALUE"""),"Celena")</f>
        <v>Celena</v>
      </c>
      <c r="C329" s="8" t="str">
        <f>IFERROR(__xludf.DUMMYFUNCTION("""COMPUTED_VALUE"""),"Littletown")</f>
        <v>Littletown</v>
      </c>
      <c r="D329" s="8" t="str">
        <f>IFERROR(__xludf.DUMMYFUNCTION("""COMPUTED_VALUE"""),"PA")</f>
        <v>PA</v>
      </c>
      <c r="E329" s="8" t="str">
        <f>IFERROR(__xludf.DUMMYFUNCTION("""COMPUTED_VALUE"""),"USA")</f>
        <v>USA</v>
      </c>
      <c r="F329" s="8" t="str">
        <f>IFERROR(__xludf.DUMMYFUNCTION("""COMPUTED_VALUE"""),"Women 301 Doubles")</f>
        <v>Women 301 Doubles</v>
      </c>
      <c r="G329" s="8" t="str">
        <f>IFERROR(__xludf.DUMMYFUNCTION("""COMPUTED_VALUE"""),"1st")</f>
        <v>1st</v>
      </c>
      <c r="H329" s="8" t="str">
        <f>IFERROR(__xludf.DUMMYFUNCTION("""COMPUTED_VALUE"""),"Pennsylvania BS 34")</f>
        <v>Pennsylvania BS 34</v>
      </c>
      <c r="I329" s="10">
        <f>IFERROR(__xludf.DUMMYFUNCTION("""COMPUTED_VALUE"""),43617.0)</f>
        <v>43617</v>
      </c>
      <c r="J329" s="10">
        <f>IFERROR(__xludf.DUMMYFUNCTION("""COMPUTED_VALUE"""),44713.0)</f>
        <v>44713</v>
      </c>
      <c r="K329" s="11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9" t="str">
        <f>IFERROR(__xludf.DUMMYFUNCTION("""COMPUTED_VALUE"""),"White")</f>
        <v>White</v>
      </c>
      <c r="B330" s="8" t="str">
        <f>IFERROR(__xludf.DUMMYFUNCTION("""COMPUTED_VALUE"""),"Kayli")</f>
        <v>Kayli</v>
      </c>
      <c r="C330" s="8" t="str">
        <f>IFERROR(__xludf.DUMMYFUNCTION("""COMPUTED_VALUE"""),"DeKalb")</f>
        <v>DeKalb</v>
      </c>
      <c r="D330" s="8" t="str">
        <f>IFERROR(__xludf.DUMMYFUNCTION("""COMPUTED_VALUE"""),"IL")</f>
        <v>IL</v>
      </c>
      <c r="E330" s="8" t="str">
        <f>IFERROR(__xludf.DUMMYFUNCTION("""COMPUTED_VALUE"""),"USA")</f>
        <v>USA</v>
      </c>
      <c r="F330" s="8" t="str">
        <f>IFERROR(__xludf.DUMMYFUNCTION("""COMPUTED_VALUE"""),"Womens Doubles")</f>
        <v>Womens Doubles</v>
      </c>
      <c r="G330" s="8" t="str">
        <f>IFERROR(__xludf.DUMMYFUNCTION("""COMPUTED_VALUE"""),"3rd")</f>
        <v>3rd</v>
      </c>
      <c r="H330" s="8" t="str">
        <f>IFERROR(__xludf.DUMMYFUNCTION("""COMPUTED_VALUE"""),"WI Regional 32")</f>
        <v>WI Regional 32</v>
      </c>
      <c r="I330" s="10">
        <f>IFERROR(__xludf.DUMMYFUNCTION("""COMPUTED_VALUE"""),42887.0)</f>
        <v>42887</v>
      </c>
      <c r="J330" s="10">
        <f>IFERROR(__xludf.DUMMYFUNCTION("""COMPUTED_VALUE"""),43983.0)</f>
        <v>43983</v>
      </c>
      <c r="K330" s="11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9" t="str">
        <f>IFERROR(__xludf.DUMMYFUNCTION("""COMPUTED_VALUE"""),"White")</f>
        <v>White</v>
      </c>
      <c r="B331" s="8" t="str">
        <f>IFERROR(__xludf.DUMMYFUNCTION("""COMPUTED_VALUE"""),"Laurie")</f>
        <v>Laurie</v>
      </c>
      <c r="C331" s="8" t="str">
        <f>IFERROR(__xludf.DUMMYFUNCTION("""COMPUTED_VALUE"""),"Newark")</f>
        <v>Newark</v>
      </c>
      <c r="D331" s="8" t="str">
        <f>IFERROR(__xludf.DUMMYFUNCTION("""COMPUTED_VALUE"""),"OH")</f>
        <v>OH</v>
      </c>
      <c r="E331" s="8" t="str">
        <f>IFERROR(__xludf.DUMMYFUNCTION("""COMPUTED_VALUE"""),"USA")</f>
        <v>USA</v>
      </c>
      <c r="F331" s="8" t="str">
        <f>IFERROR(__xludf.DUMMYFUNCTION("""COMPUTED_VALUE"""),"Top Gun Mixed Triples")</f>
        <v>Top Gun Mixed Triples</v>
      </c>
      <c r="G331" s="8" t="str">
        <f>IFERROR(__xludf.DUMMYFUNCTION("""COMPUTED_VALUE"""),"3rd/4th")</f>
        <v>3rd/4th</v>
      </c>
      <c r="H331" s="8" t="str">
        <f>IFERROR(__xludf.DUMMYFUNCTION("""COMPUTED_VALUE"""),"BullShooter 32")</f>
        <v>BullShooter 32</v>
      </c>
      <c r="I331" s="10">
        <f>IFERROR(__xludf.DUMMYFUNCTION("""COMPUTED_VALUE"""),42887.0)</f>
        <v>42887</v>
      </c>
      <c r="J331" s="10">
        <f>IFERROR(__xludf.DUMMYFUNCTION("""COMPUTED_VALUE"""),43983.0)</f>
        <v>43983</v>
      </c>
      <c r="K331" s="11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9" t="str">
        <f>IFERROR(__xludf.DUMMYFUNCTION("""COMPUTED_VALUE"""),"Whitley")</f>
        <v>Whitley</v>
      </c>
      <c r="B332" s="8" t="str">
        <f>IFERROR(__xludf.DUMMYFUNCTION("""COMPUTED_VALUE"""),"Brenda")</f>
        <v>Brenda</v>
      </c>
      <c r="C332" s="8" t="str">
        <f>IFERROR(__xludf.DUMMYFUNCTION("""COMPUTED_VALUE"""),"Henderson")</f>
        <v>Henderson</v>
      </c>
      <c r="D332" s="8" t="str">
        <f>IFERROR(__xludf.DUMMYFUNCTION("""COMPUTED_VALUE"""),"NC")</f>
        <v>NC</v>
      </c>
      <c r="E332" s="8" t="str">
        <f>IFERROR(__xludf.DUMMYFUNCTION("""COMPUTED_VALUE"""),"USA")</f>
        <v>USA</v>
      </c>
      <c r="F332" s="8" t="str">
        <f>IFERROR(__xludf.DUMMYFUNCTION("""COMPUTED_VALUE"""),"Women 301 Doubles")</f>
        <v>Women 301 Doubles</v>
      </c>
      <c r="G332" s="8" t="str">
        <f>IFERROR(__xludf.DUMMYFUNCTION("""COMPUTED_VALUE"""),"1st")</f>
        <v>1st</v>
      </c>
      <c r="H332" s="8" t="str">
        <f>IFERROR(__xludf.DUMMYFUNCTION("""COMPUTED_VALUE"""),"South Carolina BS 34")</f>
        <v>South Carolina BS 34</v>
      </c>
      <c r="I332" s="10">
        <f>IFERROR(__xludf.DUMMYFUNCTION("""COMPUTED_VALUE"""),43617.0)</f>
        <v>43617</v>
      </c>
      <c r="J332" s="10">
        <f>IFERROR(__xludf.DUMMYFUNCTION("""COMPUTED_VALUE"""),44713.0)</f>
        <v>44713</v>
      </c>
      <c r="K332" s="11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9" t="str">
        <f>IFERROR(__xludf.DUMMYFUNCTION("""COMPUTED_VALUE"""),"Whitson")</f>
        <v>Whitson</v>
      </c>
      <c r="B333" s="8" t="str">
        <f>IFERROR(__xludf.DUMMYFUNCTION("""COMPUTED_VALUE"""),"Wendi")</f>
        <v>Wendi</v>
      </c>
      <c r="C333" s="8" t="str">
        <f>IFERROR(__xludf.DUMMYFUNCTION("""COMPUTED_VALUE"""),"Leeds")</f>
        <v>Leeds</v>
      </c>
      <c r="D333" s="8" t="str">
        <f>IFERROR(__xludf.DUMMYFUNCTION("""COMPUTED_VALUE"""),"AL")</f>
        <v>AL</v>
      </c>
      <c r="E333" s="8" t="str">
        <f>IFERROR(__xludf.DUMMYFUNCTION("""COMPUTED_VALUE"""),"USA")</f>
        <v>USA</v>
      </c>
      <c r="F333" s="8" t="str">
        <f>IFERROR(__xludf.DUMMYFUNCTION("""COMPUTED_VALUE"""),"Women Combo Singles")</f>
        <v>Women Combo Singles</v>
      </c>
      <c r="G333" s="8" t="str">
        <f>IFERROR(__xludf.DUMMYFUNCTION("""COMPUTED_VALUE"""),"3rd")</f>
        <v>3rd</v>
      </c>
      <c r="H333" s="8" t="str">
        <f>IFERROR(__xludf.DUMMYFUNCTION("""COMPUTED_VALUE"""),"Georgia BS 34")</f>
        <v>Georgia BS 34</v>
      </c>
      <c r="I333" s="10">
        <f>IFERROR(__xludf.DUMMYFUNCTION("""COMPUTED_VALUE"""),43617.0)</f>
        <v>43617</v>
      </c>
      <c r="J333" s="10">
        <f>IFERROR(__xludf.DUMMYFUNCTION("""COMPUTED_VALUE"""),44713.0)</f>
        <v>44713</v>
      </c>
      <c r="K333" s="1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9" t="str">
        <f>IFERROR(__xludf.DUMMYFUNCTION("""COMPUTED_VALUE"""),"Wickersham")</f>
        <v>Wickersham</v>
      </c>
      <c r="B334" s="8" t="str">
        <f>IFERROR(__xludf.DUMMYFUNCTION("""COMPUTED_VALUE"""),"Teresa")</f>
        <v>Teresa</v>
      </c>
      <c r="C334" s="8" t="str">
        <f>IFERROR(__xludf.DUMMYFUNCTION("""COMPUTED_VALUE"""),"McQueeney")</f>
        <v>McQueeney</v>
      </c>
      <c r="D334" s="8" t="str">
        <f>IFERROR(__xludf.DUMMYFUNCTION("""COMPUTED_VALUE"""),"TX")</f>
        <v>TX</v>
      </c>
      <c r="E334" s="8" t="str">
        <f>IFERROR(__xludf.DUMMYFUNCTION("""COMPUTED_VALUE"""),"USA")</f>
        <v>USA</v>
      </c>
      <c r="F334" s="8" t="str">
        <f>IFERROR(__xludf.DUMMYFUNCTION("""COMPUTED_VALUE"""),"Women Combo Doubles")</f>
        <v>Women Combo Doubles</v>
      </c>
      <c r="G334" s="8" t="str">
        <f>IFERROR(__xludf.DUMMYFUNCTION("""COMPUTED_VALUE"""),"3rd")</f>
        <v>3rd</v>
      </c>
      <c r="H334" s="8" t="str">
        <f>IFERROR(__xludf.DUMMYFUNCTION("""COMPUTED_VALUE"""),"Texas BS 34")</f>
        <v>Texas BS 34</v>
      </c>
      <c r="I334" s="10">
        <f>IFERROR(__xludf.DUMMYFUNCTION("""COMPUTED_VALUE"""),43617.0)</f>
        <v>43617</v>
      </c>
      <c r="J334" s="10">
        <f>IFERROR(__xludf.DUMMYFUNCTION("""COMPUTED_VALUE"""),44713.0)</f>
        <v>44713</v>
      </c>
      <c r="K334" s="1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9" t="str">
        <f>IFERROR(__xludf.DUMMYFUNCTION("""COMPUTED_VALUE"""),"Windona")</f>
        <v>Windona</v>
      </c>
      <c r="B335" s="8" t="str">
        <f>IFERROR(__xludf.DUMMYFUNCTION("""COMPUTED_VALUE"""),"Dawn")</f>
        <v>Dawn</v>
      </c>
      <c r="C335" s="8" t="str">
        <f>IFERROR(__xludf.DUMMYFUNCTION("""COMPUTED_VALUE"""),"Houston")</f>
        <v>Houston</v>
      </c>
      <c r="D335" s="8" t="str">
        <f>IFERROR(__xludf.DUMMYFUNCTION("""COMPUTED_VALUE"""),"TX")</f>
        <v>TX</v>
      </c>
      <c r="E335" s="8" t="str">
        <f>IFERROR(__xludf.DUMMYFUNCTION("""COMPUTED_VALUE"""),"USA")</f>
        <v>USA</v>
      </c>
      <c r="F335" s="8" t="str">
        <f>IFERROR(__xludf.DUMMYFUNCTION("""COMPUTED_VALUE"""),"")</f>
        <v/>
      </c>
      <c r="G335" s="8" t="str">
        <f>IFERROR(__xludf.DUMMYFUNCTION("""COMPUTED_VALUE"""),"")</f>
        <v/>
      </c>
      <c r="H335" s="8" t="str">
        <f>IFERROR(__xludf.DUMMYFUNCTION("""COMPUTED_VALUE"""),"BS 30 Finals")</f>
        <v>BS 30 Finals</v>
      </c>
      <c r="I335" s="10">
        <f>IFERROR(__xludf.DUMMYFUNCTION("""COMPUTED_VALUE"""),43252.0)</f>
        <v>43252</v>
      </c>
      <c r="J335" s="10">
        <f>IFERROR(__xludf.DUMMYFUNCTION("""COMPUTED_VALUE"""),44348.0)</f>
        <v>44348</v>
      </c>
      <c r="K335" s="11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9" t="str">
        <f>IFERROR(__xludf.DUMMYFUNCTION("""COMPUTED_VALUE"""),"Womack")</f>
        <v>Womack</v>
      </c>
      <c r="B336" s="8" t="str">
        <f>IFERROR(__xludf.DUMMYFUNCTION("""COMPUTED_VALUE"""),"Kandi")</f>
        <v>Kandi</v>
      </c>
      <c r="C336" s="8" t="str">
        <f>IFERROR(__xludf.DUMMYFUNCTION("""COMPUTED_VALUE"""),"Dalzell")</f>
        <v>Dalzell</v>
      </c>
      <c r="D336" s="8" t="str">
        <f>IFERROR(__xludf.DUMMYFUNCTION("""COMPUTED_VALUE"""),"SC")</f>
        <v>SC</v>
      </c>
      <c r="E336" s="8" t="str">
        <f>IFERROR(__xludf.DUMMYFUNCTION("""COMPUTED_VALUE"""),"USA")</f>
        <v>USA</v>
      </c>
      <c r="F336" s="8" t="str">
        <f>IFERROR(__xludf.DUMMYFUNCTION("""COMPUTED_VALUE"""),"Women Combo Doubles")</f>
        <v>Women Combo Doubles</v>
      </c>
      <c r="G336" s="8" t="str">
        <f>IFERROR(__xludf.DUMMYFUNCTION("""COMPUTED_VALUE"""),"3rd")</f>
        <v>3rd</v>
      </c>
      <c r="H336" s="8" t="str">
        <f>IFERROR(__xludf.DUMMYFUNCTION("""COMPUTED_VALUE"""),"South Carolina BS 34")</f>
        <v>South Carolina BS 34</v>
      </c>
      <c r="I336" s="10">
        <f>IFERROR(__xludf.DUMMYFUNCTION("""COMPUTED_VALUE"""),43617.0)</f>
        <v>43617</v>
      </c>
      <c r="J336" s="10">
        <f>IFERROR(__xludf.DUMMYFUNCTION("""COMPUTED_VALUE"""),44713.0)</f>
        <v>44713</v>
      </c>
      <c r="K336" s="11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9" t="str">
        <f>IFERROR(__xludf.DUMMYFUNCTION("""COMPUTED_VALUE"""),"Womble")</f>
        <v>Womble</v>
      </c>
      <c r="B337" s="8" t="str">
        <f>IFERROR(__xludf.DUMMYFUNCTION("""COMPUTED_VALUE"""),"Robin")</f>
        <v>Robin</v>
      </c>
      <c r="C337" s="8" t="str">
        <f>IFERROR(__xludf.DUMMYFUNCTION("""COMPUTED_VALUE"""),"Menasha")</f>
        <v>Menasha</v>
      </c>
      <c r="D337" s="8" t="str">
        <f>IFERROR(__xludf.DUMMYFUNCTION("""COMPUTED_VALUE"""),"WI")</f>
        <v>WI</v>
      </c>
      <c r="E337" s="8" t="str">
        <f>IFERROR(__xludf.DUMMYFUNCTION("""COMPUTED_VALUE"""),"USA")</f>
        <v>USA</v>
      </c>
      <c r="F337" s="8" t="str">
        <f>IFERROR(__xludf.DUMMYFUNCTION("""COMPUTED_VALUE"""),"Top Gun Triples")</f>
        <v>Top Gun Triples</v>
      </c>
      <c r="G337" s="8" t="str">
        <f>IFERROR(__xludf.DUMMYFUNCTION("""COMPUTED_VALUE"""),"3rd")</f>
        <v>3rd</v>
      </c>
      <c r="H337" s="8" t="str">
        <f>IFERROR(__xludf.DUMMYFUNCTION("""COMPUTED_VALUE"""),"BS 33 Finals")</f>
        <v>BS 33 Finals</v>
      </c>
      <c r="I337" s="10">
        <f>IFERROR(__xludf.DUMMYFUNCTION("""COMPUTED_VALUE"""),43252.0)</f>
        <v>43252</v>
      </c>
      <c r="J337" s="10">
        <f>IFERROR(__xludf.DUMMYFUNCTION("""COMPUTED_VALUE"""),44348.0)</f>
        <v>44348</v>
      </c>
      <c r="K337" s="1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9" t="str">
        <f>IFERROR(__xludf.DUMMYFUNCTION("""COMPUTED_VALUE"""),"Womble")</f>
        <v>Womble</v>
      </c>
      <c r="B338" s="8" t="str">
        <f>IFERROR(__xludf.DUMMYFUNCTION("""COMPUTED_VALUE"""),"Marquise")</f>
        <v>Marquise</v>
      </c>
      <c r="C338" s="8" t="str">
        <f>IFERROR(__xludf.DUMMYFUNCTION("""COMPUTED_VALUE"""),"Menasha")</f>
        <v>Menasha</v>
      </c>
      <c r="D338" s="8" t="str">
        <f>IFERROR(__xludf.DUMMYFUNCTION("""COMPUTED_VALUE"""),"WI")</f>
        <v>WI</v>
      </c>
      <c r="E338" s="8" t="str">
        <f>IFERROR(__xludf.DUMMYFUNCTION("""COMPUTED_VALUE"""),"USA")</f>
        <v>USA</v>
      </c>
      <c r="F338" s="8" t="str">
        <f>IFERROR(__xludf.DUMMYFUNCTION("""COMPUTED_VALUE"""),"Women B Combo Luck")</f>
        <v>Women B Combo Luck</v>
      </c>
      <c r="G338" s="8" t="str">
        <f>IFERROR(__xludf.DUMMYFUNCTION("""COMPUTED_VALUE"""),"4th")</f>
        <v>4th</v>
      </c>
      <c r="H338" s="8" t="str">
        <f>IFERROR(__xludf.DUMMYFUNCTION("""COMPUTED_VALUE"""),"BullShooter 34 Finals")</f>
        <v>BullShooter 34 Finals</v>
      </c>
      <c r="I338" s="10">
        <f>IFERROR(__xludf.DUMMYFUNCTION("""COMPUTED_VALUE"""),43617.0)</f>
        <v>43617</v>
      </c>
      <c r="J338" s="10">
        <f>IFERROR(__xludf.DUMMYFUNCTION("""COMPUTED_VALUE"""),44713.0)</f>
        <v>44713</v>
      </c>
      <c r="K338" s="1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9" t="str">
        <f>IFERROR(__xludf.DUMMYFUNCTION("""COMPUTED_VALUE"""),"Wright")</f>
        <v>Wright</v>
      </c>
      <c r="B339" s="8" t="str">
        <f>IFERROR(__xludf.DUMMYFUNCTION("""COMPUTED_VALUE"""),"Angela")</f>
        <v>Angela</v>
      </c>
      <c r="C339" s="8" t="str">
        <f>IFERROR(__xludf.DUMMYFUNCTION("""COMPUTED_VALUE"""),"Walton")</f>
        <v>Walton</v>
      </c>
      <c r="D339" s="8" t="str">
        <f>IFERROR(__xludf.DUMMYFUNCTION("""COMPUTED_VALUE"""),"KY")</f>
        <v>KY</v>
      </c>
      <c r="E339" s="8" t="str">
        <f>IFERROR(__xludf.DUMMYFUNCTION("""COMPUTED_VALUE"""),"USA")</f>
        <v>USA</v>
      </c>
      <c r="F339" s="8" t="str">
        <f>IFERROR(__xludf.DUMMYFUNCTION("""COMPUTED_VALUE"""),"Womens Doubles")</f>
        <v>Womens Doubles</v>
      </c>
      <c r="G339" s="8" t="str">
        <f>IFERROR(__xludf.DUMMYFUNCTION("""COMPUTED_VALUE"""),"1st")</f>
        <v>1st</v>
      </c>
      <c r="H339" s="8" t="str">
        <f>IFERROR(__xludf.DUMMYFUNCTION("""COMPUTED_VALUE"""),"IN Regional 32")</f>
        <v>IN Regional 32</v>
      </c>
      <c r="I339" s="10">
        <f>IFERROR(__xludf.DUMMYFUNCTION("""COMPUTED_VALUE"""),42887.0)</f>
        <v>42887</v>
      </c>
      <c r="J339" s="10">
        <f>IFERROR(__xludf.DUMMYFUNCTION("""COMPUTED_VALUE"""),43983.0)</f>
        <v>43983</v>
      </c>
      <c r="K339" s="11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9" t="str">
        <f>IFERROR(__xludf.DUMMYFUNCTION("""COMPUTED_VALUE"""),"Wright")</f>
        <v>Wright</v>
      </c>
      <c r="B340" s="8" t="str">
        <f>IFERROR(__xludf.DUMMYFUNCTION("""COMPUTED_VALUE"""),"Sherry")</f>
        <v>Sherry</v>
      </c>
      <c r="C340" s="8" t="str">
        <f>IFERROR(__xludf.DUMMYFUNCTION("""COMPUTED_VALUE"""),"Taylor Mill")</f>
        <v>Taylor Mill</v>
      </c>
      <c r="D340" s="8" t="str">
        <f>IFERROR(__xludf.DUMMYFUNCTION("""COMPUTED_VALUE"""),"KY")</f>
        <v>KY</v>
      </c>
      <c r="E340" s="8" t="str">
        <f>IFERROR(__xludf.DUMMYFUNCTION("""COMPUTED_VALUE"""),"USA")</f>
        <v>USA</v>
      </c>
      <c r="F340" s="8" t="str">
        <f>IFERROR(__xludf.DUMMYFUNCTION("""COMPUTED_VALUE"""),"Womens Doubles")</f>
        <v>Womens Doubles</v>
      </c>
      <c r="G340" s="8" t="str">
        <f>IFERROR(__xludf.DUMMYFUNCTION("""COMPUTED_VALUE"""),"1st")</f>
        <v>1st</v>
      </c>
      <c r="H340" s="8" t="str">
        <f>IFERROR(__xludf.DUMMYFUNCTION("""COMPUTED_VALUE"""),"IN Regional 32")</f>
        <v>IN Regional 32</v>
      </c>
      <c r="I340" s="10">
        <f>IFERROR(__xludf.DUMMYFUNCTION("""COMPUTED_VALUE"""),42887.0)</f>
        <v>42887</v>
      </c>
      <c r="J340" s="10">
        <f>IFERROR(__xludf.DUMMYFUNCTION("""COMPUTED_VALUE"""),43983.0)</f>
        <v>43983</v>
      </c>
      <c r="K340" s="11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9" t="str">
        <f>IFERROR(__xludf.DUMMYFUNCTION("""COMPUTED_VALUE"""),"Wyatt")</f>
        <v>Wyatt</v>
      </c>
      <c r="B341" s="8" t="str">
        <f>IFERROR(__xludf.DUMMYFUNCTION("""COMPUTED_VALUE"""),"Amber")</f>
        <v>Amber</v>
      </c>
      <c r="C341" s="8" t="str">
        <f>IFERROR(__xludf.DUMMYFUNCTION("""COMPUTED_VALUE"""),"Jacksonville")</f>
        <v>Jacksonville</v>
      </c>
      <c r="D341" s="8" t="str">
        <f>IFERROR(__xludf.DUMMYFUNCTION("""COMPUTED_VALUE"""),"FL")</f>
        <v>FL</v>
      </c>
      <c r="E341" s="8" t="str">
        <f>IFERROR(__xludf.DUMMYFUNCTION("""COMPUTED_VALUE"""),"USA")</f>
        <v>USA</v>
      </c>
      <c r="F341" s="8" t="str">
        <f>IFERROR(__xludf.DUMMYFUNCTION("""COMPUTED_VALUE"""),"Women 301 Doubles")</f>
        <v>Women 301 Doubles</v>
      </c>
      <c r="G341" s="8" t="str">
        <f>IFERROR(__xludf.DUMMYFUNCTION("""COMPUTED_VALUE"""),"3rd")</f>
        <v>3rd</v>
      </c>
      <c r="H341" s="8" t="str">
        <f>IFERROR(__xludf.DUMMYFUNCTION("""COMPUTED_VALUE"""),"South Carolina BS 34")</f>
        <v>South Carolina BS 34</v>
      </c>
      <c r="I341" s="10">
        <f>IFERROR(__xludf.DUMMYFUNCTION("""COMPUTED_VALUE"""),43617.0)</f>
        <v>43617</v>
      </c>
      <c r="J341" s="10">
        <f>IFERROR(__xludf.DUMMYFUNCTION("""COMPUTED_VALUE"""),44713.0)</f>
        <v>44713</v>
      </c>
      <c r="K341" s="1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9" t="str">
        <f>IFERROR(__xludf.DUMMYFUNCTION("""COMPUTED_VALUE"""),"Young")</f>
        <v>Young</v>
      </c>
      <c r="B342" s="8" t="str">
        <f>IFERROR(__xludf.DUMMYFUNCTION("""COMPUTED_VALUE"""),"Christina")</f>
        <v>Christina</v>
      </c>
      <c r="C342" s="8" t="str">
        <f>IFERROR(__xludf.DUMMYFUNCTION("""COMPUTED_VALUE"""),"Geneva")</f>
        <v>Geneva</v>
      </c>
      <c r="D342" s="8" t="str">
        <f>IFERROR(__xludf.DUMMYFUNCTION("""COMPUTED_VALUE"""),"NY")</f>
        <v>NY</v>
      </c>
      <c r="E342" s="8" t="str">
        <f>IFERROR(__xludf.DUMMYFUNCTION("""COMPUTED_VALUE"""),"USA")</f>
        <v>USA</v>
      </c>
      <c r="F342" s="8" t="str">
        <f>IFERROR(__xludf.DUMMYFUNCTION("""COMPUTED_VALUE"""),"Womens Doubles Combo")</f>
        <v>Womens Doubles Combo</v>
      </c>
      <c r="G342" s="8" t="str">
        <f>IFERROR(__xludf.DUMMYFUNCTION("""COMPUTED_VALUE"""),"3rd")</f>
        <v>3rd</v>
      </c>
      <c r="H342" s="8" t="str">
        <f>IFERROR(__xludf.DUMMYFUNCTION("""COMPUTED_VALUE"""),"NY Regional 33")</f>
        <v>NY Regional 33</v>
      </c>
      <c r="I342" s="10">
        <f>IFERROR(__xludf.DUMMYFUNCTION("""COMPUTED_VALUE"""),43252.0)</f>
        <v>43252</v>
      </c>
      <c r="J342" s="10">
        <f>IFERROR(__xludf.DUMMYFUNCTION("""COMPUTED_VALUE"""),44348.0)</f>
        <v>44348</v>
      </c>
      <c r="K342" s="1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9" t="str">
        <f>IFERROR(__xludf.DUMMYFUNCTION("""COMPUTED_VALUE"""),"Young")</f>
        <v>Young</v>
      </c>
      <c r="B343" s="8" t="str">
        <f>IFERROR(__xludf.DUMMYFUNCTION("""COMPUTED_VALUE"""),"Tracey")</f>
        <v>Tracey</v>
      </c>
      <c r="C343" s="8" t="str">
        <f>IFERROR(__xludf.DUMMYFUNCTION("""COMPUTED_VALUE"""),"Maryland Hts")</f>
        <v>Maryland Hts</v>
      </c>
      <c r="D343" s="8" t="str">
        <f>IFERROR(__xludf.DUMMYFUNCTION("""COMPUTED_VALUE"""),"MO")</f>
        <v>MO</v>
      </c>
      <c r="E343" s="8" t="str">
        <f>IFERROR(__xludf.DUMMYFUNCTION("""COMPUTED_VALUE"""),"USA")</f>
        <v>USA</v>
      </c>
      <c r="F343" s="8" t="str">
        <f>IFERROR(__xludf.DUMMYFUNCTION("""COMPUTED_VALUE"""),"Top Gun Womens Singles")</f>
        <v>Top Gun Womens Singles</v>
      </c>
      <c r="G343" s="8" t="str">
        <f>IFERROR(__xludf.DUMMYFUNCTION("""COMPUTED_VALUE"""),"1st")</f>
        <v>1st</v>
      </c>
      <c r="H343" s="8" t="str">
        <f>IFERROR(__xludf.DUMMYFUNCTION("""COMPUTED_VALUE"""),"BullShooter 32")</f>
        <v>BullShooter 32</v>
      </c>
      <c r="I343" s="10">
        <f>IFERROR(__xludf.DUMMYFUNCTION("""COMPUTED_VALUE"""),42887.0)</f>
        <v>42887</v>
      </c>
      <c r="J343" s="10">
        <f>IFERROR(__xludf.DUMMYFUNCTION("""COMPUTED_VALUE"""),43983.0)</f>
        <v>43983</v>
      </c>
      <c r="K343" s="11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9" t="str">
        <f>IFERROR(__xludf.DUMMYFUNCTION("""COMPUTED_VALUE"""),"Zenner")</f>
        <v>Zenner</v>
      </c>
      <c r="B344" s="8" t="str">
        <f>IFERROR(__xludf.DUMMYFUNCTION("""COMPUTED_VALUE"""),"Ashley")</f>
        <v>Ashley</v>
      </c>
      <c r="C344" s="8" t="str">
        <f>IFERROR(__xludf.DUMMYFUNCTION("""COMPUTED_VALUE"""),"Lewiston")</f>
        <v>Lewiston</v>
      </c>
      <c r="D344" s="8" t="str">
        <f>IFERROR(__xludf.DUMMYFUNCTION("""COMPUTED_VALUE"""),"ID")</f>
        <v>ID</v>
      </c>
      <c r="E344" s="8" t="str">
        <f>IFERROR(__xludf.DUMMYFUNCTION("""COMPUTED_VALUE"""),"USA")</f>
        <v>USA</v>
      </c>
      <c r="F344" s="8" t="str">
        <f>IFERROR(__xludf.DUMMYFUNCTION("""COMPUTED_VALUE"""),"Womens B Doubles")</f>
        <v>Womens B Doubles</v>
      </c>
      <c r="G344" s="8" t="str">
        <f>IFERROR(__xludf.DUMMYFUNCTION("""COMPUTED_VALUE"""),"3rd")</f>
        <v>3rd</v>
      </c>
      <c r="H344" s="8" t="str">
        <f>IFERROR(__xludf.DUMMYFUNCTION("""COMPUTED_VALUE"""),"BS 33 Finals")</f>
        <v>BS 33 Finals</v>
      </c>
      <c r="I344" s="10">
        <f>IFERROR(__xludf.DUMMYFUNCTION("""COMPUTED_VALUE"""),43252.0)</f>
        <v>43252</v>
      </c>
      <c r="J344" s="10">
        <f>IFERROR(__xludf.DUMMYFUNCTION("""COMPUTED_VALUE"""),44348.0)</f>
        <v>44348</v>
      </c>
      <c r="K344" s="11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9" t="str">
        <f>IFERROR(__xludf.DUMMYFUNCTION("""COMPUTED_VALUE"""),"Ziegler")</f>
        <v>Ziegler</v>
      </c>
      <c r="B345" s="8" t="str">
        <f>IFERROR(__xludf.DUMMYFUNCTION("""COMPUTED_VALUE"""),"Alicia")</f>
        <v>Alicia</v>
      </c>
      <c r="C345" s="8" t="str">
        <f>IFERROR(__xludf.DUMMYFUNCTION("""COMPUTED_VALUE"""),"Wentzville")</f>
        <v>Wentzville</v>
      </c>
      <c r="D345" s="8" t="str">
        <f>IFERROR(__xludf.DUMMYFUNCTION("""COMPUTED_VALUE"""),"MO")</f>
        <v>MO</v>
      </c>
      <c r="E345" s="8" t="str">
        <f>IFERROR(__xludf.DUMMYFUNCTION("""COMPUTED_VALUE"""),"USA")</f>
        <v>USA</v>
      </c>
      <c r="F345" s="8" t="str">
        <f>IFERROR(__xludf.DUMMYFUNCTION("""COMPUTED_VALUE"""),"Womens B Cricket")</f>
        <v>Womens B Cricket</v>
      </c>
      <c r="G345" s="8" t="str">
        <f>IFERROR(__xludf.DUMMYFUNCTION("""COMPUTED_VALUE"""),"3rd")</f>
        <v>3rd</v>
      </c>
      <c r="H345" s="8" t="str">
        <f>IFERROR(__xludf.DUMMYFUNCTION("""COMPUTED_VALUE"""),"BS 33 Finals")</f>
        <v>BS 33 Finals</v>
      </c>
      <c r="I345" s="10">
        <f>IFERROR(__xludf.DUMMYFUNCTION("""COMPUTED_VALUE"""),43252.0)</f>
        <v>43252</v>
      </c>
      <c r="J345" s="10">
        <f>IFERROR(__xludf.DUMMYFUNCTION("""COMPUTED_VALUE"""),44348.0)</f>
        <v>44348</v>
      </c>
      <c r="K345" s="1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9"/>
      <c r="B346" s="8"/>
      <c r="C346" s="8"/>
      <c r="D346" s="8"/>
      <c r="E346" s="8"/>
      <c r="F346" s="8"/>
      <c r="G346" s="8"/>
      <c r="H346" s="8"/>
      <c r="I346" s="10"/>
      <c r="J346" s="10"/>
      <c r="K346" s="1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9"/>
      <c r="B347" s="8"/>
      <c r="C347" s="8"/>
      <c r="D347" s="8"/>
      <c r="E347" s="8"/>
      <c r="F347" s="8"/>
      <c r="G347" s="8"/>
      <c r="H347" s="8"/>
      <c r="I347" s="10"/>
      <c r="J347" s="10"/>
      <c r="K347" s="11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9"/>
      <c r="B348" s="8"/>
      <c r="C348" s="8"/>
      <c r="D348" s="8"/>
      <c r="E348" s="8"/>
      <c r="F348" s="8"/>
      <c r="G348" s="8"/>
      <c r="H348" s="8"/>
      <c r="I348" s="10"/>
      <c r="J348" s="10"/>
      <c r="K348" s="11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9"/>
      <c r="B349" s="8"/>
      <c r="C349" s="8"/>
      <c r="D349" s="8"/>
      <c r="E349" s="8"/>
      <c r="F349" s="8"/>
      <c r="G349" s="8"/>
      <c r="H349" s="8"/>
      <c r="I349" s="10"/>
      <c r="J349" s="10"/>
      <c r="K349" s="1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9"/>
      <c r="B350" s="8"/>
      <c r="C350" s="8"/>
      <c r="D350" s="8"/>
      <c r="E350" s="8"/>
      <c r="F350" s="8"/>
      <c r="G350" s="8"/>
      <c r="H350" s="8"/>
      <c r="I350" s="10"/>
      <c r="J350" s="10"/>
      <c r="K350" s="1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9"/>
      <c r="B351" s="8"/>
      <c r="C351" s="8"/>
      <c r="D351" s="8"/>
      <c r="E351" s="8"/>
      <c r="F351" s="8"/>
      <c r="G351" s="8"/>
      <c r="H351" s="8"/>
      <c r="I351" s="10"/>
      <c r="J351" s="10"/>
      <c r="K351" s="11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9"/>
      <c r="B352" s="8"/>
      <c r="C352" s="8"/>
      <c r="D352" s="8"/>
      <c r="E352" s="8"/>
      <c r="F352" s="8"/>
      <c r="G352" s="8"/>
      <c r="H352" s="8"/>
      <c r="I352" s="10"/>
      <c r="J352" s="10"/>
      <c r="K352" s="11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9"/>
      <c r="B353" s="8"/>
      <c r="C353" s="8"/>
      <c r="D353" s="8"/>
      <c r="E353" s="8"/>
      <c r="F353" s="8"/>
      <c r="G353" s="8"/>
      <c r="H353" s="8"/>
      <c r="I353" s="10"/>
      <c r="J353" s="10"/>
      <c r="K353" s="11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9"/>
      <c r="B354" s="8"/>
      <c r="C354" s="8"/>
      <c r="D354" s="8"/>
      <c r="E354" s="8"/>
      <c r="F354" s="8"/>
      <c r="G354" s="8"/>
      <c r="H354" s="8"/>
      <c r="I354" s="10"/>
      <c r="J354" s="10"/>
      <c r="K354" s="11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9"/>
      <c r="B355" s="8"/>
      <c r="C355" s="8"/>
      <c r="D355" s="8"/>
      <c r="E355" s="8"/>
      <c r="F355" s="8"/>
      <c r="G355" s="8"/>
      <c r="H355" s="8"/>
      <c r="I355" s="10"/>
      <c r="J355" s="10"/>
      <c r="K355" s="11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9"/>
      <c r="B356" s="8"/>
      <c r="C356" s="8"/>
      <c r="D356" s="8"/>
      <c r="E356" s="8"/>
      <c r="F356" s="8"/>
      <c r="G356" s="8"/>
      <c r="H356" s="8"/>
      <c r="I356" s="10"/>
      <c r="J356" s="10"/>
      <c r="K356" s="1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9"/>
      <c r="B357" s="8"/>
      <c r="C357" s="8"/>
      <c r="D357" s="8"/>
      <c r="E357" s="8"/>
      <c r="F357" s="8"/>
      <c r="G357" s="8"/>
      <c r="H357" s="8"/>
      <c r="I357" s="10"/>
      <c r="J357" s="10"/>
      <c r="K357" s="1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9"/>
      <c r="B358" s="8"/>
      <c r="C358" s="8"/>
      <c r="D358" s="8"/>
      <c r="E358" s="8"/>
      <c r="F358" s="8"/>
      <c r="G358" s="8"/>
      <c r="H358" s="8"/>
      <c r="I358" s="10"/>
      <c r="J358" s="10"/>
      <c r="K358" s="11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9"/>
      <c r="B359" s="8"/>
      <c r="C359" s="8"/>
      <c r="D359" s="8"/>
      <c r="E359" s="8"/>
      <c r="F359" s="8"/>
      <c r="G359" s="8"/>
      <c r="H359" s="8"/>
      <c r="I359" s="10"/>
      <c r="J359" s="10"/>
      <c r="K359" s="11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9"/>
      <c r="B360" s="8"/>
      <c r="C360" s="8"/>
      <c r="D360" s="8"/>
      <c r="E360" s="8"/>
      <c r="F360" s="8"/>
      <c r="G360" s="8"/>
      <c r="H360" s="8"/>
      <c r="I360" s="10"/>
      <c r="J360" s="10"/>
      <c r="K360" s="1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9"/>
      <c r="B361" s="8"/>
      <c r="C361" s="8"/>
      <c r="D361" s="8"/>
      <c r="E361" s="8"/>
      <c r="F361" s="8"/>
      <c r="G361" s="8"/>
      <c r="H361" s="8"/>
      <c r="I361" s="10"/>
      <c r="J361" s="10"/>
      <c r="K361" s="1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9"/>
      <c r="B362" s="8"/>
      <c r="C362" s="8"/>
      <c r="D362" s="8"/>
      <c r="E362" s="8"/>
      <c r="F362" s="8"/>
      <c r="G362" s="8"/>
      <c r="H362" s="8"/>
      <c r="I362" s="10"/>
      <c r="J362" s="10"/>
      <c r="K362" s="11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9"/>
      <c r="B363" s="8"/>
      <c r="C363" s="8"/>
      <c r="D363" s="8"/>
      <c r="E363" s="8"/>
      <c r="F363" s="8"/>
      <c r="G363" s="8"/>
      <c r="H363" s="8"/>
      <c r="I363" s="10"/>
      <c r="J363" s="10"/>
      <c r="K363" s="11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9"/>
      <c r="B364" s="8"/>
      <c r="C364" s="8"/>
      <c r="D364" s="8"/>
      <c r="E364" s="8"/>
      <c r="F364" s="8"/>
      <c r="G364" s="8"/>
      <c r="H364" s="8"/>
      <c r="I364" s="10"/>
      <c r="J364" s="10"/>
      <c r="K364" s="11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9"/>
      <c r="B365" s="8"/>
      <c r="C365" s="8"/>
      <c r="D365" s="8"/>
      <c r="E365" s="8"/>
      <c r="F365" s="8"/>
      <c r="G365" s="8"/>
      <c r="H365" s="8"/>
      <c r="I365" s="10"/>
      <c r="J365" s="10"/>
      <c r="K365" s="11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9"/>
      <c r="B366" s="8"/>
      <c r="C366" s="8"/>
      <c r="D366" s="8"/>
      <c r="E366" s="8"/>
      <c r="F366" s="8"/>
      <c r="G366" s="8"/>
      <c r="H366" s="8"/>
      <c r="I366" s="10"/>
      <c r="J366" s="10"/>
      <c r="K366" s="1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9"/>
      <c r="B367" s="8"/>
      <c r="C367" s="8"/>
      <c r="D367" s="8"/>
      <c r="E367" s="8"/>
      <c r="F367" s="8"/>
      <c r="G367" s="8"/>
      <c r="H367" s="8"/>
      <c r="I367" s="10"/>
      <c r="J367" s="10"/>
      <c r="K367" s="1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9"/>
      <c r="B368" s="8"/>
      <c r="C368" s="8"/>
      <c r="D368" s="8"/>
      <c r="E368" s="8"/>
      <c r="F368" s="8"/>
      <c r="G368" s="8"/>
      <c r="H368" s="8"/>
      <c r="I368" s="10"/>
      <c r="J368" s="10"/>
      <c r="K368" s="1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9"/>
      <c r="B369" s="8"/>
      <c r="C369" s="8"/>
      <c r="D369" s="8"/>
      <c r="E369" s="8"/>
      <c r="F369" s="8"/>
      <c r="G369" s="8"/>
      <c r="H369" s="8"/>
      <c r="I369" s="10"/>
      <c r="J369" s="10"/>
      <c r="K369" s="1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9"/>
      <c r="B370" s="8"/>
      <c r="C370" s="8"/>
      <c r="D370" s="8"/>
      <c r="E370" s="8"/>
      <c r="F370" s="8"/>
      <c r="G370" s="8"/>
      <c r="H370" s="8"/>
      <c r="I370" s="10"/>
      <c r="J370" s="10"/>
      <c r="K370" s="1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12"/>
      <c r="B371" s="13"/>
      <c r="C371" s="13"/>
      <c r="D371" s="13"/>
      <c r="E371" s="13"/>
      <c r="F371" s="13"/>
      <c r="G371" s="13"/>
      <c r="H371" s="13"/>
      <c r="I371" s="14"/>
      <c r="J371" s="14"/>
      <c r="K371" s="11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9"/>
      <c r="B372" s="8"/>
      <c r="C372" s="8"/>
      <c r="D372" s="8"/>
      <c r="E372" s="8"/>
      <c r="F372" s="8"/>
      <c r="G372" s="8"/>
      <c r="H372" s="8"/>
      <c r="I372" s="10"/>
      <c r="J372" s="10"/>
      <c r="K372" s="11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9"/>
      <c r="B373" s="8"/>
      <c r="C373" s="8"/>
      <c r="D373" s="8"/>
      <c r="E373" s="8"/>
      <c r="F373" s="8"/>
      <c r="G373" s="8"/>
      <c r="H373" s="8"/>
      <c r="I373" s="10"/>
      <c r="J373" s="10"/>
      <c r="K373" s="11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9"/>
      <c r="B374" s="8"/>
      <c r="C374" s="8"/>
      <c r="D374" s="8"/>
      <c r="E374" s="8"/>
      <c r="F374" s="8"/>
      <c r="G374" s="8"/>
      <c r="H374" s="8"/>
      <c r="I374" s="10"/>
      <c r="J374" s="10"/>
      <c r="K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9"/>
      <c r="B375" s="8"/>
      <c r="C375" s="8"/>
      <c r="D375" s="8"/>
      <c r="E375" s="8"/>
      <c r="F375" s="8"/>
      <c r="G375" s="8"/>
      <c r="H375" s="8"/>
      <c r="I375" s="10"/>
      <c r="J375" s="10"/>
      <c r="K375" s="11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9"/>
      <c r="B376" s="8"/>
      <c r="C376" s="8"/>
      <c r="D376" s="8"/>
      <c r="E376" s="8"/>
      <c r="F376" s="8"/>
      <c r="G376" s="8"/>
      <c r="H376" s="8"/>
      <c r="I376" s="10"/>
      <c r="J376" s="10"/>
      <c r="K376" s="11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9"/>
      <c r="B377" s="8"/>
      <c r="C377" s="8"/>
      <c r="D377" s="8"/>
      <c r="E377" s="8"/>
      <c r="F377" s="8"/>
      <c r="G377" s="8"/>
      <c r="H377" s="8"/>
      <c r="I377" s="10"/>
      <c r="J377" s="10"/>
      <c r="K377" s="11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9"/>
      <c r="B378" s="8"/>
      <c r="C378" s="8"/>
      <c r="D378" s="8"/>
      <c r="E378" s="8"/>
      <c r="F378" s="8"/>
      <c r="G378" s="8"/>
      <c r="H378" s="8"/>
      <c r="I378" s="10"/>
      <c r="J378" s="10"/>
      <c r="K378" s="11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9"/>
      <c r="B379" s="8"/>
      <c r="C379" s="8"/>
      <c r="D379" s="8"/>
      <c r="E379" s="8"/>
      <c r="F379" s="8"/>
      <c r="G379" s="8"/>
      <c r="H379" s="8"/>
      <c r="I379" s="10"/>
      <c r="J379" s="10"/>
      <c r="K379" s="11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9"/>
      <c r="B380" s="8"/>
      <c r="C380" s="8"/>
      <c r="D380" s="8"/>
      <c r="E380" s="8"/>
      <c r="F380" s="8"/>
      <c r="G380" s="8"/>
      <c r="H380" s="8"/>
      <c r="I380" s="10"/>
      <c r="J380" s="10"/>
      <c r="K380" s="11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9"/>
      <c r="B381" s="8"/>
      <c r="C381" s="8"/>
      <c r="D381" s="8"/>
      <c r="E381" s="8"/>
      <c r="F381" s="8"/>
      <c r="G381" s="8"/>
      <c r="H381" s="8"/>
      <c r="I381" s="10"/>
      <c r="J381" s="10"/>
      <c r="K381" s="11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9"/>
      <c r="B382" s="8"/>
      <c r="C382" s="8"/>
      <c r="D382" s="8"/>
      <c r="E382" s="8"/>
      <c r="F382" s="8"/>
      <c r="G382" s="8"/>
      <c r="H382" s="8"/>
      <c r="I382" s="10"/>
      <c r="J382" s="10"/>
      <c r="K382" s="11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9"/>
      <c r="B383" s="8"/>
      <c r="C383" s="8"/>
      <c r="D383" s="8"/>
      <c r="E383" s="8"/>
      <c r="F383" s="8"/>
      <c r="G383" s="8"/>
      <c r="H383" s="8"/>
      <c r="I383" s="10"/>
      <c r="J383" s="10"/>
      <c r="K383" s="11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9"/>
      <c r="B384" s="8"/>
      <c r="C384" s="8"/>
      <c r="D384" s="8"/>
      <c r="E384" s="8"/>
      <c r="F384" s="8"/>
      <c r="G384" s="8"/>
      <c r="H384" s="8"/>
      <c r="I384" s="10"/>
      <c r="J384" s="10"/>
      <c r="K384" s="11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9"/>
      <c r="B385" s="8"/>
      <c r="C385" s="8"/>
      <c r="D385" s="8"/>
      <c r="E385" s="8"/>
      <c r="F385" s="8"/>
      <c r="G385" s="8"/>
      <c r="H385" s="8"/>
      <c r="I385" s="10"/>
      <c r="J385" s="10"/>
      <c r="K385" s="11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12"/>
      <c r="B386" s="13"/>
      <c r="C386" s="13"/>
      <c r="D386" s="13"/>
      <c r="E386" s="13"/>
      <c r="F386" s="13"/>
      <c r="G386" s="13"/>
      <c r="H386" s="13"/>
      <c r="I386" s="14"/>
      <c r="J386" s="14"/>
      <c r="K386" s="11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9"/>
      <c r="B387" s="8"/>
      <c r="C387" s="8"/>
      <c r="D387" s="8"/>
      <c r="E387" s="8"/>
      <c r="F387" s="8"/>
      <c r="G387" s="8"/>
      <c r="H387" s="8"/>
      <c r="I387" s="10"/>
      <c r="J387" s="10"/>
      <c r="K387" s="11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9"/>
      <c r="B388" s="8"/>
      <c r="C388" s="8"/>
      <c r="D388" s="8"/>
      <c r="E388" s="8"/>
      <c r="F388" s="8"/>
      <c r="G388" s="8"/>
      <c r="H388" s="8"/>
      <c r="I388" s="10"/>
      <c r="J388" s="10"/>
      <c r="K388" s="11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9"/>
      <c r="B389" s="8"/>
      <c r="C389" s="8"/>
      <c r="D389" s="8"/>
      <c r="E389" s="8"/>
      <c r="F389" s="8"/>
      <c r="G389" s="8"/>
      <c r="H389" s="8"/>
      <c r="I389" s="10"/>
      <c r="J389" s="10"/>
      <c r="K389" s="11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9"/>
      <c r="B390" s="8"/>
      <c r="C390" s="8"/>
      <c r="D390" s="8"/>
      <c r="E390" s="8"/>
      <c r="F390" s="8"/>
      <c r="G390" s="8"/>
      <c r="H390" s="8"/>
      <c r="I390" s="10"/>
      <c r="J390" s="10"/>
      <c r="K390" s="11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9"/>
      <c r="B391" s="8"/>
      <c r="C391" s="8"/>
      <c r="D391" s="8"/>
      <c r="E391" s="8"/>
      <c r="F391" s="8"/>
      <c r="G391" s="8"/>
      <c r="H391" s="8"/>
      <c r="I391" s="10"/>
      <c r="J391" s="10"/>
      <c r="K391" s="11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9"/>
      <c r="B392" s="8"/>
      <c r="C392" s="8"/>
      <c r="D392" s="8"/>
      <c r="E392" s="8"/>
      <c r="F392" s="8"/>
      <c r="G392" s="8"/>
      <c r="H392" s="8"/>
      <c r="I392" s="10"/>
      <c r="J392" s="10"/>
      <c r="K392" s="11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9"/>
      <c r="B393" s="8"/>
      <c r="C393" s="8"/>
      <c r="D393" s="8"/>
      <c r="E393" s="8"/>
      <c r="F393" s="8"/>
      <c r="G393" s="8"/>
      <c r="H393" s="8"/>
      <c r="I393" s="10"/>
      <c r="J393" s="10"/>
      <c r="K393" s="11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9"/>
      <c r="B394" s="8"/>
      <c r="C394" s="8"/>
      <c r="D394" s="8"/>
      <c r="E394" s="8"/>
      <c r="F394" s="8"/>
      <c r="G394" s="8"/>
      <c r="H394" s="8"/>
      <c r="I394" s="10"/>
      <c r="J394" s="10"/>
      <c r="K394" s="11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9"/>
      <c r="B395" s="8"/>
      <c r="C395" s="8"/>
      <c r="D395" s="8"/>
      <c r="E395" s="8"/>
      <c r="F395" s="8"/>
      <c r="G395" s="8"/>
      <c r="H395" s="8"/>
      <c r="I395" s="10"/>
      <c r="J395" s="10"/>
      <c r="K395" s="11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9"/>
      <c r="B396" s="8"/>
      <c r="C396" s="8"/>
      <c r="D396" s="8"/>
      <c r="E396" s="8"/>
      <c r="F396" s="8"/>
      <c r="G396" s="8"/>
      <c r="H396" s="8"/>
      <c r="I396" s="10"/>
      <c r="J396" s="10"/>
      <c r="K396" s="11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9"/>
      <c r="B397" s="8"/>
      <c r="C397" s="8"/>
      <c r="D397" s="8"/>
      <c r="E397" s="8"/>
      <c r="F397" s="8"/>
      <c r="G397" s="8"/>
      <c r="H397" s="8"/>
      <c r="I397" s="10"/>
      <c r="J397" s="10"/>
      <c r="K397" s="11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9"/>
      <c r="B398" s="8"/>
      <c r="C398" s="8"/>
      <c r="D398" s="8"/>
      <c r="E398" s="8"/>
      <c r="F398" s="8"/>
      <c r="G398" s="8"/>
      <c r="H398" s="8"/>
      <c r="I398" s="10"/>
      <c r="J398" s="10"/>
      <c r="K398" s="11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9"/>
      <c r="B399" s="8"/>
      <c r="C399" s="8"/>
      <c r="D399" s="8"/>
      <c r="E399" s="8"/>
      <c r="F399" s="8"/>
      <c r="G399" s="8"/>
      <c r="H399" s="8"/>
      <c r="I399" s="10"/>
      <c r="J399" s="10"/>
      <c r="K399" s="11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9"/>
      <c r="B400" s="8"/>
      <c r="C400" s="8"/>
      <c r="D400" s="8"/>
      <c r="E400" s="8"/>
      <c r="F400" s="8"/>
      <c r="G400" s="8"/>
      <c r="H400" s="8"/>
      <c r="I400" s="10"/>
      <c r="J400" s="10"/>
      <c r="K400" s="11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9"/>
      <c r="B401" s="8"/>
      <c r="C401" s="8"/>
      <c r="D401" s="8"/>
      <c r="E401" s="8"/>
      <c r="F401" s="8"/>
      <c r="G401" s="8"/>
      <c r="H401" s="8"/>
      <c r="I401" s="10"/>
      <c r="J401" s="10"/>
      <c r="K401" s="11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9"/>
      <c r="B402" s="8"/>
      <c r="C402" s="8"/>
      <c r="D402" s="8"/>
      <c r="E402" s="8"/>
      <c r="F402" s="8"/>
      <c r="G402" s="8"/>
      <c r="H402" s="8"/>
      <c r="I402" s="10"/>
      <c r="J402" s="10"/>
      <c r="K402" s="11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9"/>
      <c r="B403" s="8"/>
      <c r="C403" s="8"/>
      <c r="D403" s="8"/>
      <c r="E403" s="8"/>
      <c r="F403" s="8"/>
      <c r="G403" s="8"/>
      <c r="H403" s="8"/>
      <c r="I403" s="10"/>
      <c r="J403" s="10"/>
      <c r="K403" s="11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9"/>
      <c r="B404" s="8"/>
      <c r="C404" s="8"/>
      <c r="D404" s="8"/>
      <c r="E404" s="8"/>
      <c r="F404" s="8"/>
      <c r="G404" s="8"/>
      <c r="H404" s="8"/>
      <c r="I404" s="10"/>
      <c r="J404" s="10"/>
      <c r="K404" s="11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9"/>
      <c r="B405" s="8"/>
      <c r="C405" s="8"/>
      <c r="D405" s="8"/>
      <c r="E405" s="8"/>
      <c r="F405" s="8"/>
      <c r="G405" s="8"/>
      <c r="H405" s="8"/>
      <c r="I405" s="10"/>
      <c r="J405" s="10"/>
      <c r="K405" s="11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9"/>
      <c r="B406" s="8"/>
      <c r="C406" s="8"/>
      <c r="D406" s="8"/>
      <c r="E406" s="8"/>
      <c r="F406" s="8"/>
      <c r="G406" s="8"/>
      <c r="H406" s="8"/>
      <c r="I406" s="10"/>
      <c r="J406" s="10"/>
      <c r="K406" s="11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9"/>
      <c r="B407" s="8"/>
      <c r="C407" s="8"/>
      <c r="D407" s="8"/>
      <c r="E407" s="8"/>
      <c r="F407" s="8"/>
      <c r="G407" s="8"/>
      <c r="H407" s="8"/>
      <c r="I407" s="10"/>
      <c r="J407" s="10"/>
      <c r="K407" s="11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9"/>
      <c r="B408" s="8"/>
      <c r="C408" s="8"/>
      <c r="D408" s="8"/>
      <c r="E408" s="8"/>
      <c r="F408" s="8"/>
      <c r="G408" s="8"/>
      <c r="H408" s="8"/>
      <c r="I408" s="10"/>
      <c r="J408" s="10"/>
      <c r="K408" s="11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9"/>
      <c r="B409" s="8"/>
      <c r="C409" s="8"/>
      <c r="D409" s="8"/>
      <c r="E409" s="8"/>
      <c r="F409" s="8"/>
      <c r="G409" s="8"/>
      <c r="H409" s="8"/>
      <c r="I409" s="10"/>
      <c r="J409" s="10"/>
      <c r="K409" s="11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9"/>
      <c r="B410" s="8"/>
      <c r="C410" s="8"/>
      <c r="D410" s="8"/>
      <c r="E410" s="8"/>
      <c r="F410" s="8"/>
      <c r="G410" s="8"/>
      <c r="H410" s="8"/>
      <c r="I410" s="10"/>
      <c r="J410" s="10"/>
      <c r="K410" s="11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9"/>
      <c r="B411" s="8"/>
      <c r="C411" s="8"/>
      <c r="D411" s="8"/>
      <c r="E411" s="8"/>
      <c r="F411" s="8"/>
      <c r="G411" s="8"/>
      <c r="H411" s="8"/>
      <c r="I411" s="10"/>
      <c r="J411" s="10"/>
      <c r="K411" s="11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9"/>
      <c r="B412" s="8"/>
      <c r="C412" s="8"/>
      <c r="D412" s="8"/>
      <c r="E412" s="8"/>
      <c r="F412" s="8"/>
      <c r="G412" s="8"/>
      <c r="H412" s="8"/>
      <c r="I412" s="10"/>
      <c r="J412" s="10"/>
      <c r="K412" s="11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9"/>
      <c r="B413" s="8"/>
      <c r="C413" s="8"/>
      <c r="D413" s="8"/>
      <c r="E413" s="8"/>
      <c r="F413" s="8"/>
      <c r="G413" s="8"/>
      <c r="H413" s="8"/>
      <c r="I413" s="10"/>
      <c r="J413" s="10"/>
      <c r="K413" s="11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9"/>
      <c r="B414" s="8"/>
      <c r="C414" s="8"/>
      <c r="D414" s="8"/>
      <c r="E414" s="8"/>
      <c r="F414" s="8"/>
      <c r="G414" s="8"/>
      <c r="H414" s="8"/>
      <c r="I414" s="10"/>
      <c r="J414" s="10"/>
      <c r="K414" s="11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9"/>
      <c r="B415" s="8"/>
      <c r="C415" s="8"/>
      <c r="D415" s="8"/>
      <c r="E415" s="8"/>
      <c r="F415" s="8"/>
      <c r="G415" s="8"/>
      <c r="H415" s="8"/>
      <c r="I415" s="10"/>
      <c r="J415" s="10"/>
      <c r="K415" s="11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9"/>
      <c r="B416" s="8"/>
      <c r="C416" s="8"/>
      <c r="D416" s="8"/>
      <c r="E416" s="8"/>
      <c r="F416" s="8"/>
      <c r="G416" s="8"/>
      <c r="H416" s="8"/>
      <c r="I416" s="10"/>
      <c r="J416" s="10"/>
      <c r="K416" s="11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9"/>
      <c r="B417" s="8"/>
      <c r="C417" s="8"/>
      <c r="D417" s="8"/>
      <c r="E417" s="8"/>
      <c r="F417" s="8"/>
      <c r="G417" s="8"/>
      <c r="H417" s="8"/>
      <c r="I417" s="10"/>
      <c r="J417" s="10"/>
      <c r="K417" s="11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9"/>
      <c r="B418" s="8"/>
      <c r="C418" s="8"/>
      <c r="D418" s="8"/>
      <c r="E418" s="8"/>
      <c r="F418" s="8"/>
      <c r="G418" s="8"/>
      <c r="H418" s="8"/>
      <c r="I418" s="10"/>
      <c r="J418" s="10"/>
      <c r="K418" s="11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9"/>
      <c r="B419" s="8"/>
      <c r="C419" s="8"/>
      <c r="D419" s="8"/>
      <c r="E419" s="8"/>
      <c r="F419" s="8"/>
      <c r="G419" s="8"/>
      <c r="H419" s="8"/>
      <c r="I419" s="10"/>
      <c r="J419" s="10"/>
      <c r="K419" s="11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9"/>
      <c r="B420" s="8"/>
      <c r="C420" s="8"/>
      <c r="D420" s="8"/>
      <c r="E420" s="8"/>
      <c r="F420" s="8"/>
      <c r="G420" s="8"/>
      <c r="H420" s="8"/>
      <c r="I420" s="10"/>
      <c r="J420" s="10"/>
      <c r="K420" s="11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9"/>
      <c r="B421" s="8"/>
      <c r="C421" s="8"/>
      <c r="D421" s="8"/>
      <c r="E421" s="8"/>
      <c r="F421" s="8"/>
      <c r="G421" s="8"/>
      <c r="H421" s="8"/>
      <c r="I421" s="10"/>
      <c r="J421" s="10"/>
      <c r="K421" s="11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9"/>
      <c r="B422" s="8"/>
      <c r="C422" s="8"/>
      <c r="D422" s="8"/>
      <c r="E422" s="8"/>
      <c r="F422" s="8"/>
      <c r="G422" s="8"/>
      <c r="H422" s="8"/>
      <c r="I422" s="10"/>
      <c r="J422" s="10"/>
      <c r="K422" s="11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9"/>
      <c r="B423" s="8"/>
      <c r="C423" s="8"/>
      <c r="D423" s="8"/>
      <c r="E423" s="8"/>
      <c r="F423" s="8"/>
      <c r="G423" s="8"/>
      <c r="H423" s="8"/>
      <c r="I423" s="10"/>
      <c r="J423" s="10"/>
      <c r="K423" s="11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9"/>
      <c r="B424" s="8"/>
      <c r="C424" s="8"/>
      <c r="D424" s="8"/>
      <c r="E424" s="8"/>
      <c r="F424" s="8"/>
      <c r="G424" s="8"/>
      <c r="H424" s="8"/>
      <c r="I424" s="10"/>
      <c r="J424" s="10"/>
      <c r="K424" s="11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9"/>
      <c r="B425" s="8"/>
      <c r="C425" s="8"/>
      <c r="D425" s="8"/>
      <c r="E425" s="8"/>
      <c r="F425" s="8"/>
      <c r="G425" s="8"/>
      <c r="H425" s="8"/>
      <c r="I425" s="10"/>
      <c r="J425" s="10"/>
      <c r="K425" s="11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9"/>
      <c r="B426" s="8"/>
      <c r="C426" s="8"/>
      <c r="D426" s="8"/>
      <c r="E426" s="8"/>
      <c r="F426" s="8"/>
      <c r="G426" s="8"/>
      <c r="H426" s="8"/>
      <c r="I426" s="10"/>
      <c r="J426" s="10"/>
      <c r="K426" s="11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9"/>
      <c r="B427" s="8"/>
      <c r="C427" s="8"/>
      <c r="D427" s="8"/>
      <c r="E427" s="8"/>
      <c r="F427" s="8"/>
      <c r="G427" s="8"/>
      <c r="H427" s="8"/>
      <c r="I427" s="10"/>
      <c r="J427" s="10"/>
      <c r="K427" s="11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9"/>
      <c r="B428" s="8"/>
      <c r="C428" s="8"/>
      <c r="D428" s="8"/>
      <c r="E428" s="8"/>
      <c r="F428" s="8"/>
      <c r="G428" s="8"/>
      <c r="H428" s="8"/>
      <c r="I428" s="10"/>
      <c r="J428" s="10"/>
      <c r="K428" s="11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9"/>
      <c r="B429" s="8"/>
      <c r="C429" s="8"/>
      <c r="D429" s="8"/>
      <c r="E429" s="8"/>
      <c r="F429" s="8"/>
      <c r="G429" s="8"/>
      <c r="H429" s="8"/>
      <c r="I429" s="10"/>
      <c r="J429" s="10"/>
      <c r="K429" s="11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9"/>
      <c r="B430" s="8"/>
      <c r="C430" s="8"/>
      <c r="D430" s="8"/>
      <c r="E430" s="8"/>
      <c r="F430" s="8"/>
      <c r="G430" s="8"/>
      <c r="H430" s="8"/>
      <c r="I430" s="10"/>
      <c r="J430" s="10"/>
      <c r="K430" s="11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9"/>
      <c r="B431" s="8"/>
      <c r="C431" s="8"/>
      <c r="D431" s="8"/>
      <c r="E431" s="8"/>
      <c r="F431" s="8"/>
      <c r="G431" s="8"/>
      <c r="H431" s="8"/>
      <c r="I431" s="10"/>
      <c r="J431" s="10"/>
      <c r="K431" s="11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9"/>
      <c r="B432" s="8"/>
      <c r="C432" s="8"/>
      <c r="D432" s="8"/>
      <c r="E432" s="8"/>
      <c r="F432" s="8"/>
      <c r="G432" s="8"/>
      <c r="H432" s="8"/>
      <c r="I432" s="10"/>
      <c r="J432" s="10"/>
      <c r="K432" s="11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9"/>
      <c r="B433" s="8"/>
      <c r="C433" s="8"/>
      <c r="D433" s="8"/>
      <c r="E433" s="8"/>
      <c r="F433" s="8"/>
      <c r="G433" s="8"/>
      <c r="H433" s="8"/>
      <c r="I433" s="10"/>
      <c r="J433" s="10"/>
      <c r="K433" s="11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9"/>
      <c r="B434" s="8"/>
      <c r="C434" s="8"/>
      <c r="D434" s="8"/>
      <c r="E434" s="8"/>
      <c r="F434" s="8"/>
      <c r="G434" s="8"/>
      <c r="H434" s="8"/>
      <c r="I434" s="10"/>
      <c r="J434" s="10"/>
      <c r="K434" s="11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9"/>
      <c r="B435" s="8"/>
      <c r="C435" s="8"/>
      <c r="D435" s="8"/>
      <c r="E435" s="8"/>
      <c r="F435" s="8"/>
      <c r="G435" s="8"/>
      <c r="H435" s="8"/>
      <c r="I435" s="10"/>
      <c r="J435" s="10"/>
      <c r="K435" s="11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9"/>
      <c r="B436" s="8"/>
      <c r="C436" s="8"/>
      <c r="D436" s="8"/>
      <c r="E436" s="8"/>
      <c r="F436" s="8"/>
      <c r="G436" s="8"/>
      <c r="H436" s="8"/>
      <c r="I436" s="10"/>
      <c r="J436" s="10"/>
      <c r="K436" s="11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9"/>
      <c r="B437" s="8"/>
      <c r="C437" s="8"/>
      <c r="D437" s="8"/>
      <c r="E437" s="8"/>
      <c r="F437" s="8"/>
      <c r="G437" s="8"/>
      <c r="H437" s="8"/>
      <c r="I437" s="10"/>
      <c r="J437" s="10"/>
      <c r="K437" s="11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9"/>
      <c r="B438" s="8"/>
      <c r="C438" s="8"/>
      <c r="D438" s="8"/>
      <c r="E438" s="8"/>
      <c r="F438" s="8"/>
      <c r="G438" s="8"/>
      <c r="H438" s="8"/>
      <c r="I438" s="10"/>
      <c r="J438" s="10"/>
      <c r="K438" s="11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9"/>
      <c r="B439" s="8"/>
      <c r="C439" s="8"/>
      <c r="D439" s="8"/>
      <c r="E439" s="8"/>
      <c r="F439" s="8"/>
      <c r="G439" s="8"/>
      <c r="H439" s="8"/>
      <c r="I439" s="10"/>
      <c r="J439" s="10"/>
      <c r="K439" s="11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9"/>
      <c r="B440" s="8"/>
      <c r="C440" s="8"/>
      <c r="D440" s="8"/>
      <c r="E440" s="8"/>
      <c r="F440" s="8"/>
      <c r="G440" s="8"/>
      <c r="H440" s="8"/>
      <c r="I440" s="10"/>
      <c r="J440" s="10"/>
      <c r="K440" s="11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9"/>
      <c r="B441" s="8"/>
      <c r="C441" s="8"/>
      <c r="D441" s="8"/>
      <c r="E441" s="8"/>
      <c r="F441" s="8"/>
      <c r="G441" s="8"/>
      <c r="H441" s="8"/>
      <c r="I441" s="10"/>
      <c r="J441" s="10"/>
      <c r="K441" s="11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9"/>
      <c r="B442" s="8"/>
      <c r="C442" s="8"/>
      <c r="D442" s="8"/>
      <c r="E442" s="8"/>
      <c r="F442" s="8"/>
      <c r="G442" s="8"/>
      <c r="H442" s="8"/>
      <c r="I442" s="10"/>
      <c r="J442" s="10"/>
      <c r="K442" s="11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9"/>
      <c r="B443" s="8"/>
      <c r="C443" s="8"/>
      <c r="D443" s="8"/>
      <c r="E443" s="8"/>
      <c r="F443" s="8"/>
      <c r="G443" s="8"/>
      <c r="H443" s="8"/>
      <c r="I443" s="10"/>
      <c r="J443" s="10"/>
      <c r="K443" s="11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9"/>
      <c r="B444" s="8"/>
      <c r="C444" s="8"/>
      <c r="D444" s="8"/>
      <c r="E444" s="8"/>
      <c r="F444" s="8"/>
      <c r="G444" s="8"/>
      <c r="H444" s="8"/>
      <c r="I444" s="10"/>
      <c r="J444" s="10"/>
      <c r="K444" s="11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9"/>
      <c r="B445" s="8"/>
      <c r="C445" s="8"/>
      <c r="D445" s="8"/>
      <c r="E445" s="8"/>
      <c r="F445" s="8"/>
      <c r="G445" s="8"/>
      <c r="H445" s="8"/>
      <c r="I445" s="10"/>
      <c r="J445" s="10"/>
      <c r="K445" s="11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9"/>
      <c r="B446" s="8"/>
      <c r="C446" s="8"/>
      <c r="D446" s="8"/>
      <c r="E446" s="8"/>
      <c r="F446" s="8"/>
      <c r="G446" s="8"/>
      <c r="H446" s="8"/>
      <c r="I446" s="10"/>
      <c r="J446" s="10"/>
      <c r="K446" s="11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9"/>
      <c r="B447" s="8"/>
      <c r="C447" s="8"/>
      <c r="D447" s="8"/>
      <c r="E447" s="8"/>
      <c r="F447" s="8"/>
      <c r="G447" s="8"/>
      <c r="H447" s="8"/>
      <c r="I447" s="10"/>
      <c r="J447" s="10"/>
      <c r="K447" s="11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9"/>
      <c r="B448" s="8"/>
      <c r="C448" s="8"/>
      <c r="D448" s="8"/>
      <c r="E448" s="8"/>
      <c r="F448" s="8"/>
      <c r="G448" s="8"/>
      <c r="H448" s="8"/>
      <c r="I448" s="10"/>
      <c r="J448" s="10"/>
      <c r="K448" s="11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9"/>
      <c r="B449" s="8"/>
      <c r="C449" s="8"/>
      <c r="D449" s="8"/>
      <c r="E449" s="8"/>
      <c r="F449" s="8"/>
      <c r="G449" s="8"/>
      <c r="H449" s="8"/>
      <c r="I449" s="10"/>
      <c r="J449" s="10"/>
      <c r="K449" s="11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9"/>
      <c r="B450" s="8"/>
      <c r="C450" s="8"/>
      <c r="D450" s="8"/>
      <c r="E450" s="8"/>
      <c r="F450" s="8"/>
      <c r="G450" s="8"/>
      <c r="H450" s="8"/>
      <c r="I450" s="10"/>
      <c r="J450" s="10"/>
      <c r="K450" s="11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9"/>
      <c r="B451" s="8"/>
      <c r="C451" s="8"/>
      <c r="D451" s="8"/>
      <c r="E451" s="8"/>
      <c r="F451" s="8"/>
      <c r="G451" s="8"/>
      <c r="H451" s="8"/>
      <c r="I451" s="10"/>
      <c r="J451" s="10"/>
      <c r="K451" s="11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9"/>
      <c r="B452" s="8"/>
      <c r="C452" s="8"/>
      <c r="D452" s="8"/>
      <c r="E452" s="8"/>
      <c r="F452" s="8"/>
      <c r="G452" s="8"/>
      <c r="H452" s="8"/>
      <c r="I452" s="10"/>
      <c r="J452" s="10"/>
      <c r="K452" s="11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9"/>
      <c r="B453" s="8"/>
      <c r="C453" s="8"/>
      <c r="D453" s="8"/>
      <c r="E453" s="8"/>
      <c r="F453" s="8"/>
      <c r="G453" s="8"/>
      <c r="H453" s="8"/>
      <c r="I453" s="10"/>
      <c r="J453" s="10"/>
      <c r="K453" s="11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9"/>
      <c r="B454" s="8"/>
      <c r="C454" s="8"/>
      <c r="D454" s="8"/>
      <c r="E454" s="8"/>
      <c r="F454" s="8"/>
      <c r="G454" s="8"/>
      <c r="H454" s="8"/>
      <c r="I454" s="10"/>
      <c r="J454" s="10"/>
      <c r="K454" s="11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9"/>
      <c r="B455" s="8"/>
      <c r="C455" s="8"/>
      <c r="D455" s="8"/>
      <c r="E455" s="8"/>
      <c r="F455" s="8"/>
      <c r="G455" s="8"/>
      <c r="H455" s="8"/>
      <c r="I455" s="10"/>
      <c r="J455" s="10"/>
      <c r="K455" s="11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9"/>
      <c r="B456" s="8"/>
      <c r="C456" s="8"/>
      <c r="D456" s="8"/>
      <c r="E456" s="8"/>
      <c r="F456" s="8"/>
      <c r="G456" s="8"/>
      <c r="H456" s="8"/>
      <c r="I456" s="10"/>
      <c r="J456" s="10"/>
      <c r="K456" s="11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9"/>
      <c r="B457" s="8"/>
      <c r="C457" s="8"/>
      <c r="D457" s="8"/>
      <c r="E457" s="8"/>
      <c r="F457" s="8"/>
      <c r="G457" s="8"/>
      <c r="H457" s="8"/>
      <c r="I457" s="10"/>
      <c r="J457" s="10"/>
      <c r="K457" s="11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9"/>
      <c r="B458" s="8"/>
      <c r="C458" s="8"/>
      <c r="D458" s="8"/>
      <c r="E458" s="8"/>
      <c r="F458" s="8"/>
      <c r="G458" s="8"/>
      <c r="H458" s="8"/>
      <c r="I458" s="10"/>
      <c r="J458" s="10"/>
      <c r="K458" s="11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9"/>
      <c r="B459" s="8"/>
      <c r="C459" s="8"/>
      <c r="D459" s="8"/>
      <c r="E459" s="8"/>
      <c r="F459" s="8"/>
      <c r="G459" s="8"/>
      <c r="H459" s="8"/>
      <c r="I459" s="10"/>
      <c r="J459" s="10"/>
      <c r="K459" s="11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9"/>
      <c r="B460" s="8"/>
      <c r="C460" s="8"/>
      <c r="D460" s="8"/>
      <c r="E460" s="8"/>
      <c r="F460" s="8"/>
      <c r="G460" s="8"/>
      <c r="H460" s="8"/>
      <c r="I460" s="10"/>
      <c r="J460" s="10"/>
      <c r="K460" s="11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9"/>
      <c r="B461" s="8"/>
      <c r="C461" s="8"/>
      <c r="D461" s="8"/>
      <c r="E461" s="8"/>
      <c r="F461" s="8"/>
      <c r="G461" s="8"/>
      <c r="H461" s="8"/>
      <c r="I461" s="10"/>
      <c r="J461" s="10"/>
      <c r="K461" s="11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9"/>
      <c r="B462" s="8"/>
      <c r="C462" s="8"/>
      <c r="D462" s="8"/>
      <c r="E462" s="8"/>
      <c r="F462" s="8"/>
      <c r="G462" s="8"/>
      <c r="H462" s="8"/>
      <c r="I462" s="10"/>
      <c r="J462" s="10"/>
      <c r="K462" s="11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9"/>
      <c r="B463" s="8"/>
      <c r="C463" s="8"/>
      <c r="D463" s="8"/>
      <c r="E463" s="8"/>
      <c r="F463" s="8"/>
      <c r="G463" s="8"/>
      <c r="H463" s="8"/>
      <c r="I463" s="10"/>
      <c r="J463" s="10"/>
      <c r="K463" s="11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9"/>
      <c r="B464" s="8"/>
      <c r="C464" s="8"/>
      <c r="D464" s="8"/>
      <c r="E464" s="8"/>
      <c r="F464" s="8"/>
      <c r="G464" s="8"/>
      <c r="H464" s="8"/>
      <c r="I464" s="10"/>
      <c r="J464" s="10"/>
      <c r="K464" s="11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9"/>
      <c r="B465" s="8"/>
      <c r="C465" s="8"/>
      <c r="D465" s="8"/>
      <c r="E465" s="8"/>
      <c r="F465" s="8"/>
      <c r="G465" s="8"/>
      <c r="H465" s="8"/>
      <c r="I465" s="10"/>
      <c r="J465" s="10"/>
      <c r="K465" s="11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9"/>
      <c r="B466" s="8"/>
      <c r="C466" s="8"/>
      <c r="D466" s="8"/>
      <c r="E466" s="8"/>
      <c r="F466" s="8"/>
      <c r="G466" s="8"/>
      <c r="H466" s="8"/>
      <c r="I466" s="10"/>
      <c r="J466" s="10"/>
      <c r="K466" s="11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9"/>
      <c r="B467" s="8"/>
      <c r="C467" s="8"/>
      <c r="D467" s="8"/>
      <c r="E467" s="8"/>
      <c r="F467" s="8"/>
      <c r="G467" s="8"/>
      <c r="H467" s="8"/>
      <c r="I467" s="10"/>
      <c r="J467" s="10"/>
      <c r="K467" s="11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9"/>
      <c r="B468" s="8"/>
      <c r="C468" s="8"/>
      <c r="D468" s="8"/>
      <c r="E468" s="8"/>
      <c r="F468" s="8"/>
      <c r="G468" s="8"/>
      <c r="H468" s="8"/>
      <c r="I468" s="10"/>
      <c r="J468" s="10"/>
      <c r="K468" s="11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9"/>
      <c r="B469" s="8"/>
      <c r="C469" s="8"/>
      <c r="D469" s="8"/>
      <c r="E469" s="8"/>
      <c r="F469" s="8"/>
      <c r="G469" s="8"/>
      <c r="H469" s="8"/>
      <c r="I469" s="10"/>
      <c r="J469" s="10"/>
      <c r="K469" s="11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9"/>
      <c r="B470" s="8"/>
      <c r="C470" s="8"/>
      <c r="D470" s="8"/>
      <c r="E470" s="8"/>
      <c r="F470" s="8"/>
      <c r="G470" s="8"/>
      <c r="H470" s="8"/>
      <c r="I470" s="10"/>
      <c r="J470" s="10"/>
      <c r="K470" s="11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9"/>
      <c r="B471" s="8"/>
      <c r="C471" s="8"/>
      <c r="D471" s="8"/>
      <c r="E471" s="8"/>
      <c r="F471" s="8"/>
      <c r="G471" s="8"/>
      <c r="H471" s="8"/>
      <c r="I471" s="10"/>
      <c r="J471" s="10"/>
      <c r="K471" s="11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9"/>
      <c r="B472" s="8"/>
      <c r="C472" s="8"/>
      <c r="D472" s="8"/>
      <c r="E472" s="8"/>
      <c r="F472" s="8"/>
      <c r="G472" s="8"/>
      <c r="H472" s="8"/>
      <c r="I472" s="10"/>
      <c r="J472" s="10"/>
      <c r="K472" s="11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9"/>
      <c r="B473" s="8"/>
      <c r="C473" s="8"/>
      <c r="D473" s="8"/>
      <c r="E473" s="8"/>
      <c r="F473" s="8"/>
      <c r="G473" s="8"/>
      <c r="H473" s="8"/>
      <c r="I473" s="10"/>
      <c r="J473" s="10"/>
      <c r="K473" s="11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9"/>
      <c r="B474" s="8"/>
      <c r="C474" s="8"/>
      <c r="D474" s="8"/>
      <c r="E474" s="8"/>
      <c r="F474" s="8"/>
      <c r="G474" s="8"/>
      <c r="H474" s="8"/>
      <c r="I474" s="10"/>
      <c r="J474" s="10"/>
      <c r="K474" s="11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9"/>
      <c r="B475" s="8"/>
      <c r="C475" s="8"/>
      <c r="D475" s="8"/>
      <c r="E475" s="8"/>
      <c r="F475" s="8"/>
      <c r="G475" s="8"/>
      <c r="H475" s="8"/>
      <c r="I475" s="10"/>
      <c r="J475" s="10"/>
      <c r="K475" s="11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9"/>
      <c r="B476" s="8"/>
      <c r="C476" s="8"/>
      <c r="D476" s="8"/>
      <c r="E476" s="8"/>
      <c r="F476" s="8"/>
      <c r="G476" s="8"/>
      <c r="H476" s="8"/>
      <c r="I476" s="10"/>
      <c r="J476" s="10"/>
      <c r="K476" s="11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9"/>
      <c r="B477" s="8"/>
      <c r="C477" s="8"/>
      <c r="D477" s="8"/>
      <c r="E477" s="8"/>
      <c r="F477" s="8"/>
      <c r="G477" s="8"/>
      <c r="H477" s="8"/>
      <c r="I477" s="10"/>
      <c r="J477" s="10"/>
      <c r="K477" s="11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9"/>
      <c r="B478" s="8"/>
      <c r="C478" s="8"/>
      <c r="D478" s="8"/>
      <c r="E478" s="8"/>
      <c r="F478" s="8"/>
      <c r="G478" s="8"/>
      <c r="H478" s="8"/>
      <c r="I478" s="10"/>
      <c r="J478" s="10"/>
      <c r="K478" s="11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9"/>
      <c r="B479" s="8"/>
      <c r="C479" s="8"/>
      <c r="D479" s="8"/>
      <c r="E479" s="8"/>
      <c r="F479" s="8"/>
      <c r="G479" s="8"/>
      <c r="H479" s="8"/>
      <c r="I479" s="10"/>
      <c r="J479" s="10"/>
      <c r="K479" s="11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9"/>
      <c r="B480" s="8"/>
      <c r="C480" s="8"/>
      <c r="D480" s="8"/>
      <c r="E480" s="8"/>
      <c r="F480" s="8"/>
      <c r="G480" s="8"/>
      <c r="H480" s="8"/>
      <c r="I480" s="10"/>
      <c r="J480" s="10"/>
      <c r="K480" s="11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9"/>
      <c r="B481" s="8"/>
      <c r="C481" s="8"/>
      <c r="D481" s="8"/>
      <c r="E481" s="8"/>
      <c r="F481" s="8"/>
      <c r="G481" s="8"/>
      <c r="H481" s="8"/>
      <c r="I481" s="10"/>
      <c r="J481" s="10"/>
      <c r="K481" s="11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9"/>
      <c r="B482" s="8"/>
      <c r="C482" s="8"/>
      <c r="D482" s="8"/>
      <c r="E482" s="8"/>
      <c r="F482" s="8"/>
      <c r="G482" s="8"/>
      <c r="H482" s="8"/>
      <c r="I482" s="10"/>
      <c r="J482" s="10"/>
      <c r="K482" s="11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9"/>
      <c r="B483" s="8"/>
      <c r="C483" s="8"/>
      <c r="D483" s="8"/>
      <c r="E483" s="8"/>
      <c r="F483" s="8"/>
      <c r="G483" s="8"/>
      <c r="H483" s="8"/>
      <c r="I483" s="10"/>
      <c r="J483" s="10"/>
      <c r="K483" s="11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9"/>
      <c r="B484" s="8"/>
      <c r="C484" s="8"/>
      <c r="D484" s="8"/>
      <c r="E484" s="8"/>
      <c r="F484" s="8"/>
      <c r="G484" s="8"/>
      <c r="H484" s="8"/>
      <c r="I484" s="10"/>
      <c r="J484" s="10"/>
      <c r="K484" s="11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9"/>
      <c r="B485" s="8"/>
      <c r="C485" s="8"/>
      <c r="D485" s="8"/>
      <c r="E485" s="8"/>
      <c r="F485" s="8"/>
      <c r="G485" s="8"/>
      <c r="H485" s="8"/>
      <c r="I485" s="10"/>
      <c r="J485" s="10"/>
      <c r="K485" s="11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9"/>
      <c r="B486" s="8"/>
      <c r="C486" s="8"/>
      <c r="D486" s="8"/>
      <c r="E486" s="8"/>
      <c r="F486" s="8"/>
      <c r="G486" s="8"/>
      <c r="H486" s="8"/>
      <c r="I486" s="10"/>
      <c r="J486" s="10"/>
      <c r="K486" s="11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9"/>
      <c r="B487" s="8"/>
      <c r="C487" s="8"/>
      <c r="D487" s="8"/>
      <c r="E487" s="8"/>
      <c r="F487" s="8"/>
      <c r="G487" s="8"/>
      <c r="H487" s="8"/>
      <c r="I487" s="10"/>
      <c r="J487" s="10"/>
      <c r="K487" s="11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9"/>
      <c r="B488" s="8"/>
      <c r="C488" s="8"/>
      <c r="D488" s="8"/>
      <c r="E488" s="8"/>
      <c r="F488" s="8"/>
      <c r="G488" s="8"/>
      <c r="H488" s="8"/>
      <c r="I488" s="10"/>
      <c r="J488" s="10"/>
      <c r="K488" s="11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9"/>
      <c r="B489" s="8"/>
      <c r="C489" s="8"/>
      <c r="D489" s="8"/>
      <c r="E489" s="8"/>
      <c r="F489" s="8"/>
      <c r="G489" s="8"/>
      <c r="H489" s="8"/>
      <c r="I489" s="10"/>
      <c r="J489" s="10"/>
      <c r="K489" s="11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9"/>
      <c r="B490" s="8"/>
      <c r="C490" s="8"/>
      <c r="D490" s="8"/>
      <c r="E490" s="8"/>
      <c r="F490" s="8"/>
      <c r="G490" s="8"/>
      <c r="H490" s="8"/>
      <c r="I490" s="10"/>
      <c r="J490" s="10"/>
      <c r="K490" s="11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9"/>
      <c r="B491" s="8"/>
      <c r="C491" s="8"/>
      <c r="D491" s="8"/>
      <c r="E491" s="8"/>
      <c r="F491" s="8"/>
      <c r="G491" s="8"/>
      <c r="H491" s="8"/>
      <c r="I491" s="10"/>
      <c r="J491" s="10"/>
      <c r="K491" s="11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9"/>
      <c r="B492" s="8"/>
      <c r="C492" s="8"/>
      <c r="D492" s="8"/>
      <c r="E492" s="8"/>
      <c r="F492" s="8"/>
      <c r="G492" s="8"/>
      <c r="H492" s="8"/>
      <c r="I492" s="10"/>
      <c r="J492" s="10"/>
      <c r="K492" s="11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9"/>
      <c r="B493" s="8"/>
      <c r="C493" s="8"/>
      <c r="D493" s="8"/>
      <c r="E493" s="8"/>
      <c r="F493" s="8"/>
      <c r="G493" s="8"/>
      <c r="H493" s="8"/>
      <c r="I493" s="10"/>
      <c r="J493" s="10"/>
      <c r="K493" s="11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9"/>
      <c r="B494" s="8"/>
      <c r="C494" s="8"/>
      <c r="D494" s="8"/>
      <c r="E494" s="8"/>
      <c r="F494" s="8"/>
      <c r="G494" s="8"/>
      <c r="H494" s="8"/>
      <c r="I494" s="10"/>
      <c r="J494" s="10"/>
      <c r="K494" s="11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9"/>
      <c r="B495" s="8"/>
      <c r="C495" s="8"/>
      <c r="D495" s="8"/>
      <c r="E495" s="8"/>
      <c r="F495" s="8"/>
      <c r="G495" s="8"/>
      <c r="H495" s="8"/>
      <c r="I495" s="10"/>
      <c r="J495" s="10"/>
      <c r="K495" s="11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9"/>
      <c r="B496" s="8"/>
      <c r="C496" s="8"/>
      <c r="D496" s="8"/>
      <c r="E496" s="8"/>
      <c r="F496" s="8"/>
      <c r="G496" s="8"/>
      <c r="H496" s="8"/>
      <c r="I496" s="10"/>
      <c r="J496" s="10"/>
      <c r="K496" s="11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9"/>
      <c r="B497" s="8"/>
      <c r="C497" s="8"/>
      <c r="D497" s="8"/>
      <c r="E497" s="8"/>
      <c r="F497" s="8"/>
      <c r="G497" s="8"/>
      <c r="H497" s="8"/>
      <c r="I497" s="10"/>
      <c r="J497" s="10"/>
      <c r="K497" s="11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9"/>
      <c r="B498" s="8"/>
      <c r="C498" s="8"/>
      <c r="D498" s="8"/>
      <c r="E498" s="8"/>
      <c r="F498" s="8"/>
      <c r="G498" s="8"/>
      <c r="H498" s="8"/>
      <c r="I498" s="10"/>
      <c r="J498" s="10"/>
      <c r="K498" s="11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9"/>
      <c r="B499" s="8"/>
      <c r="C499" s="8"/>
      <c r="D499" s="8"/>
      <c r="E499" s="8"/>
      <c r="F499" s="8"/>
      <c r="G499" s="8"/>
      <c r="H499" s="8"/>
      <c r="I499" s="10"/>
      <c r="J499" s="10"/>
      <c r="K499" s="11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9"/>
      <c r="B500" s="8"/>
      <c r="C500" s="8"/>
      <c r="D500" s="8"/>
      <c r="E500" s="8"/>
      <c r="F500" s="8"/>
      <c r="G500" s="8"/>
      <c r="H500" s="8"/>
      <c r="I500" s="10"/>
      <c r="J500" s="10"/>
      <c r="K500" s="11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9"/>
      <c r="B501" s="8"/>
      <c r="C501" s="8"/>
      <c r="D501" s="8"/>
      <c r="E501" s="8"/>
      <c r="F501" s="8"/>
      <c r="G501" s="8"/>
      <c r="H501" s="8"/>
      <c r="I501" s="10"/>
      <c r="J501" s="10"/>
      <c r="K501" s="11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9"/>
      <c r="B502" s="8"/>
      <c r="C502" s="8"/>
      <c r="D502" s="8"/>
      <c r="E502" s="8"/>
      <c r="F502" s="8"/>
      <c r="G502" s="8"/>
      <c r="H502" s="8"/>
      <c r="I502" s="10"/>
      <c r="J502" s="10"/>
      <c r="K502" s="11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9"/>
      <c r="B503" s="8"/>
      <c r="C503" s="8"/>
      <c r="D503" s="8"/>
      <c r="E503" s="8"/>
      <c r="F503" s="8"/>
      <c r="G503" s="8"/>
      <c r="H503" s="8"/>
      <c r="I503" s="10"/>
      <c r="J503" s="10"/>
      <c r="K503" s="11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9"/>
      <c r="B504" s="8"/>
      <c r="C504" s="8"/>
      <c r="D504" s="8"/>
      <c r="E504" s="8"/>
      <c r="F504" s="8"/>
      <c r="G504" s="8"/>
      <c r="H504" s="8"/>
      <c r="I504" s="10"/>
      <c r="J504" s="10"/>
      <c r="K504" s="11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9"/>
      <c r="B505" s="8"/>
      <c r="C505" s="8"/>
      <c r="D505" s="8"/>
      <c r="E505" s="8"/>
      <c r="F505" s="8"/>
      <c r="G505" s="8"/>
      <c r="H505" s="8"/>
      <c r="I505" s="10"/>
      <c r="J505" s="10"/>
      <c r="K505" s="11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9"/>
      <c r="B506" s="8"/>
      <c r="C506" s="8"/>
      <c r="D506" s="8"/>
      <c r="E506" s="8"/>
      <c r="F506" s="8"/>
      <c r="G506" s="8"/>
      <c r="H506" s="8"/>
      <c r="I506" s="10"/>
      <c r="J506" s="10"/>
      <c r="K506" s="11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9"/>
      <c r="B507" s="8"/>
      <c r="C507" s="8"/>
      <c r="D507" s="8"/>
      <c r="E507" s="8"/>
      <c r="F507" s="8"/>
      <c r="G507" s="8"/>
      <c r="H507" s="8"/>
      <c r="I507" s="10"/>
      <c r="J507" s="10"/>
      <c r="K507" s="11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9"/>
      <c r="B508" s="8"/>
      <c r="C508" s="8"/>
      <c r="D508" s="8"/>
      <c r="E508" s="8"/>
      <c r="F508" s="8"/>
      <c r="G508" s="8"/>
      <c r="H508" s="8"/>
      <c r="I508" s="10"/>
      <c r="J508" s="10"/>
      <c r="K508" s="11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9"/>
      <c r="B509" s="8"/>
      <c r="C509" s="8"/>
      <c r="D509" s="8"/>
      <c r="E509" s="8"/>
      <c r="F509" s="8"/>
      <c r="G509" s="8"/>
      <c r="H509" s="8"/>
      <c r="I509" s="10"/>
      <c r="J509" s="10"/>
      <c r="K509" s="11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9"/>
      <c r="B510" s="8"/>
      <c r="C510" s="8"/>
      <c r="D510" s="8"/>
      <c r="E510" s="8"/>
      <c r="F510" s="8"/>
      <c r="G510" s="8"/>
      <c r="H510" s="8"/>
      <c r="I510" s="10"/>
      <c r="J510" s="10"/>
      <c r="K510" s="11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9"/>
      <c r="B511" s="8"/>
      <c r="C511" s="8"/>
      <c r="D511" s="8"/>
      <c r="E511" s="8"/>
      <c r="F511" s="8"/>
      <c r="G511" s="8"/>
      <c r="H511" s="8"/>
      <c r="I511" s="10"/>
      <c r="J511" s="10"/>
      <c r="K511" s="11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9"/>
      <c r="B512" s="8"/>
      <c r="C512" s="8"/>
      <c r="D512" s="8"/>
      <c r="E512" s="8"/>
      <c r="F512" s="8"/>
      <c r="G512" s="8"/>
      <c r="H512" s="8"/>
      <c r="I512" s="10"/>
      <c r="J512" s="10"/>
      <c r="K512" s="11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9"/>
      <c r="B513" s="8"/>
      <c r="C513" s="8"/>
      <c r="D513" s="8"/>
      <c r="E513" s="8"/>
      <c r="F513" s="8"/>
      <c r="G513" s="8"/>
      <c r="H513" s="8"/>
      <c r="I513" s="10"/>
      <c r="J513" s="10"/>
      <c r="K513" s="11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9"/>
      <c r="B514" s="8"/>
      <c r="C514" s="8"/>
      <c r="D514" s="8"/>
      <c r="E514" s="8"/>
      <c r="F514" s="8"/>
      <c r="G514" s="8"/>
      <c r="H514" s="8"/>
      <c r="I514" s="10"/>
      <c r="J514" s="10"/>
      <c r="K514" s="11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9"/>
      <c r="B515" s="8"/>
      <c r="C515" s="8"/>
      <c r="D515" s="8"/>
      <c r="E515" s="8"/>
      <c r="F515" s="8"/>
      <c r="G515" s="8"/>
      <c r="H515" s="8"/>
      <c r="I515" s="10"/>
      <c r="J515" s="10"/>
      <c r="K515" s="11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9"/>
      <c r="B516" s="8"/>
      <c r="C516" s="8"/>
      <c r="D516" s="8"/>
      <c r="E516" s="8"/>
      <c r="F516" s="8"/>
      <c r="G516" s="8"/>
      <c r="H516" s="8"/>
      <c r="I516" s="10"/>
      <c r="J516" s="10"/>
      <c r="K516" s="11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9"/>
      <c r="B517" s="8"/>
      <c r="C517" s="8"/>
      <c r="D517" s="8"/>
      <c r="E517" s="8"/>
      <c r="F517" s="8"/>
      <c r="G517" s="8"/>
      <c r="H517" s="8"/>
      <c r="I517" s="10"/>
      <c r="J517" s="10"/>
      <c r="K517" s="11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9"/>
      <c r="B518" s="8"/>
      <c r="C518" s="8"/>
      <c r="D518" s="8"/>
      <c r="E518" s="8"/>
      <c r="F518" s="8"/>
      <c r="G518" s="8"/>
      <c r="H518" s="8"/>
      <c r="I518" s="10"/>
      <c r="J518" s="10"/>
      <c r="K518" s="11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9"/>
      <c r="B519" s="8"/>
      <c r="C519" s="8"/>
      <c r="D519" s="8"/>
      <c r="E519" s="8"/>
      <c r="F519" s="8"/>
      <c r="G519" s="8"/>
      <c r="H519" s="8"/>
      <c r="I519" s="10"/>
      <c r="J519" s="10"/>
      <c r="K519" s="11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9"/>
      <c r="B520" s="8"/>
      <c r="C520" s="8"/>
      <c r="D520" s="8"/>
      <c r="E520" s="8"/>
      <c r="F520" s="8"/>
      <c r="G520" s="8"/>
      <c r="H520" s="8"/>
      <c r="I520" s="10"/>
      <c r="J520" s="10"/>
      <c r="K520" s="11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9"/>
      <c r="B521" s="8"/>
      <c r="C521" s="8"/>
      <c r="D521" s="8"/>
      <c r="E521" s="8"/>
      <c r="F521" s="8"/>
      <c r="G521" s="8"/>
      <c r="H521" s="8"/>
      <c r="I521" s="10"/>
      <c r="J521" s="10"/>
      <c r="K521" s="11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9"/>
      <c r="B522" s="8"/>
      <c r="C522" s="8"/>
      <c r="D522" s="8"/>
      <c r="E522" s="8"/>
      <c r="F522" s="8"/>
      <c r="G522" s="8"/>
      <c r="H522" s="8"/>
      <c r="I522" s="10"/>
      <c r="J522" s="10"/>
      <c r="K522" s="11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9"/>
      <c r="B523" s="8"/>
      <c r="C523" s="8"/>
      <c r="D523" s="8"/>
      <c r="E523" s="8"/>
      <c r="F523" s="8"/>
      <c r="G523" s="8"/>
      <c r="H523" s="8"/>
      <c r="I523" s="10"/>
      <c r="J523" s="10"/>
      <c r="K523" s="11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9"/>
      <c r="B524" s="8"/>
      <c r="C524" s="8"/>
      <c r="D524" s="8"/>
      <c r="E524" s="8"/>
      <c r="F524" s="8"/>
      <c r="G524" s="8"/>
      <c r="H524" s="8"/>
      <c r="I524" s="10"/>
      <c r="J524" s="10"/>
      <c r="K524" s="11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9"/>
      <c r="B525" s="8"/>
      <c r="C525" s="8"/>
      <c r="D525" s="8"/>
      <c r="E525" s="8"/>
      <c r="F525" s="8"/>
      <c r="G525" s="8"/>
      <c r="H525" s="8"/>
      <c r="I525" s="10"/>
      <c r="J525" s="10"/>
      <c r="K525" s="11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9"/>
      <c r="B526" s="8"/>
      <c r="C526" s="8"/>
      <c r="D526" s="8"/>
      <c r="E526" s="8"/>
      <c r="F526" s="8"/>
      <c r="G526" s="8"/>
      <c r="H526" s="8"/>
      <c r="I526" s="10"/>
      <c r="J526" s="10"/>
      <c r="K526" s="11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9"/>
      <c r="B527" s="8"/>
      <c r="C527" s="8"/>
      <c r="D527" s="8"/>
      <c r="E527" s="8"/>
      <c r="F527" s="8"/>
      <c r="G527" s="8"/>
      <c r="H527" s="8"/>
      <c r="I527" s="10"/>
      <c r="J527" s="10"/>
      <c r="K527" s="11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9"/>
      <c r="B528" s="8"/>
      <c r="C528" s="8"/>
      <c r="D528" s="8"/>
      <c r="E528" s="8"/>
      <c r="F528" s="8"/>
      <c r="G528" s="8"/>
      <c r="H528" s="8"/>
      <c r="I528" s="10"/>
      <c r="J528" s="10"/>
      <c r="K528" s="11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9"/>
      <c r="B529" s="8"/>
      <c r="C529" s="8"/>
      <c r="D529" s="8"/>
      <c r="E529" s="8"/>
      <c r="F529" s="8"/>
      <c r="G529" s="8"/>
      <c r="H529" s="8"/>
      <c r="I529" s="10"/>
      <c r="J529" s="10"/>
      <c r="K529" s="11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9"/>
      <c r="B530" s="8"/>
      <c r="C530" s="8"/>
      <c r="D530" s="8"/>
      <c r="E530" s="8"/>
      <c r="F530" s="8"/>
      <c r="G530" s="8"/>
      <c r="H530" s="8"/>
      <c r="I530" s="10"/>
      <c r="J530" s="10"/>
      <c r="K530" s="11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9"/>
      <c r="B531" s="8"/>
      <c r="C531" s="8"/>
      <c r="D531" s="8"/>
      <c r="E531" s="8"/>
      <c r="F531" s="8"/>
      <c r="G531" s="8"/>
      <c r="H531" s="8"/>
      <c r="I531" s="10"/>
      <c r="J531" s="10"/>
      <c r="K531" s="11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9"/>
      <c r="B532" s="8"/>
      <c r="C532" s="8"/>
      <c r="D532" s="8"/>
      <c r="E532" s="8"/>
      <c r="F532" s="8"/>
      <c r="G532" s="8"/>
      <c r="H532" s="8"/>
      <c r="I532" s="10"/>
      <c r="J532" s="10"/>
      <c r="K532" s="11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9"/>
      <c r="B533" s="8"/>
      <c r="C533" s="8"/>
      <c r="D533" s="8"/>
      <c r="E533" s="8"/>
      <c r="F533" s="8"/>
      <c r="G533" s="8"/>
      <c r="H533" s="8"/>
      <c r="I533" s="10"/>
      <c r="J533" s="10"/>
      <c r="K533" s="11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9"/>
      <c r="B534" s="8"/>
      <c r="C534" s="8"/>
      <c r="D534" s="8"/>
      <c r="E534" s="8"/>
      <c r="F534" s="8"/>
      <c r="G534" s="8"/>
      <c r="H534" s="8"/>
      <c r="I534" s="10"/>
      <c r="J534" s="10"/>
      <c r="K534" s="11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9"/>
      <c r="B535" s="8"/>
      <c r="C535" s="8"/>
      <c r="D535" s="8"/>
      <c r="E535" s="8"/>
      <c r="F535" s="8"/>
      <c r="G535" s="8"/>
      <c r="H535" s="8"/>
      <c r="I535" s="10"/>
      <c r="J535" s="10"/>
      <c r="K535" s="11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9"/>
      <c r="B536" s="8"/>
      <c r="C536" s="8"/>
      <c r="D536" s="8"/>
      <c r="E536" s="8"/>
      <c r="F536" s="8"/>
      <c r="G536" s="8"/>
      <c r="H536" s="8"/>
      <c r="I536" s="10"/>
      <c r="J536" s="10"/>
      <c r="K536" s="11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9"/>
      <c r="B537" s="8"/>
      <c r="C537" s="8"/>
      <c r="D537" s="8"/>
      <c r="E537" s="8"/>
      <c r="F537" s="8"/>
      <c r="G537" s="8"/>
      <c r="H537" s="8"/>
      <c r="I537" s="10"/>
      <c r="J537" s="10"/>
      <c r="K537" s="11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9"/>
      <c r="B538" s="8"/>
      <c r="C538" s="8"/>
      <c r="D538" s="8"/>
      <c r="E538" s="8"/>
      <c r="F538" s="8"/>
      <c r="G538" s="8"/>
      <c r="H538" s="8"/>
      <c r="I538" s="10"/>
      <c r="J538" s="10"/>
      <c r="K538" s="11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9"/>
      <c r="B539" s="8"/>
      <c r="C539" s="8"/>
      <c r="D539" s="8"/>
      <c r="E539" s="8"/>
      <c r="F539" s="8"/>
      <c r="G539" s="8"/>
      <c r="H539" s="8"/>
      <c r="I539" s="10"/>
      <c r="J539" s="10"/>
      <c r="K539" s="11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9"/>
      <c r="B540" s="8"/>
      <c r="C540" s="8"/>
      <c r="D540" s="8"/>
      <c r="E540" s="8"/>
      <c r="F540" s="8"/>
      <c r="G540" s="8"/>
      <c r="H540" s="8"/>
      <c r="I540" s="10"/>
      <c r="J540" s="10"/>
      <c r="K540" s="11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9"/>
      <c r="B541" s="8"/>
      <c r="C541" s="8"/>
      <c r="D541" s="8"/>
      <c r="E541" s="8"/>
      <c r="F541" s="8"/>
      <c r="G541" s="8"/>
      <c r="H541" s="8"/>
      <c r="I541" s="10"/>
      <c r="J541" s="10"/>
      <c r="K541" s="11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9"/>
      <c r="B542" s="8"/>
      <c r="C542" s="8"/>
      <c r="D542" s="8"/>
      <c r="E542" s="8"/>
      <c r="F542" s="8"/>
      <c r="G542" s="8"/>
      <c r="H542" s="8"/>
      <c r="I542" s="10"/>
      <c r="J542" s="10"/>
      <c r="K542" s="11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9"/>
      <c r="B543" s="8"/>
      <c r="C543" s="8"/>
      <c r="D543" s="8"/>
      <c r="E543" s="8"/>
      <c r="F543" s="8"/>
      <c r="G543" s="8"/>
      <c r="H543" s="8"/>
      <c r="I543" s="10"/>
      <c r="J543" s="10"/>
      <c r="K543" s="11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9"/>
      <c r="B544" s="8"/>
      <c r="C544" s="8"/>
      <c r="D544" s="8"/>
      <c r="E544" s="8"/>
      <c r="F544" s="8"/>
      <c r="G544" s="8"/>
      <c r="H544" s="8"/>
      <c r="I544" s="10"/>
      <c r="J544" s="10"/>
      <c r="K544" s="11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9"/>
      <c r="B545" s="8"/>
      <c r="C545" s="8"/>
      <c r="D545" s="8"/>
      <c r="E545" s="8"/>
      <c r="F545" s="8"/>
      <c r="G545" s="8"/>
      <c r="H545" s="8"/>
      <c r="I545" s="10"/>
      <c r="J545" s="10"/>
      <c r="K545" s="11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9"/>
      <c r="B546" s="8"/>
      <c r="C546" s="8"/>
      <c r="D546" s="8"/>
      <c r="E546" s="8"/>
      <c r="F546" s="8"/>
      <c r="G546" s="8"/>
      <c r="H546" s="8"/>
      <c r="I546" s="10"/>
      <c r="J546" s="10"/>
      <c r="K546" s="11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9"/>
      <c r="B547" s="8"/>
      <c r="C547" s="8"/>
      <c r="D547" s="8"/>
      <c r="E547" s="8"/>
      <c r="F547" s="8"/>
      <c r="G547" s="8"/>
      <c r="H547" s="8"/>
      <c r="I547" s="10"/>
      <c r="J547" s="10"/>
      <c r="K547" s="11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9"/>
      <c r="B548" s="8"/>
      <c r="C548" s="8"/>
      <c r="D548" s="8"/>
      <c r="E548" s="8"/>
      <c r="F548" s="8"/>
      <c r="G548" s="8"/>
      <c r="H548" s="8"/>
      <c r="I548" s="10"/>
      <c r="J548" s="10"/>
      <c r="K548" s="11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9"/>
      <c r="B549" s="8"/>
      <c r="C549" s="8"/>
      <c r="D549" s="8"/>
      <c r="E549" s="8"/>
      <c r="F549" s="8"/>
      <c r="G549" s="8"/>
      <c r="H549" s="8"/>
      <c r="I549" s="10"/>
      <c r="J549" s="10"/>
      <c r="K549" s="11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9"/>
      <c r="B550" s="8"/>
      <c r="C550" s="8"/>
      <c r="D550" s="8"/>
      <c r="E550" s="8"/>
      <c r="F550" s="8"/>
      <c r="G550" s="8"/>
      <c r="H550" s="8"/>
      <c r="I550" s="10"/>
      <c r="J550" s="10"/>
      <c r="K550" s="11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9"/>
      <c r="B551" s="8"/>
      <c r="C551" s="8"/>
      <c r="D551" s="8"/>
      <c r="E551" s="8"/>
      <c r="F551" s="8"/>
      <c r="G551" s="8"/>
      <c r="H551" s="8"/>
      <c r="I551" s="10"/>
      <c r="J551" s="10"/>
      <c r="K551" s="11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9"/>
      <c r="B552" s="8"/>
      <c r="C552" s="8"/>
      <c r="D552" s="8"/>
      <c r="E552" s="8"/>
      <c r="F552" s="8"/>
      <c r="G552" s="8"/>
      <c r="H552" s="8"/>
      <c r="I552" s="10"/>
      <c r="J552" s="10"/>
      <c r="K552" s="11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9"/>
      <c r="B553" s="8"/>
      <c r="C553" s="8"/>
      <c r="D553" s="8"/>
      <c r="E553" s="8"/>
      <c r="F553" s="8"/>
      <c r="G553" s="8"/>
      <c r="H553" s="8"/>
      <c r="I553" s="10"/>
      <c r="J553" s="10"/>
      <c r="K553" s="11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9"/>
      <c r="B554" s="8"/>
      <c r="C554" s="8"/>
      <c r="D554" s="8"/>
      <c r="E554" s="8"/>
      <c r="F554" s="8"/>
      <c r="G554" s="8"/>
      <c r="H554" s="8"/>
      <c r="I554" s="10"/>
      <c r="J554" s="10"/>
      <c r="K554" s="11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9"/>
      <c r="B555" s="8"/>
      <c r="C555" s="8"/>
      <c r="D555" s="8"/>
      <c r="E555" s="8"/>
      <c r="F555" s="8"/>
      <c r="G555" s="8"/>
      <c r="H555" s="8"/>
      <c r="I555" s="10"/>
      <c r="J555" s="10"/>
      <c r="K555" s="11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9"/>
      <c r="B556" s="8"/>
      <c r="C556" s="8"/>
      <c r="D556" s="8"/>
      <c r="E556" s="8"/>
      <c r="F556" s="8"/>
      <c r="G556" s="8"/>
      <c r="H556" s="8"/>
      <c r="I556" s="10"/>
      <c r="J556" s="10"/>
      <c r="K556" s="11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9"/>
      <c r="B557" s="8"/>
      <c r="C557" s="8"/>
      <c r="D557" s="8"/>
      <c r="E557" s="8"/>
      <c r="F557" s="8"/>
      <c r="G557" s="8"/>
      <c r="H557" s="8"/>
      <c r="I557" s="10"/>
      <c r="J557" s="10"/>
      <c r="K557" s="11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9"/>
      <c r="B558" s="8"/>
      <c r="C558" s="8"/>
      <c r="D558" s="8"/>
      <c r="E558" s="8"/>
      <c r="F558" s="8"/>
      <c r="G558" s="8"/>
      <c r="H558" s="8"/>
      <c r="I558" s="10"/>
      <c r="J558" s="10"/>
      <c r="K558" s="11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9"/>
      <c r="B559" s="8"/>
      <c r="C559" s="8"/>
      <c r="D559" s="8"/>
      <c r="E559" s="8"/>
      <c r="F559" s="8"/>
      <c r="G559" s="8"/>
      <c r="H559" s="8"/>
      <c r="I559" s="10"/>
      <c r="J559" s="10"/>
      <c r="K559" s="11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9"/>
      <c r="B560" s="8"/>
      <c r="C560" s="8"/>
      <c r="D560" s="8"/>
      <c r="E560" s="8"/>
      <c r="F560" s="8"/>
      <c r="G560" s="8"/>
      <c r="H560" s="8"/>
      <c r="I560" s="10"/>
      <c r="J560" s="10"/>
      <c r="K560" s="11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9"/>
      <c r="B561" s="8"/>
      <c r="C561" s="8"/>
      <c r="D561" s="8"/>
      <c r="E561" s="8"/>
      <c r="F561" s="8"/>
      <c r="G561" s="8"/>
      <c r="H561" s="8"/>
      <c r="I561" s="10"/>
      <c r="J561" s="10"/>
      <c r="K561" s="11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9"/>
      <c r="B562" s="8"/>
      <c r="C562" s="8"/>
      <c r="D562" s="8"/>
      <c r="E562" s="8"/>
      <c r="F562" s="8"/>
      <c r="G562" s="8"/>
      <c r="H562" s="8"/>
      <c r="I562" s="10"/>
      <c r="J562" s="10"/>
      <c r="K562" s="11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9"/>
      <c r="B563" s="8"/>
      <c r="C563" s="8"/>
      <c r="D563" s="8"/>
      <c r="E563" s="8"/>
      <c r="F563" s="8"/>
      <c r="G563" s="8"/>
      <c r="H563" s="8"/>
      <c r="I563" s="10"/>
      <c r="J563" s="10"/>
      <c r="K563" s="11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9"/>
      <c r="B564" s="8"/>
      <c r="C564" s="8"/>
      <c r="D564" s="8"/>
      <c r="E564" s="8"/>
      <c r="F564" s="8"/>
      <c r="G564" s="8"/>
      <c r="H564" s="8"/>
      <c r="I564" s="10"/>
      <c r="J564" s="10"/>
      <c r="K564" s="11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9"/>
      <c r="B565" s="8"/>
      <c r="C565" s="8"/>
      <c r="D565" s="8"/>
      <c r="E565" s="8"/>
      <c r="F565" s="8"/>
      <c r="G565" s="8"/>
      <c r="H565" s="8"/>
      <c r="I565" s="10"/>
      <c r="J565" s="10"/>
      <c r="K565" s="11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9"/>
      <c r="B566" s="8"/>
      <c r="C566" s="8"/>
      <c r="D566" s="8"/>
      <c r="E566" s="8"/>
      <c r="F566" s="8"/>
      <c r="G566" s="8"/>
      <c r="H566" s="8"/>
      <c r="I566" s="10"/>
      <c r="J566" s="10"/>
      <c r="K566" s="11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9"/>
      <c r="B567" s="8"/>
      <c r="C567" s="8"/>
      <c r="D567" s="8"/>
      <c r="E567" s="8"/>
      <c r="F567" s="8"/>
      <c r="G567" s="8"/>
      <c r="H567" s="8"/>
      <c r="I567" s="10"/>
      <c r="J567" s="10"/>
      <c r="K567" s="11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9"/>
      <c r="B568" s="8"/>
      <c r="C568" s="8"/>
      <c r="D568" s="8"/>
      <c r="E568" s="8"/>
      <c r="F568" s="8"/>
      <c r="G568" s="8"/>
      <c r="H568" s="8"/>
      <c r="I568" s="10"/>
      <c r="J568" s="10"/>
      <c r="K568" s="11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9"/>
      <c r="B569" s="8"/>
      <c r="C569" s="8"/>
      <c r="D569" s="8"/>
      <c r="E569" s="8"/>
      <c r="F569" s="8"/>
      <c r="G569" s="8"/>
      <c r="H569" s="8"/>
      <c r="I569" s="10"/>
      <c r="J569" s="10"/>
      <c r="K569" s="11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9"/>
      <c r="B570" s="8"/>
      <c r="C570" s="8"/>
      <c r="D570" s="8"/>
      <c r="E570" s="8"/>
      <c r="F570" s="8"/>
      <c r="G570" s="8"/>
      <c r="H570" s="8"/>
      <c r="I570" s="10"/>
      <c r="J570" s="10"/>
      <c r="K570" s="11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9"/>
      <c r="B571" s="8"/>
      <c r="C571" s="8"/>
      <c r="D571" s="8"/>
      <c r="E571" s="8"/>
      <c r="F571" s="8"/>
      <c r="G571" s="8"/>
      <c r="H571" s="8"/>
      <c r="I571" s="10"/>
      <c r="J571" s="10"/>
      <c r="K571" s="11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9"/>
      <c r="B572" s="8"/>
      <c r="C572" s="8"/>
      <c r="D572" s="8"/>
      <c r="E572" s="8"/>
      <c r="F572" s="8"/>
      <c r="G572" s="8"/>
      <c r="H572" s="8"/>
      <c r="I572" s="10"/>
      <c r="J572" s="10"/>
      <c r="K572" s="11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9"/>
      <c r="B573" s="8"/>
      <c r="C573" s="8"/>
      <c r="D573" s="8"/>
      <c r="E573" s="8"/>
      <c r="F573" s="8"/>
      <c r="G573" s="8"/>
      <c r="H573" s="8"/>
      <c r="I573" s="10"/>
      <c r="J573" s="10"/>
      <c r="K573" s="11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9"/>
      <c r="B574" s="8"/>
      <c r="C574" s="8"/>
      <c r="D574" s="8"/>
      <c r="E574" s="8"/>
      <c r="F574" s="8"/>
      <c r="G574" s="8"/>
      <c r="H574" s="8"/>
      <c r="I574" s="10"/>
      <c r="J574" s="10"/>
      <c r="K574" s="11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9"/>
      <c r="B575" s="8"/>
      <c r="C575" s="8"/>
      <c r="D575" s="8"/>
      <c r="E575" s="8"/>
      <c r="F575" s="8"/>
      <c r="G575" s="8"/>
      <c r="H575" s="8"/>
      <c r="I575" s="10"/>
      <c r="J575" s="10"/>
      <c r="K575" s="11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9"/>
      <c r="B576" s="8"/>
      <c r="C576" s="8"/>
      <c r="D576" s="8"/>
      <c r="E576" s="8"/>
      <c r="F576" s="8"/>
      <c r="G576" s="8"/>
      <c r="H576" s="8"/>
      <c r="I576" s="10"/>
      <c r="J576" s="10"/>
      <c r="K576" s="11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9"/>
      <c r="B577" s="8"/>
      <c r="C577" s="8"/>
      <c r="D577" s="8"/>
      <c r="E577" s="8"/>
      <c r="F577" s="8"/>
      <c r="G577" s="8"/>
      <c r="H577" s="8"/>
      <c r="I577" s="10"/>
      <c r="J577" s="10"/>
      <c r="K577" s="11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9"/>
      <c r="B578" s="8"/>
      <c r="C578" s="8"/>
      <c r="D578" s="8"/>
      <c r="E578" s="8"/>
      <c r="F578" s="8"/>
      <c r="G578" s="8"/>
      <c r="H578" s="8"/>
      <c r="I578" s="10"/>
      <c r="J578" s="10"/>
      <c r="K578" s="11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9"/>
      <c r="B579" s="8"/>
      <c r="C579" s="8"/>
      <c r="D579" s="8"/>
      <c r="E579" s="8"/>
      <c r="F579" s="8"/>
      <c r="G579" s="8"/>
      <c r="H579" s="8"/>
      <c r="I579" s="10"/>
      <c r="J579" s="10"/>
      <c r="K579" s="11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9"/>
      <c r="B580" s="8"/>
      <c r="C580" s="8"/>
      <c r="D580" s="8"/>
      <c r="E580" s="8"/>
      <c r="F580" s="8"/>
      <c r="G580" s="8"/>
      <c r="H580" s="8"/>
      <c r="I580" s="10"/>
      <c r="J580" s="10"/>
      <c r="K580" s="11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9"/>
      <c r="B581" s="8"/>
      <c r="C581" s="8"/>
      <c r="D581" s="8"/>
      <c r="E581" s="8"/>
      <c r="F581" s="8"/>
      <c r="G581" s="8"/>
      <c r="H581" s="8"/>
      <c r="I581" s="10"/>
      <c r="J581" s="10"/>
      <c r="K581" s="11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9"/>
      <c r="B582" s="8"/>
      <c r="C582" s="8"/>
      <c r="D582" s="8"/>
      <c r="E582" s="8"/>
      <c r="F582" s="8"/>
      <c r="G582" s="8"/>
      <c r="H582" s="8"/>
      <c r="I582" s="10"/>
      <c r="J582" s="10"/>
      <c r="K582" s="11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9"/>
      <c r="B583" s="8"/>
      <c r="C583" s="8"/>
      <c r="D583" s="8"/>
      <c r="E583" s="8"/>
      <c r="F583" s="8"/>
      <c r="G583" s="8"/>
      <c r="H583" s="8"/>
      <c r="I583" s="10"/>
      <c r="J583" s="10"/>
      <c r="K583" s="11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9"/>
      <c r="B584" s="8"/>
      <c r="C584" s="8"/>
      <c r="D584" s="8"/>
      <c r="E584" s="8"/>
      <c r="F584" s="8"/>
      <c r="G584" s="8"/>
      <c r="H584" s="8"/>
      <c r="I584" s="10"/>
      <c r="J584" s="10"/>
      <c r="K584" s="11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9"/>
      <c r="B585" s="8"/>
      <c r="C585" s="8"/>
      <c r="D585" s="8"/>
      <c r="E585" s="8"/>
      <c r="F585" s="8"/>
      <c r="G585" s="8"/>
      <c r="H585" s="8"/>
      <c r="I585" s="10"/>
      <c r="J585" s="10"/>
      <c r="K585" s="11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12"/>
      <c r="B586" s="13"/>
      <c r="C586" s="13"/>
      <c r="D586" s="13"/>
      <c r="E586" s="13"/>
      <c r="F586" s="13"/>
      <c r="G586" s="13"/>
      <c r="H586" s="13"/>
      <c r="I586" s="14"/>
      <c r="J586" s="14"/>
      <c r="K586" s="11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9"/>
      <c r="B587" s="8"/>
      <c r="C587" s="8"/>
      <c r="D587" s="8"/>
      <c r="E587" s="8"/>
      <c r="F587" s="8"/>
      <c r="G587" s="8"/>
      <c r="H587" s="8"/>
      <c r="I587" s="10"/>
      <c r="J587" s="10"/>
      <c r="K587" s="11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9"/>
      <c r="B588" s="8"/>
      <c r="C588" s="8"/>
      <c r="D588" s="8"/>
      <c r="E588" s="8"/>
      <c r="F588" s="8"/>
      <c r="G588" s="8"/>
      <c r="H588" s="8"/>
      <c r="I588" s="10"/>
      <c r="J588" s="10"/>
      <c r="K588" s="11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9"/>
      <c r="B589" s="8"/>
      <c r="C589" s="8"/>
      <c r="D589" s="8"/>
      <c r="E589" s="8"/>
      <c r="F589" s="8"/>
      <c r="G589" s="8"/>
      <c r="H589" s="8"/>
      <c r="I589" s="10"/>
      <c r="J589" s="10"/>
      <c r="K589" s="11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9"/>
      <c r="B590" s="8"/>
      <c r="C590" s="8"/>
      <c r="D590" s="8"/>
      <c r="E590" s="8"/>
      <c r="F590" s="8"/>
      <c r="G590" s="8"/>
      <c r="H590" s="8"/>
      <c r="I590" s="10"/>
      <c r="J590" s="10"/>
      <c r="K590" s="11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9"/>
      <c r="B591" s="8"/>
      <c r="C591" s="8"/>
      <c r="D591" s="8"/>
      <c r="E591" s="8"/>
      <c r="F591" s="8"/>
      <c r="G591" s="8"/>
      <c r="H591" s="8"/>
      <c r="I591" s="10"/>
      <c r="J591" s="10"/>
      <c r="K591" s="11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9"/>
      <c r="B592" s="8"/>
      <c r="C592" s="8"/>
      <c r="D592" s="8"/>
      <c r="E592" s="8"/>
      <c r="F592" s="8"/>
      <c r="G592" s="8"/>
      <c r="H592" s="8"/>
      <c r="I592" s="10"/>
      <c r="J592" s="10"/>
      <c r="K592" s="11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9"/>
      <c r="B593" s="8"/>
      <c r="C593" s="8"/>
      <c r="D593" s="8"/>
      <c r="E593" s="8"/>
      <c r="F593" s="8"/>
      <c r="G593" s="8"/>
      <c r="H593" s="8"/>
      <c r="I593" s="10"/>
      <c r="J593" s="10"/>
      <c r="K593" s="11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9"/>
      <c r="B594" s="8"/>
      <c r="C594" s="8"/>
      <c r="D594" s="8"/>
      <c r="E594" s="8"/>
      <c r="F594" s="8"/>
      <c r="G594" s="8"/>
      <c r="H594" s="8"/>
      <c r="I594" s="10"/>
      <c r="J594" s="10"/>
      <c r="K594" s="11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9"/>
      <c r="B595" s="8"/>
      <c r="C595" s="8"/>
      <c r="D595" s="8"/>
      <c r="E595" s="8"/>
      <c r="F595" s="8"/>
      <c r="G595" s="8"/>
      <c r="H595" s="8"/>
      <c r="I595" s="10"/>
      <c r="J595" s="10"/>
      <c r="K595" s="11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9"/>
      <c r="B596" s="8"/>
      <c r="C596" s="8"/>
      <c r="D596" s="8"/>
      <c r="E596" s="8"/>
      <c r="F596" s="8"/>
      <c r="G596" s="8"/>
      <c r="H596" s="8"/>
      <c r="I596" s="10"/>
      <c r="J596" s="10"/>
      <c r="K596" s="11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12"/>
      <c r="B597" s="13"/>
      <c r="C597" s="13"/>
      <c r="D597" s="13"/>
      <c r="E597" s="13"/>
      <c r="F597" s="13"/>
      <c r="G597" s="13"/>
      <c r="H597" s="13"/>
      <c r="I597" s="14"/>
      <c r="J597" s="14"/>
      <c r="K597" s="11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9"/>
      <c r="B598" s="8"/>
      <c r="C598" s="8"/>
      <c r="D598" s="8"/>
      <c r="E598" s="8"/>
      <c r="F598" s="8"/>
      <c r="G598" s="8"/>
      <c r="H598" s="8"/>
      <c r="I598" s="10"/>
      <c r="J598" s="10"/>
      <c r="K598" s="11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9"/>
      <c r="B599" s="8"/>
      <c r="C599" s="8"/>
      <c r="D599" s="8"/>
      <c r="E599" s="8"/>
      <c r="F599" s="8"/>
      <c r="G599" s="8"/>
      <c r="H599" s="8"/>
      <c r="I599" s="10"/>
      <c r="J599" s="10"/>
      <c r="K599" s="11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9"/>
      <c r="B600" s="8"/>
      <c r="C600" s="8"/>
      <c r="D600" s="8"/>
      <c r="E600" s="8"/>
      <c r="F600" s="8"/>
      <c r="G600" s="8"/>
      <c r="H600" s="8"/>
      <c r="I600" s="10"/>
      <c r="J600" s="10"/>
      <c r="K600" s="11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9"/>
      <c r="B601" s="8"/>
      <c r="C601" s="8"/>
      <c r="D601" s="8"/>
      <c r="E601" s="8"/>
      <c r="F601" s="8"/>
      <c r="G601" s="8"/>
      <c r="H601" s="8"/>
      <c r="I601" s="10"/>
      <c r="J601" s="10"/>
      <c r="K601" s="11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9"/>
      <c r="B602" s="8"/>
      <c r="C602" s="8"/>
      <c r="D602" s="8"/>
      <c r="E602" s="8"/>
      <c r="F602" s="8"/>
      <c r="G602" s="8"/>
      <c r="H602" s="8"/>
      <c r="I602" s="10"/>
      <c r="J602" s="10"/>
      <c r="K602" s="11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9"/>
      <c r="B603" s="8"/>
      <c r="C603" s="8"/>
      <c r="D603" s="8"/>
      <c r="E603" s="8"/>
      <c r="F603" s="8"/>
      <c r="G603" s="8"/>
      <c r="H603" s="8"/>
      <c r="I603" s="10"/>
      <c r="J603" s="10"/>
      <c r="K603" s="11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9"/>
      <c r="B604" s="8"/>
      <c r="C604" s="8"/>
      <c r="D604" s="8"/>
      <c r="E604" s="8"/>
      <c r="F604" s="8"/>
      <c r="G604" s="8"/>
      <c r="H604" s="8"/>
      <c r="I604" s="10"/>
      <c r="J604" s="10"/>
      <c r="K604" s="11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9"/>
      <c r="B605" s="8"/>
      <c r="C605" s="8"/>
      <c r="D605" s="8"/>
      <c r="E605" s="8"/>
      <c r="F605" s="8"/>
      <c r="G605" s="8"/>
      <c r="H605" s="8"/>
      <c r="I605" s="10"/>
      <c r="J605" s="10"/>
      <c r="K605" s="11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9"/>
      <c r="B606" s="8"/>
      <c r="C606" s="8"/>
      <c r="D606" s="8"/>
      <c r="E606" s="8"/>
      <c r="F606" s="8"/>
      <c r="G606" s="8"/>
      <c r="H606" s="8"/>
      <c r="I606" s="10"/>
      <c r="J606" s="10"/>
      <c r="K606" s="11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9"/>
      <c r="B607" s="8"/>
      <c r="C607" s="8"/>
      <c r="D607" s="8"/>
      <c r="E607" s="8"/>
      <c r="F607" s="8"/>
      <c r="G607" s="8"/>
      <c r="H607" s="8"/>
      <c r="I607" s="10"/>
      <c r="J607" s="10"/>
      <c r="K607" s="11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9"/>
      <c r="B608" s="8"/>
      <c r="C608" s="8"/>
      <c r="D608" s="8"/>
      <c r="E608" s="8"/>
      <c r="F608" s="8"/>
      <c r="G608" s="8"/>
      <c r="H608" s="8"/>
      <c r="I608" s="10"/>
      <c r="J608" s="10"/>
      <c r="K608" s="11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9"/>
      <c r="B609" s="8"/>
      <c r="C609" s="8"/>
      <c r="D609" s="8"/>
      <c r="E609" s="8"/>
      <c r="F609" s="8"/>
      <c r="G609" s="8"/>
      <c r="H609" s="8"/>
      <c r="I609" s="10"/>
      <c r="J609" s="10"/>
      <c r="K609" s="11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9"/>
      <c r="B610" s="8"/>
      <c r="C610" s="8"/>
      <c r="D610" s="8"/>
      <c r="E610" s="8"/>
      <c r="F610" s="8"/>
      <c r="G610" s="8"/>
      <c r="H610" s="8"/>
      <c r="I610" s="10"/>
      <c r="J610" s="10"/>
      <c r="K610" s="11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9"/>
      <c r="B611" s="8"/>
      <c r="C611" s="8"/>
      <c r="D611" s="8"/>
      <c r="E611" s="8"/>
      <c r="F611" s="8"/>
      <c r="G611" s="8"/>
      <c r="H611" s="8"/>
      <c r="I611" s="10"/>
      <c r="J611" s="10"/>
      <c r="K611" s="11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9"/>
      <c r="B612" s="8"/>
      <c r="C612" s="8"/>
      <c r="D612" s="8"/>
      <c r="E612" s="8"/>
      <c r="F612" s="8"/>
      <c r="G612" s="8"/>
      <c r="H612" s="8"/>
      <c r="I612" s="10"/>
      <c r="J612" s="10"/>
      <c r="K612" s="11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9"/>
      <c r="B613" s="8"/>
      <c r="C613" s="8"/>
      <c r="D613" s="8"/>
      <c r="E613" s="8"/>
      <c r="F613" s="8"/>
      <c r="G613" s="8"/>
      <c r="H613" s="8"/>
      <c r="I613" s="10"/>
      <c r="J613" s="10"/>
      <c r="K613" s="11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9"/>
      <c r="B614" s="8"/>
      <c r="C614" s="8"/>
      <c r="D614" s="8"/>
      <c r="E614" s="8"/>
      <c r="F614" s="8"/>
      <c r="G614" s="8"/>
      <c r="H614" s="8"/>
      <c r="I614" s="10"/>
      <c r="J614" s="10"/>
      <c r="K614" s="11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9"/>
      <c r="B615" s="8"/>
      <c r="C615" s="8"/>
      <c r="D615" s="8"/>
      <c r="E615" s="8"/>
      <c r="F615" s="8"/>
      <c r="G615" s="8"/>
      <c r="H615" s="8"/>
      <c r="I615" s="10"/>
      <c r="J615" s="10"/>
      <c r="K615" s="11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9"/>
      <c r="B616" s="8"/>
      <c r="C616" s="8"/>
      <c r="D616" s="8"/>
      <c r="E616" s="8"/>
      <c r="F616" s="8"/>
      <c r="G616" s="8"/>
      <c r="H616" s="8"/>
      <c r="I616" s="10"/>
      <c r="J616" s="10"/>
      <c r="K616" s="11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9"/>
      <c r="B617" s="8"/>
      <c r="C617" s="8"/>
      <c r="D617" s="8"/>
      <c r="E617" s="8"/>
      <c r="F617" s="8"/>
      <c r="G617" s="8"/>
      <c r="H617" s="8"/>
      <c r="I617" s="10"/>
      <c r="J617" s="10"/>
      <c r="K617" s="11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9"/>
      <c r="B618" s="8"/>
      <c r="C618" s="8"/>
      <c r="D618" s="8"/>
      <c r="E618" s="8"/>
      <c r="F618" s="8"/>
      <c r="G618" s="8"/>
      <c r="H618" s="8"/>
      <c r="I618" s="10"/>
      <c r="J618" s="10"/>
      <c r="K618" s="11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9"/>
      <c r="B619" s="8"/>
      <c r="C619" s="8"/>
      <c r="D619" s="8"/>
      <c r="E619" s="8"/>
      <c r="F619" s="8"/>
      <c r="G619" s="8"/>
      <c r="H619" s="8"/>
      <c r="I619" s="10"/>
      <c r="J619" s="10"/>
      <c r="K619" s="11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9"/>
      <c r="B620" s="8"/>
      <c r="C620" s="8"/>
      <c r="D620" s="8"/>
      <c r="E620" s="8"/>
      <c r="F620" s="8"/>
      <c r="G620" s="8"/>
      <c r="H620" s="8"/>
      <c r="I620" s="10"/>
      <c r="J620" s="10"/>
      <c r="K620" s="11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9"/>
      <c r="B621" s="8"/>
      <c r="C621" s="8"/>
      <c r="D621" s="8"/>
      <c r="E621" s="8"/>
      <c r="F621" s="8"/>
      <c r="G621" s="8"/>
      <c r="H621" s="8"/>
      <c r="I621" s="10"/>
      <c r="J621" s="10"/>
      <c r="K621" s="11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9"/>
      <c r="B622" s="8"/>
      <c r="C622" s="8"/>
      <c r="D622" s="8"/>
      <c r="E622" s="8"/>
      <c r="F622" s="8"/>
      <c r="G622" s="8"/>
      <c r="H622" s="8"/>
      <c r="I622" s="10"/>
      <c r="J622" s="10"/>
      <c r="K622" s="11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9"/>
      <c r="B623" s="8"/>
      <c r="C623" s="8"/>
      <c r="D623" s="8"/>
      <c r="E623" s="8"/>
      <c r="F623" s="8"/>
      <c r="G623" s="8"/>
      <c r="H623" s="8"/>
      <c r="I623" s="10"/>
      <c r="J623" s="10"/>
      <c r="K623" s="11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9"/>
      <c r="B624" s="8"/>
      <c r="C624" s="8"/>
      <c r="D624" s="8"/>
      <c r="E624" s="8"/>
      <c r="F624" s="8"/>
      <c r="G624" s="8"/>
      <c r="H624" s="8"/>
      <c r="I624" s="10"/>
      <c r="J624" s="10"/>
      <c r="K624" s="11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9"/>
      <c r="B625" s="8"/>
      <c r="C625" s="8"/>
      <c r="D625" s="8"/>
      <c r="E625" s="8"/>
      <c r="F625" s="8"/>
      <c r="G625" s="8"/>
      <c r="H625" s="8"/>
      <c r="I625" s="10"/>
      <c r="J625" s="10"/>
      <c r="K625" s="11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9"/>
      <c r="B626" s="8"/>
      <c r="C626" s="8"/>
      <c r="D626" s="8"/>
      <c r="E626" s="8"/>
      <c r="F626" s="8"/>
      <c r="G626" s="8"/>
      <c r="H626" s="8"/>
      <c r="I626" s="10"/>
      <c r="J626" s="10"/>
      <c r="K626" s="11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9"/>
      <c r="B627" s="8"/>
      <c r="C627" s="8"/>
      <c r="D627" s="8"/>
      <c r="E627" s="8"/>
      <c r="F627" s="8"/>
      <c r="G627" s="8"/>
      <c r="H627" s="8"/>
      <c r="I627" s="10"/>
      <c r="J627" s="10"/>
      <c r="K627" s="11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9"/>
      <c r="B628" s="8"/>
      <c r="C628" s="8"/>
      <c r="D628" s="8"/>
      <c r="E628" s="8"/>
      <c r="F628" s="8"/>
      <c r="G628" s="8"/>
      <c r="H628" s="8"/>
      <c r="I628" s="10"/>
      <c r="J628" s="10"/>
      <c r="K628" s="11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9"/>
      <c r="B629" s="8"/>
      <c r="C629" s="8"/>
      <c r="D629" s="8"/>
      <c r="E629" s="8"/>
      <c r="F629" s="8"/>
      <c r="G629" s="8"/>
      <c r="H629" s="8"/>
      <c r="I629" s="10"/>
      <c r="J629" s="10"/>
      <c r="K629" s="11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9"/>
      <c r="B630" s="8"/>
      <c r="C630" s="8"/>
      <c r="D630" s="8"/>
      <c r="E630" s="8"/>
      <c r="F630" s="8"/>
      <c r="G630" s="8"/>
      <c r="H630" s="8"/>
      <c r="I630" s="10"/>
      <c r="J630" s="10"/>
      <c r="K630" s="11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9"/>
      <c r="B631" s="8"/>
      <c r="C631" s="8"/>
      <c r="D631" s="8"/>
      <c r="E631" s="8"/>
      <c r="F631" s="8"/>
      <c r="G631" s="8"/>
      <c r="H631" s="8"/>
      <c r="I631" s="10"/>
      <c r="J631" s="10"/>
      <c r="K631" s="11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9"/>
      <c r="B632" s="8"/>
      <c r="C632" s="8"/>
      <c r="D632" s="8"/>
      <c r="E632" s="8"/>
      <c r="F632" s="8"/>
      <c r="G632" s="8"/>
      <c r="H632" s="8"/>
      <c r="I632" s="10"/>
      <c r="J632" s="10"/>
      <c r="K632" s="11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9"/>
      <c r="B633" s="8"/>
      <c r="C633" s="8"/>
      <c r="D633" s="8"/>
      <c r="E633" s="8"/>
      <c r="F633" s="8"/>
      <c r="G633" s="8"/>
      <c r="H633" s="8"/>
      <c r="I633" s="10"/>
      <c r="J633" s="10"/>
      <c r="K633" s="11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9"/>
      <c r="B634" s="8"/>
      <c r="C634" s="8"/>
      <c r="D634" s="8"/>
      <c r="E634" s="8"/>
      <c r="F634" s="8"/>
      <c r="G634" s="8"/>
      <c r="H634" s="8"/>
      <c r="I634" s="10"/>
      <c r="J634" s="10"/>
      <c r="K634" s="11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9"/>
      <c r="B635" s="8"/>
      <c r="C635" s="8"/>
      <c r="D635" s="8"/>
      <c r="E635" s="8"/>
      <c r="F635" s="8"/>
      <c r="G635" s="8"/>
      <c r="H635" s="8"/>
      <c r="I635" s="10"/>
      <c r="J635" s="10"/>
      <c r="K635" s="11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9"/>
      <c r="B636" s="8"/>
      <c r="C636" s="8"/>
      <c r="D636" s="8"/>
      <c r="E636" s="8"/>
      <c r="F636" s="8"/>
      <c r="G636" s="8"/>
      <c r="H636" s="8"/>
      <c r="I636" s="10"/>
      <c r="J636" s="10"/>
      <c r="K636" s="11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9"/>
      <c r="B637" s="8"/>
      <c r="C637" s="8"/>
      <c r="D637" s="8"/>
      <c r="E637" s="8"/>
      <c r="F637" s="8"/>
      <c r="G637" s="8"/>
      <c r="H637" s="8"/>
      <c r="I637" s="10"/>
      <c r="J637" s="10"/>
      <c r="K637" s="11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9"/>
      <c r="B638" s="8"/>
      <c r="C638" s="8"/>
      <c r="D638" s="8"/>
      <c r="E638" s="8"/>
      <c r="F638" s="8"/>
      <c r="G638" s="8"/>
      <c r="H638" s="8"/>
      <c r="I638" s="10"/>
      <c r="J638" s="10"/>
      <c r="K638" s="11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9"/>
      <c r="B639" s="8"/>
      <c r="C639" s="8"/>
      <c r="D639" s="8"/>
      <c r="E639" s="8"/>
      <c r="F639" s="8"/>
      <c r="G639" s="8"/>
      <c r="H639" s="8"/>
      <c r="I639" s="10"/>
      <c r="J639" s="10"/>
      <c r="K639" s="11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9"/>
      <c r="B640" s="8"/>
      <c r="C640" s="8"/>
      <c r="D640" s="8"/>
      <c r="E640" s="8"/>
      <c r="F640" s="8"/>
      <c r="G640" s="8"/>
      <c r="H640" s="8"/>
      <c r="I640" s="10"/>
      <c r="J640" s="10"/>
      <c r="K640" s="11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9"/>
      <c r="B641" s="8"/>
      <c r="C641" s="8"/>
      <c r="D641" s="8"/>
      <c r="E641" s="8"/>
      <c r="F641" s="8"/>
      <c r="G641" s="8"/>
      <c r="H641" s="8"/>
      <c r="I641" s="10"/>
      <c r="J641" s="10"/>
      <c r="K641" s="11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12"/>
      <c r="B642" s="13"/>
      <c r="C642" s="13"/>
      <c r="D642" s="13"/>
      <c r="E642" s="13"/>
      <c r="F642" s="13"/>
      <c r="G642" s="13"/>
      <c r="H642" s="13"/>
      <c r="I642" s="14"/>
      <c r="J642" s="14"/>
      <c r="K642" s="11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9"/>
      <c r="B643" s="8"/>
      <c r="C643" s="8"/>
      <c r="D643" s="8"/>
      <c r="E643" s="8"/>
      <c r="F643" s="8"/>
      <c r="G643" s="8"/>
      <c r="H643" s="8"/>
      <c r="I643" s="10"/>
      <c r="J643" s="10"/>
      <c r="K643" s="11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9"/>
      <c r="B644" s="8"/>
      <c r="C644" s="8"/>
      <c r="D644" s="8"/>
      <c r="E644" s="8"/>
      <c r="F644" s="8"/>
      <c r="G644" s="8"/>
      <c r="H644" s="8"/>
      <c r="I644" s="10"/>
      <c r="J644" s="10"/>
      <c r="K644" s="11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9"/>
      <c r="B645" s="8"/>
      <c r="C645" s="8"/>
      <c r="D645" s="8"/>
      <c r="E645" s="8"/>
      <c r="F645" s="8"/>
      <c r="G645" s="8"/>
      <c r="H645" s="8"/>
      <c r="I645" s="10"/>
      <c r="J645" s="10"/>
      <c r="K645" s="11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9"/>
      <c r="B646" s="8"/>
      <c r="C646" s="8"/>
      <c r="D646" s="8"/>
      <c r="E646" s="8"/>
      <c r="F646" s="8"/>
      <c r="G646" s="8"/>
      <c r="H646" s="8"/>
      <c r="I646" s="10"/>
      <c r="J646" s="10"/>
      <c r="K646" s="11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9"/>
      <c r="B647" s="8"/>
      <c r="C647" s="8"/>
      <c r="D647" s="8"/>
      <c r="E647" s="8"/>
      <c r="F647" s="8"/>
      <c r="G647" s="8"/>
      <c r="H647" s="8"/>
      <c r="I647" s="10"/>
      <c r="J647" s="10"/>
      <c r="K647" s="11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9"/>
      <c r="B648" s="8"/>
      <c r="C648" s="8"/>
      <c r="D648" s="8"/>
      <c r="E648" s="8"/>
      <c r="F648" s="8"/>
      <c r="G648" s="8"/>
      <c r="H648" s="8"/>
      <c r="I648" s="10"/>
      <c r="J648" s="10"/>
      <c r="K648" s="11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9"/>
      <c r="B649" s="8"/>
      <c r="C649" s="8"/>
      <c r="D649" s="8"/>
      <c r="E649" s="8"/>
      <c r="F649" s="8"/>
      <c r="G649" s="8"/>
      <c r="H649" s="8"/>
      <c r="I649" s="10"/>
      <c r="J649" s="10"/>
      <c r="K649" s="11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9"/>
      <c r="B650" s="8"/>
      <c r="C650" s="8"/>
      <c r="D650" s="8"/>
      <c r="E650" s="8"/>
      <c r="F650" s="8"/>
      <c r="G650" s="8"/>
      <c r="H650" s="8"/>
      <c r="I650" s="10"/>
      <c r="J650" s="10"/>
      <c r="K650" s="11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9"/>
      <c r="B651" s="8"/>
      <c r="C651" s="8"/>
      <c r="D651" s="8"/>
      <c r="E651" s="8"/>
      <c r="F651" s="8"/>
      <c r="G651" s="8"/>
      <c r="H651" s="8"/>
      <c r="I651" s="10"/>
      <c r="J651" s="10"/>
      <c r="K651" s="11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9"/>
      <c r="B652" s="8"/>
      <c r="C652" s="8"/>
      <c r="D652" s="8"/>
      <c r="E652" s="8"/>
      <c r="F652" s="8"/>
      <c r="G652" s="8"/>
      <c r="H652" s="8"/>
      <c r="I652" s="10"/>
      <c r="J652" s="10"/>
      <c r="K652" s="11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9"/>
      <c r="B653" s="8"/>
      <c r="C653" s="8"/>
      <c r="D653" s="8"/>
      <c r="E653" s="8"/>
      <c r="F653" s="8"/>
      <c r="G653" s="8"/>
      <c r="H653" s="8"/>
      <c r="I653" s="10"/>
      <c r="J653" s="10"/>
      <c r="K653" s="11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9"/>
      <c r="B654" s="8"/>
      <c r="C654" s="8"/>
      <c r="D654" s="8"/>
      <c r="E654" s="8"/>
      <c r="F654" s="8"/>
      <c r="G654" s="8"/>
      <c r="H654" s="8"/>
      <c r="I654" s="10"/>
      <c r="J654" s="10"/>
      <c r="K654" s="11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9"/>
      <c r="B655" s="8"/>
      <c r="C655" s="8"/>
      <c r="D655" s="8"/>
      <c r="E655" s="8"/>
      <c r="F655" s="8"/>
      <c r="G655" s="8"/>
      <c r="H655" s="8"/>
      <c r="I655" s="10"/>
      <c r="J655" s="10"/>
      <c r="K655" s="11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9"/>
      <c r="B656" s="8"/>
      <c r="C656" s="8"/>
      <c r="D656" s="8"/>
      <c r="E656" s="8"/>
      <c r="F656" s="8"/>
      <c r="G656" s="8"/>
      <c r="H656" s="8"/>
      <c r="I656" s="10"/>
      <c r="J656" s="10"/>
      <c r="K656" s="11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9"/>
      <c r="B657" s="8"/>
      <c r="C657" s="8"/>
      <c r="D657" s="8"/>
      <c r="E657" s="8"/>
      <c r="F657" s="8"/>
      <c r="G657" s="8"/>
      <c r="H657" s="8"/>
      <c r="I657" s="10"/>
      <c r="J657" s="10"/>
      <c r="K657" s="11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9"/>
      <c r="B658" s="8"/>
      <c r="C658" s="8"/>
      <c r="D658" s="8"/>
      <c r="E658" s="8"/>
      <c r="F658" s="8"/>
      <c r="G658" s="8"/>
      <c r="H658" s="8"/>
      <c r="I658" s="10"/>
      <c r="J658" s="10"/>
      <c r="K658" s="11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9"/>
      <c r="B659" s="8"/>
      <c r="C659" s="8"/>
      <c r="D659" s="8"/>
      <c r="E659" s="8"/>
      <c r="F659" s="8"/>
      <c r="G659" s="8"/>
      <c r="H659" s="8"/>
      <c r="I659" s="10"/>
      <c r="J659" s="10"/>
      <c r="K659" s="11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9"/>
      <c r="B660" s="8"/>
      <c r="C660" s="8"/>
      <c r="D660" s="8"/>
      <c r="E660" s="8"/>
      <c r="F660" s="8"/>
      <c r="G660" s="8"/>
      <c r="H660" s="8"/>
      <c r="I660" s="10"/>
      <c r="J660" s="10"/>
      <c r="K660" s="11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9"/>
      <c r="B661" s="8"/>
      <c r="C661" s="8"/>
      <c r="D661" s="8"/>
      <c r="E661" s="8"/>
      <c r="F661" s="8"/>
      <c r="G661" s="8"/>
      <c r="H661" s="8"/>
      <c r="I661" s="10"/>
      <c r="J661" s="10"/>
      <c r="K661" s="11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9"/>
      <c r="B662" s="8"/>
      <c r="C662" s="8"/>
      <c r="D662" s="8"/>
      <c r="E662" s="8"/>
      <c r="F662" s="8"/>
      <c r="G662" s="8"/>
      <c r="H662" s="8"/>
      <c r="I662" s="10"/>
      <c r="J662" s="10"/>
      <c r="K662" s="11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9"/>
      <c r="B663" s="8"/>
      <c r="C663" s="8"/>
      <c r="D663" s="8"/>
      <c r="E663" s="8"/>
      <c r="F663" s="8"/>
      <c r="G663" s="8"/>
      <c r="H663" s="8"/>
      <c r="I663" s="10"/>
      <c r="J663" s="10"/>
      <c r="K663" s="11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9"/>
      <c r="B664" s="8"/>
      <c r="C664" s="8"/>
      <c r="D664" s="8"/>
      <c r="E664" s="8"/>
      <c r="F664" s="8"/>
      <c r="G664" s="8"/>
      <c r="H664" s="8"/>
      <c r="I664" s="10"/>
      <c r="J664" s="10"/>
      <c r="K664" s="11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9"/>
      <c r="B665" s="8"/>
      <c r="C665" s="8"/>
      <c r="D665" s="8"/>
      <c r="E665" s="8"/>
      <c r="F665" s="8"/>
      <c r="G665" s="8"/>
      <c r="H665" s="8"/>
      <c r="I665" s="10"/>
      <c r="J665" s="10"/>
      <c r="K665" s="11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12"/>
      <c r="B666" s="13"/>
      <c r="C666" s="13"/>
      <c r="D666" s="13"/>
      <c r="E666" s="13"/>
      <c r="F666" s="13"/>
      <c r="G666" s="13"/>
      <c r="H666" s="13"/>
      <c r="I666" s="14"/>
      <c r="J666" s="14"/>
      <c r="K666" s="11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9"/>
      <c r="B667" s="8"/>
      <c r="C667" s="8"/>
      <c r="D667" s="8"/>
      <c r="E667" s="8"/>
      <c r="F667" s="8"/>
      <c r="G667" s="8"/>
      <c r="H667" s="8"/>
      <c r="I667" s="10"/>
      <c r="J667" s="10"/>
      <c r="K667" s="11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9"/>
      <c r="B668" s="8"/>
      <c r="C668" s="8"/>
      <c r="D668" s="8"/>
      <c r="E668" s="8"/>
      <c r="F668" s="8"/>
      <c r="G668" s="8"/>
      <c r="H668" s="8"/>
      <c r="I668" s="10"/>
      <c r="J668" s="10"/>
      <c r="K668" s="11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9"/>
      <c r="B669" s="8"/>
      <c r="C669" s="8"/>
      <c r="D669" s="8"/>
      <c r="E669" s="8"/>
      <c r="F669" s="8"/>
      <c r="G669" s="8"/>
      <c r="H669" s="8"/>
      <c r="I669" s="10"/>
      <c r="J669" s="10"/>
      <c r="K669" s="11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9"/>
      <c r="B670" s="8"/>
      <c r="C670" s="8"/>
      <c r="D670" s="8"/>
      <c r="E670" s="8"/>
      <c r="F670" s="8"/>
      <c r="G670" s="8"/>
      <c r="H670" s="8"/>
      <c r="I670" s="10"/>
      <c r="J670" s="10"/>
      <c r="K670" s="11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9"/>
      <c r="B671" s="8"/>
      <c r="C671" s="8"/>
      <c r="D671" s="8"/>
      <c r="E671" s="8"/>
      <c r="F671" s="8"/>
      <c r="G671" s="8"/>
      <c r="H671" s="8"/>
      <c r="I671" s="10"/>
      <c r="J671" s="10"/>
      <c r="K671" s="11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9"/>
      <c r="B672" s="8"/>
      <c r="C672" s="8"/>
      <c r="D672" s="8"/>
      <c r="E672" s="8"/>
      <c r="F672" s="8"/>
      <c r="G672" s="8"/>
      <c r="H672" s="8"/>
      <c r="I672" s="10"/>
      <c r="J672" s="10"/>
      <c r="K672" s="11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9"/>
      <c r="B673" s="8"/>
      <c r="C673" s="8"/>
      <c r="D673" s="8"/>
      <c r="E673" s="8"/>
      <c r="F673" s="8"/>
      <c r="G673" s="8"/>
      <c r="H673" s="8"/>
      <c r="I673" s="10"/>
      <c r="J673" s="10"/>
      <c r="K673" s="11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9"/>
      <c r="B674" s="8"/>
      <c r="C674" s="8"/>
      <c r="D674" s="8"/>
      <c r="E674" s="8"/>
      <c r="F674" s="8"/>
      <c r="G674" s="8"/>
      <c r="H674" s="8"/>
      <c r="I674" s="10"/>
      <c r="J674" s="10"/>
      <c r="K674" s="11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9"/>
      <c r="B675" s="8"/>
      <c r="C675" s="8"/>
      <c r="D675" s="8"/>
      <c r="E675" s="8"/>
      <c r="F675" s="8"/>
      <c r="G675" s="8"/>
      <c r="H675" s="8"/>
      <c r="I675" s="10"/>
      <c r="J675" s="10"/>
      <c r="K675" s="11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9"/>
      <c r="B676" s="8"/>
      <c r="C676" s="8"/>
      <c r="D676" s="8"/>
      <c r="E676" s="8"/>
      <c r="F676" s="8"/>
      <c r="G676" s="8"/>
      <c r="H676" s="8"/>
      <c r="I676" s="10"/>
      <c r="J676" s="10"/>
      <c r="K676" s="11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9"/>
      <c r="B677" s="8"/>
      <c r="C677" s="8"/>
      <c r="D677" s="8"/>
      <c r="E677" s="8"/>
      <c r="F677" s="8"/>
      <c r="G677" s="8"/>
      <c r="H677" s="8"/>
      <c r="I677" s="10"/>
      <c r="J677" s="10"/>
      <c r="K677" s="11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9"/>
      <c r="B678" s="8"/>
      <c r="C678" s="8"/>
      <c r="D678" s="8"/>
      <c r="E678" s="8"/>
      <c r="F678" s="8"/>
      <c r="G678" s="8"/>
      <c r="H678" s="8"/>
      <c r="I678" s="10"/>
      <c r="J678" s="10"/>
      <c r="K678" s="11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9"/>
      <c r="B679" s="8"/>
      <c r="C679" s="8"/>
      <c r="D679" s="8"/>
      <c r="E679" s="8"/>
      <c r="F679" s="8"/>
      <c r="G679" s="8"/>
      <c r="H679" s="8"/>
      <c r="I679" s="10"/>
      <c r="J679" s="10"/>
      <c r="K679" s="11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9"/>
      <c r="B680" s="8"/>
      <c r="C680" s="8"/>
      <c r="D680" s="8"/>
      <c r="E680" s="8"/>
      <c r="F680" s="8"/>
      <c r="G680" s="8"/>
      <c r="H680" s="8"/>
      <c r="I680" s="10"/>
      <c r="J680" s="10"/>
      <c r="K680" s="11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9"/>
      <c r="B681" s="8"/>
      <c r="C681" s="8"/>
      <c r="D681" s="8"/>
      <c r="E681" s="8"/>
      <c r="F681" s="8"/>
      <c r="G681" s="8"/>
      <c r="H681" s="8"/>
      <c r="I681" s="10"/>
      <c r="J681" s="10"/>
      <c r="K681" s="11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9"/>
      <c r="B682" s="8"/>
      <c r="C682" s="8"/>
      <c r="D682" s="8"/>
      <c r="E682" s="8"/>
      <c r="F682" s="8"/>
      <c r="G682" s="8"/>
      <c r="H682" s="8"/>
      <c r="I682" s="10"/>
      <c r="J682" s="10"/>
      <c r="K682" s="11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9"/>
      <c r="B683" s="8"/>
      <c r="C683" s="8"/>
      <c r="D683" s="8"/>
      <c r="E683" s="8"/>
      <c r="F683" s="8"/>
      <c r="G683" s="8"/>
      <c r="H683" s="8"/>
      <c r="I683" s="10"/>
      <c r="J683" s="10"/>
      <c r="K683" s="11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9"/>
      <c r="B684" s="8"/>
      <c r="C684" s="8"/>
      <c r="D684" s="8"/>
      <c r="E684" s="8"/>
      <c r="F684" s="8"/>
      <c r="G684" s="8"/>
      <c r="H684" s="8"/>
      <c r="I684" s="10"/>
      <c r="J684" s="10"/>
      <c r="K684" s="11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9"/>
      <c r="B685" s="8"/>
      <c r="C685" s="8"/>
      <c r="D685" s="8"/>
      <c r="E685" s="8"/>
      <c r="F685" s="8"/>
      <c r="G685" s="8"/>
      <c r="H685" s="8"/>
      <c r="I685" s="10"/>
      <c r="J685" s="10"/>
      <c r="K685" s="11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9"/>
      <c r="B686" s="8"/>
      <c r="C686" s="8"/>
      <c r="D686" s="8"/>
      <c r="E686" s="8"/>
      <c r="F686" s="8"/>
      <c r="G686" s="8"/>
      <c r="H686" s="8"/>
      <c r="I686" s="10"/>
      <c r="J686" s="10"/>
      <c r="K686" s="11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9"/>
      <c r="B687" s="8"/>
      <c r="C687" s="8"/>
      <c r="D687" s="8"/>
      <c r="E687" s="8"/>
      <c r="F687" s="8"/>
      <c r="G687" s="8"/>
      <c r="H687" s="8"/>
      <c r="I687" s="10"/>
      <c r="J687" s="10"/>
      <c r="K687" s="11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9"/>
      <c r="B688" s="8"/>
      <c r="C688" s="8"/>
      <c r="D688" s="8"/>
      <c r="E688" s="8"/>
      <c r="F688" s="8"/>
      <c r="G688" s="8"/>
      <c r="H688" s="8"/>
      <c r="I688" s="10"/>
      <c r="J688" s="10"/>
      <c r="K688" s="11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9"/>
      <c r="B689" s="8"/>
      <c r="C689" s="8"/>
      <c r="D689" s="8"/>
      <c r="E689" s="8"/>
      <c r="F689" s="8"/>
      <c r="G689" s="8"/>
      <c r="H689" s="8"/>
      <c r="I689" s="10"/>
      <c r="J689" s="10"/>
      <c r="K689" s="11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9"/>
      <c r="B690" s="8"/>
      <c r="C690" s="8"/>
      <c r="D690" s="8"/>
      <c r="E690" s="8"/>
      <c r="F690" s="8"/>
      <c r="G690" s="8"/>
      <c r="H690" s="8"/>
      <c r="I690" s="10"/>
      <c r="J690" s="10"/>
      <c r="K690" s="11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9"/>
      <c r="B691" s="8"/>
      <c r="C691" s="8"/>
      <c r="D691" s="8"/>
      <c r="E691" s="8"/>
      <c r="F691" s="8"/>
      <c r="G691" s="8"/>
      <c r="H691" s="8"/>
      <c r="I691" s="10"/>
      <c r="J691" s="10"/>
      <c r="K691" s="11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9"/>
      <c r="B692" s="8"/>
      <c r="C692" s="8"/>
      <c r="D692" s="8"/>
      <c r="E692" s="8"/>
      <c r="F692" s="8"/>
      <c r="G692" s="8"/>
      <c r="H692" s="8"/>
      <c r="I692" s="10"/>
      <c r="J692" s="10"/>
      <c r="K692" s="11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9"/>
      <c r="B693" s="8"/>
      <c r="C693" s="8"/>
      <c r="D693" s="8"/>
      <c r="E693" s="8"/>
      <c r="F693" s="8"/>
      <c r="G693" s="8"/>
      <c r="H693" s="8"/>
      <c r="I693" s="10"/>
      <c r="J693" s="10"/>
      <c r="K693" s="11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9"/>
      <c r="B694" s="8"/>
      <c r="C694" s="8"/>
      <c r="D694" s="8"/>
      <c r="E694" s="8"/>
      <c r="F694" s="8"/>
      <c r="G694" s="8"/>
      <c r="H694" s="8"/>
      <c r="I694" s="10"/>
      <c r="J694" s="10"/>
      <c r="K694" s="11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9"/>
      <c r="B695" s="8"/>
      <c r="C695" s="8"/>
      <c r="D695" s="8"/>
      <c r="E695" s="8"/>
      <c r="F695" s="8"/>
      <c r="G695" s="8"/>
      <c r="H695" s="8"/>
      <c r="I695" s="10"/>
      <c r="J695" s="10"/>
      <c r="K695" s="11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9"/>
      <c r="B696" s="8"/>
      <c r="C696" s="8"/>
      <c r="D696" s="8"/>
      <c r="E696" s="8"/>
      <c r="F696" s="8"/>
      <c r="G696" s="8"/>
      <c r="H696" s="8"/>
      <c r="I696" s="10"/>
      <c r="J696" s="10"/>
      <c r="K696" s="11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9"/>
      <c r="B697" s="8"/>
      <c r="C697" s="8"/>
      <c r="D697" s="8"/>
      <c r="E697" s="8"/>
      <c r="F697" s="8"/>
      <c r="G697" s="8"/>
      <c r="H697" s="8"/>
      <c r="I697" s="10"/>
      <c r="J697" s="10"/>
      <c r="K697" s="11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9"/>
      <c r="B698" s="8"/>
      <c r="C698" s="8"/>
      <c r="D698" s="8"/>
      <c r="E698" s="8"/>
      <c r="F698" s="8"/>
      <c r="G698" s="8"/>
      <c r="H698" s="8"/>
      <c r="I698" s="10"/>
      <c r="J698" s="10"/>
      <c r="K698" s="11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9"/>
      <c r="B699" s="8"/>
      <c r="C699" s="8"/>
      <c r="D699" s="8"/>
      <c r="E699" s="8"/>
      <c r="F699" s="8"/>
      <c r="G699" s="8"/>
      <c r="H699" s="8"/>
      <c r="I699" s="10"/>
      <c r="J699" s="10"/>
      <c r="K699" s="11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9"/>
      <c r="B700" s="8"/>
      <c r="C700" s="8"/>
      <c r="D700" s="8"/>
      <c r="E700" s="8"/>
      <c r="F700" s="8"/>
      <c r="G700" s="8"/>
      <c r="H700" s="8"/>
      <c r="I700" s="10"/>
      <c r="J700" s="10"/>
      <c r="K700" s="11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9"/>
      <c r="B701" s="8"/>
      <c r="C701" s="8"/>
      <c r="D701" s="8"/>
      <c r="E701" s="8"/>
      <c r="F701" s="8"/>
      <c r="G701" s="8"/>
      <c r="H701" s="8"/>
      <c r="I701" s="10"/>
      <c r="J701" s="10"/>
      <c r="K701" s="11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9"/>
      <c r="B702" s="8"/>
      <c r="C702" s="8"/>
      <c r="D702" s="8"/>
      <c r="E702" s="8"/>
      <c r="F702" s="8"/>
      <c r="G702" s="8"/>
      <c r="H702" s="8"/>
      <c r="I702" s="10"/>
      <c r="J702" s="10"/>
      <c r="K702" s="11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9"/>
      <c r="B703" s="8"/>
      <c r="C703" s="8"/>
      <c r="D703" s="8"/>
      <c r="E703" s="8"/>
      <c r="F703" s="8"/>
      <c r="G703" s="8"/>
      <c r="H703" s="8"/>
      <c r="I703" s="10"/>
      <c r="J703" s="10"/>
      <c r="K703" s="11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9"/>
      <c r="B704" s="8"/>
      <c r="C704" s="8"/>
      <c r="D704" s="8"/>
      <c r="E704" s="8"/>
      <c r="F704" s="8"/>
      <c r="G704" s="8"/>
      <c r="H704" s="8"/>
      <c r="I704" s="10"/>
      <c r="J704" s="10"/>
      <c r="K704" s="11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12"/>
      <c r="B705" s="13"/>
      <c r="C705" s="13"/>
      <c r="D705" s="13"/>
      <c r="E705" s="13"/>
      <c r="F705" s="13"/>
      <c r="G705" s="13"/>
      <c r="H705" s="13"/>
      <c r="I705" s="15"/>
      <c r="J705" s="15"/>
      <c r="K705" s="11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9"/>
      <c r="B706" s="8"/>
      <c r="C706" s="8"/>
      <c r="D706" s="8"/>
      <c r="E706" s="8"/>
      <c r="F706" s="8"/>
      <c r="G706" s="8"/>
      <c r="H706" s="8"/>
      <c r="I706" s="10"/>
      <c r="J706" s="10"/>
      <c r="K706" s="11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9"/>
      <c r="B707" s="8"/>
      <c r="C707" s="8"/>
      <c r="D707" s="8"/>
      <c r="E707" s="8"/>
      <c r="F707" s="8"/>
      <c r="G707" s="8"/>
      <c r="H707" s="8"/>
      <c r="I707" s="10"/>
      <c r="J707" s="10"/>
      <c r="K707" s="11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9"/>
      <c r="B708" s="8"/>
      <c r="C708" s="8"/>
      <c r="D708" s="8"/>
      <c r="E708" s="8"/>
      <c r="F708" s="8"/>
      <c r="G708" s="8"/>
      <c r="H708" s="8"/>
      <c r="I708" s="10"/>
      <c r="J708" s="10"/>
      <c r="K708" s="11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9"/>
      <c r="B709" s="8"/>
      <c r="C709" s="8"/>
      <c r="D709" s="8"/>
      <c r="E709" s="8"/>
      <c r="F709" s="8"/>
      <c r="G709" s="8"/>
      <c r="H709" s="8"/>
      <c r="I709" s="10"/>
      <c r="J709" s="10"/>
      <c r="K709" s="11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9"/>
      <c r="B710" s="8"/>
      <c r="C710" s="8"/>
      <c r="D710" s="8"/>
      <c r="E710" s="8"/>
      <c r="F710" s="8"/>
      <c r="G710" s="8"/>
      <c r="H710" s="8"/>
      <c r="I710" s="10"/>
      <c r="J710" s="10"/>
      <c r="K710" s="11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12"/>
      <c r="B711" s="13"/>
      <c r="C711" s="13"/>
      <c r="D711" s="13"/>
      <c r="E711" s="13"/>
      <c r="F711" s="13"/>
      <c r="G711" s="13"/>
      <c r="H711" s="13"/>
      <c r="I711" s="14"/>
      <c r="J711" s="14"/>
      <c r="K711" s="11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9"/>
      <c r="B712" s="8"/>
      <c r="C712" s="8"/>
      <c r="D712" s="8"/>
      <c r="E712" s="8"/>
      <c r="F712" s="8"/>
      <c r="G712" s="8"/>
      <c r="H712" s="8"/>
      <c r="I712" s="10"/>
      <c r="J712" s="10"/>
      <c r="K712" s="11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9"/>
      <c r="B713" s="8"/>
      <c r="C713" s="8"/>
      <c r="D713" s="8"/>
      <c r="E713" s="8"/>
      <c r="F713" s="8"/>
      <c r="G713" s="8"/>
      <c r="H713" s="8"/>
      <c r="I713" s="10"/>
      <c r="J713" s="10"/>
      <c r="K713" s="11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9"/>
      <c r="B714" s="8"/>
      <c r="C714" s="8"/>
      <c r="D714" s="8"/>
      <c r="E714" s="8"/>
      <c r="F714" s="8"/>
      <c r="G714" s="8"/>
      <c r="H714" s="8"/>
      <c r="I714" s="10"/>
      <c r="J714" s="10"/>
      <c r="K714" s="11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9"/>
      <c r="B715" s="8"/>
      <c r="C715" s="8"/>
      <c r="D715" s="8"/>
      <c r="E715" s="8"/>
      <c r="F715" s="8"/>
      <c r="G715" s="8"/>
      <c r="H715" s="8"/>
      <c r="I715" s="10"/>
      <c r="J715" s="10"/>
      <c r="K715" s="11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9"/>
      <c r="B716" s="8"/>
      <c r="C716" s="8"/>
      <c r="D716" s="8"/>
      <c r="E716" s="8"/>
      <c r="F716" s="8"/>
      <c r="G716" s="8"/>
      <c r="H716" s="8"/>
      <c r="I716" s="10"/>
      <c r="J716" s="10"/>
      <c r="K716" s="11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9"/>
      <c r="B717" s="8"/>
      <c r="C717" s="8"/>
      <c r="D717" s="8"/>
      <c r="E717" s="8"/>
      <c r="F717" s="8"/>
      <c r="G717" s="8"/>
      <c r="H717" s="8"/>
      <c r="I717" s="10"/>
      <c r="J717" s="10"/>
      <c r="K717" s="11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9"/>
      <c r="B718" s="8"/>
      <c r="C718" s="8"/>
      <c r="D718" s="8"/>
      <c r="E718" s="8"/>
      <c r="F718" s="8"/>
      <c r="G718" s="8"/>
      <c r="H718" s="8"/>
      <c r="I718" s="10"/>
      <c r="J718" s="10"/>
      <c r="K718" s="11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9"/>
      <c r="B719" s="8"/>
      <c r="C719" s="8"/>
      <c r="D719" s="8"/>
      <c r="E719" s="8"/>
      <c r="F719" s="8"/>
      <c r="G719" s="8"/>
      <c r="H719" s="8"/>
      <c r="I719" s="10"/>
      <c r="J719" s="10"/>
      <c r="K719" s="11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9"/>
      <c r="B720" s="8"/>
      <c r="C720" s="8"/>
      <c r="D720" s="8"/>
      <c r="E720" s="8"/>
      <c r="F720" s="8"/>
      <c r="G720" s="8"/>
      <c r="H720" s="8"/>
      <c r="I720" s="10"/>
      <c r="J720" s="10"/>
      <c r="K720" s="11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9"/>
      <c r="B721" s="8"/>
      <c r="C721" s="8"/>
      <c r="D721" s="8"/>
      <c r="E721" s="8"/>
      <c r="F721" s="8"/>
      <c r="G721" s="8"/>
      <c r="H721" s="8"/>
      <c r="I721" s="10"/>
      <c r="J721" s="10"/>
      <c r="K721" s="11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9"/>
      <c r="B722" s="8"/>
      <c r="C722" s="8"/>
      <c r="D722" s="8"/>
      <c r="E722" s="8"/>
      <c r="F722" s="8"/>
      <c r="G722" s="8"/>
      <c r="H722" s="8"/>
      <c r="I722" s="10"/>
      <c r="J722" s="10"/>
      <c r="K722" s="11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9"/>
      <c r="B723" s="8"/>
      <c r="C723" s="8"/>
      <c r="D723" s="8"/>
      <c r="E723" s="8"/>
      <c r="F723" s="8"/>
      <c r="G723" s="8"/>
      <c r="H723" s="8"/>
      <c r="I723" s="10"/>
      <c r="J723" s="10"/>
      <c r="K723" s="11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9"/>
      <c r="B724" s="8"/>
      <c r="C724" s="8"/>
      <c r="D724" s="8"/>
      <c r="E724" s="8"/>
      <c r="F724" s="8"/>
      <c r="G724" s="8"/>
      <c r="H724" s="8"/>
      <c r="I724" s="10"/>
      <c r="J724" s="10"/>
      <c r="K724" s="11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9"/>
      <c r="B725" s="8"/>
      <c r="C725" s="8"/>
      <c r="D725" s="8"/>
      <c r="E725" s="8"/>
      <c r="F725" s="8"/>
      <c r="G725" s="8"/>
      <c r="H725" s="8"/>
      <c r="I725" s="10"/>
      <c r="J725" s="10"/>
      <c r="K725" s="11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9"/>
      <c r="B726" s="8"/>
      <c r="C726" s="8"/>
      <c r="D726" s="8"/>
      <c r="E726" s="8"/>
      <c r="F726" s="8"/>
      <c r="G726" s="8"/>
      <c r="H726" s="8"/>
      <c r="I726" s="10"/>
      <c r="J726" s="10"/>
      <c r="K726" s="11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9"/>
      <c r="B727" s="8"/>
      <c r="C727" s="8"/>
      <c r="D727" s="8"/>
      <c r="E727" s="8"/>
      <c r="F727" s="8"/>
      <c r="G727" s="8"/>
      <c r="H727" s="8"/>
      <c r="I727" s="10"/>
      <c r="J727" s="10"/>
      <c r="K727" s="11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9"/>
      <c r="B728" s="8"/>
      <c r="C728" s="8"/>
      <c r="D728" s="8"/>
      <c r="E728" s="8"/>
      <c r="F728" s="8"/>
      <c r="G728" s="8"/>
      <c r="H728" s="8"/>
      <c r="I728" s="10"/>
      <c r="J728" s="10"/>
      <c r="K728" s="11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9"/>
      <c r="B729" s="8"/>
      <c r="C729" s="8"/>
      <c r="D729" s="8"/>
      <c r="E729" s="8"/>
      <c r="F729" s="8"/>
      <c r="G729" s="8"/>
      <c r="H729" s="8"/>
      <c r="I729" s="10"/>
      <c r="J729" s="10"/>
      <c r="K729" s="11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9"/>
      <c r="B730" s="8"/>
      <c r="C730" s="8"/>
      <c r="D730" s="8"/>
      <c r="E730" s="8"/>
      <c r="F730" s="8"/>
      <c r="G730" s="8"/>
      <c r="H730" s="8"/>
      <c r="I730" s="10"/>
      <c r="J730" s="10"/>
      <c r="K730" s="11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9"/>
      <c r="B731" s="8"/>
      <c r="C731" s="8"/>
      <c r="D731" s="8"/>
      <c r="E731" s="8"/>
      <c r="F731" s="8"/>
      <c r="G731" s="8"/>
      <c r="H731" s="8"/>
      <c r="I731" s="10"/>
      <c r="J731" s="10"/>
      <c r="K731" s="11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9"/>
      <c r="B732" s="8"/>
      <c r="C732" s="8"/>
      <c r="D732" s="8"/>
      <c r="E732" s="8"/>
      <c r="F732" s="8"/>
      <c r="G732" s="8"/>
      <c r="H732" s="8"/>
      <c r="I732" s="10"/>
      <c r="J732" s="10"/>
      <c r="K732" s="11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9"/>
      <c r="B733" s="8"/>
      <c r="C733" s="8"/>
      <c r="D733" s="8"/>
      <c r="E733" s="8"/>
      <c r="F733" s="8"/>
      <c r="G733" s="8"/>
      <c r="H733" s="8"/>
      <c r="I733" s="10"/>
      <c r="J733" s="10"/>
      <c r="K733" s="11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9"/>
      <c r="B734" s="8"/>
      <c r="C734" s="8"/>
      <c r="D734" s="8"/>
      <c r="E734" s="8"/>
      <c r="F734" s="8"/>
      <c r="G734" s="8"/>
      <c r="H734" s="8"/>
      <c r="I734" s="10"/>
      <c r="J734" s="10"/>
      <c r="K734" s="11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12"/>
      <c r="B735" s="13"/>
      <c r="C735" s="13"/>
      <c r="D735" s="13"/>
      <c r="E735" s="13"/>
      <c r="F735" s="13"/>
      <c r="G735" s="13"/>
      <c r="H735" s="13"/>
      <c r="I735" s="15"/>
      <c r="J735" s="15"/>
      <c r="K735" s="11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9"/>
      <c r="B736" s="8"/>
      <c r="C736" s="8"/>
      <c r="D736" s="8"/>
      <c r="E736" s="8"/>
      <c r="F736" s="8"/>
      <c r="G736" s="8"/>
      <c r="H736" s="8"/>
      <c r="I736" s="10"/>
      <c r="J736" s="10"/>
      <c r="K736" s="11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9"/>
      <c r="B737" s="8"/>
      <c r="C737" s="8"/>
      <c r="D737" s="8"/>
      <c r="E737" s="8"/>
      <c r="F737" s="8"/>
      <c r="G737" s="8"/>
      <c r="H737" s="8"/>
      <c r="I737" s="10"/>
      <c r="J737" s="10"/>
      <c r="K737" s="11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9"/>
      <c r="B738" s="8"/>
      <c r="C738" s="8"/>
      <c r="D738" s="8"/>
      <c r="E738" s="8"/>
      <c r="F738" s="8"/>
      <c r="G738" s="8"/>
      <c r="H738" s="8"/>
      <c r="I738" s="10"/>
      <c r="J738" s="10"/>
      <c r="K738" s="11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9"/>
      <c r="B739" s="8"/>
      <c r="C739" s="8"/>
      <c r="D739" s="8"/>
      <c r="E739" s="8"/>
      <c r="F739" s="8"/>
      <c r="G739" s="8"/>
      <c r="H739" s="8"/>
      <c r="I739" s="10"/>
      <c r="J739" s="10"/>
      <c r="K739" s="11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9"/>
      <c r="B740" s="8"/>
      <c r="C740" s="8"/>
      <c r="D740" s="8"/>
      <c r="E740" s="8"/>
      <c r="F740" s="8"/>
      <c r="G740" s="8"/>
      <c r="H740" s="8"/>
      <c r="I740" s="10"/>
      <c r="J740" s="10"/>
      <c r="K740" s="11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9"/>
      <c r="B741" s="8"/>
      <c r="C741" s="8"/>
      <c r="D741" s="8"/>
      <c r="E741" s="8"/>
      <c r="F741" s="8"/>
      <c r="G741" s="8"/>
      <c r="H741" s="8"/>
      <c r="I741" s="10"/>
      <c r="J741" s="10"/>
      <c r="K741" s="11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9"/>
      <c r="B742" s="8"/>
      <c r="C742" s="8"/>
      <c r="D742" s="8"/>
      <c r="E742" s="8"/>
      <c r="F742" s="8"/>
      <c r="G742" s="8"/>
      <c r="H742" s="8"/>
      <c r="I742" s="10"/>
      <c r="J742" s="10"/>
      <c r="K742" s="11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9"/>
      <c r="B743" s="8"/>
      <c r="C743" s="8"/>
      <c r="D743" s="8"/>
      <c r="E743" s="8"/>
      <c r="F743" s="8"/>
      <c r="G743" s="8"/>
      <c r="H743" s="8"/>
      <c r="I743" s="10"/>
      <c r="J743" s="10"/>
      <c r="K743" s="11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9"/>
      <c r="B744" s="8"/>
      <c r="C744" s="8"/>
      <c r="D744" s="8"/>
      <c r="E744" s="8"/>
      <c r="F744" s="8"/>
      <c r="G744" s="8"/>
      <c r="H744" s="8"/>
      <c r="I744" s="10"/>
      <c r="J744" s="10"/>
      <c r="K744" s="11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9"/>
      <c r="B745" s="8"/>
      <c r="C745" s="8"/>
      <c r="D745" s="8"/>
      <c r="E745" s="8"/>
      <c r="F745" s="8"/>
      <c r="G745" s="8"/>
      <c r="H745" s="8"/>
      <c r="I745" s="10"/>
      <c r="J745" s="10"/>
      <c r="K745" s="11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9"/>
      <c r="B746" s="8"/>
      <c r="C746" s="8"/>
      <c r="D746" s="8"/>
      <c r="E746" s="8"/>
      <c r="F746" s="8"/>
      <c r="G746" s="8"/>
      <c r="H746" s="8"/>
      <c r="I746" s="10"/>
      <c r="J746" s="10"/>
      <c r="K746" s="11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9"/>
      <c r="B747" s="8"/>
      <c r="C747" s="8"/>
      <c r="D747" s="8"/>
      <c r="E747" s="8"/>
      <c r="F747" s="8"/>
      <c r="G747" s="8"/>
      <c r="H747" s="8"/>
      <c r="I747" s="10"/>
      <c r="J747" s="10"/>
      <c r="K747" s="11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9"/>
      <c r="B748" s="8"/>
      <c r="C748" s="8"/>
      <c r="D748" s="8"/>
      <c r="E748" s="8"/>
      <c r="F748" s="8"/>
      <c r="G748" s="8"/>
      <c r="H748" s="8"/>
      <c r="I748" s="10"/>
      <c r="J748" s="10"/>
      <c r="K748" s="11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9"/>
      <c r="B749" s="8"/>
      <c r="C749" s="8"/>
      <c r="D749" s="8"/>
      <c r="E749" s="8"/>
      <c r="F749" s="8"/>
      <c r="G749" s="8"/>
      <c r="H749" s="8"/>
      <c r="I749" s="10"/>
      <c r="J749" s="10"/>
      <c r="K749" s="11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9"/>
      <c r="B750" s="8"/>
      <c r="C750" s="8"/>
      <c r="D750" s="8"/>
      <c r="E750" s="8"/>
      <c r="F750" s="8"/>
      <c r="G750" s="8"/>
      <c r="H750" s="8"/>
      <c r="I750" s="10"/>
      <c r="J750" s="10"/>
      <c r="K750" s="11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9"/>
      <c r="B751" s="8"/>
      <c r="C751" s="8"/>
      <c r="D751" s="8"/>
      <c r="E751" s="8"/>
      <c r="F751" s="8"/>
      <c r="G751" s="8"/>
      <c r="H751" s="8"/>
      <c r="I751" s="10"/>
      <c r="J751" s="10"/>
      <c r="K751" s="11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9"/>
      <c r="B752" s="8"/>
      <c r="C752" s="8"/>
      <c r="D752" s="8"/>
      <c r="E752" s="8"/>
      <c r="F752" s="8"/>
      <c r="G752" s="8"/>
      <c r="H752" s="8"/>
      <c r="I752" s="10"/>
      <c r="J752" s="10"/>
      <c r="K752" s="11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9"/>
      <c r="B753" s="8"/>
      <c r="C753" s="8"/>
      <c r="D753" s="8"/>
      <c r="E753" s="8"/>
      <c r="F753" s="8"/>
      <c r="G753" s="8"/>
      <c r="H753" s="8"/>
      <c r="I753" s="10"/>
      <c r="J753" s="10"/>
      <c r="K753" s="11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9"/>
      <c r="B754" s="8"/>
      <c r="C754" s="8"/>
      <c r="D754" s="8"/>
      <c r="E754" s="8"/>
      <c r="F754" s="8"/>
      <c r="G754" s="8"/>
      <c r="H754" s="8"/>
      <c r="I754" s="10"/>
      <c r="J754" s="10"/>
      <c r="K754" s="11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9"/>
      <c r="B755" s="8"/>
      <c r="C755" s="8"/>
      <c r="D755" s="8"/>
      <c r="E755" s="8"/>
      <c r="F755" s="8"/>
      <c r="G755" s="8"/>
      <c r="H755" s="8"/>
      <c r="I755" s="10"/>
      <c r="J755" s="10"/>
      <c r="K755" s="11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9"/>
      <c r="B756" s="8"/>
      <c r="C756" s="8"/>
      <c r="D756" s="8"/>
      <c r="E756" s="8"/>
      <c r="F756" s="8"/>
      <c r="G756" s="8"/>
      <c r="H756" s="8"/>
      <c r="I756" s="10"/>
      <c r="J756" s="10"/>
      <c r="K756" s="11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9"/>
      <c r="B757" s="8"/>
      <c r="C757" s="8"/>
      <c r="D757" s="8"/>
      <c r="E757" s="8"/>
      <c r="F757" s="8"/>
      <c r="G757" s="8"/>
      <c r="H757" s="8"/>
      <c r="I757" s="10"/>
      <c r="J757" s="10"/>
      <c r="K757" s="11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9"/>
      <c r="B758" s="8"/>
      <c r="C758" s="8"/>
      <c r="D758" s="8"/>
      <c r="E758" s="8"/>
      <c r="F758" s="8"/>
      <c r="G758" s="8"/>
      <c r="H758" s="8"/>
      <c r="I758" s="10"/>
      <c r="J758" s="10"/>
      <c r="K758" s="11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9"/>
      <c r="B759" s="8"/>
      <c r="C759" s="8"/>
      <c r="D759" s="8"/>
      <c r="E759" s="8"/>
      <c r="F759" s="8"/>
      <c r="G759" s="8"/>
      <c r="H759" s="8"/>
      <c r="I759" s="10"/>
      <c r="J759" s="10"/>
      <c r="K759" s="11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9"/>
      <c r="B760" s="8"/>
      <c r="C760" s="8"/>
      <c r="D760" s="8"/>
      <c r="E760" s="8"/>
      <c r="F760" s="8"/>
      <c r="G760" s="8"/>
      <c r="H760" s="8"/>
      <c r="I760" s="10"/>
      <c r="J760" s="10"/>
      <c r="K760" s="11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9"/>
      <c r="B761" s="8"/>
      <c r="C761" s="8"/>
      <c r="D761" s="8"/>
      <c r="E761" s="8"/>
      <c r="F761" s="8"/>
      <c r="G761" s="8"/>
      <c r="H761" s="8"/>
      <c r="I761" s="10"/>
      <c r="J761" s="10"/>
      <c r="K761" s="11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9"/>
      <c r="B762" s="8"/>
      <c r="C762" s="8"/>
      <c r="D762" s="8"/>
      <c r="E762" s="8"/>
      <c r="F762" s="8"/>
      <c r="G762" s="8"/>
      <c r="H762" s="8"/>
      <c r="I762" s="10"/>
      <c r="J762" s="10"/>
      <c r="K762" s="11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9"/>
      <c r="B763" s="8"/>
      <c r="C763" s="8"/>
      <c r="D763" s="8"/>
      <c r="E763" s="8"/>
      <c r="F763" s="8"/>
      <c r="G763" s="8"/>
      <c r="H763" s="8"/>
      <c r="I763" s="10"/>
      <c r="J763" s="10"/>
      <c r="K763" s="11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9"/>
      <c r="B764" s="8"/>
      <c r="C764" s="8"/>
      <c r="D764" s="8"/>
      <c r="E764" s="8"/>
      <c r="F764" s="8"/>
      <c r="G764" s="8"/>
      <c r="H764" s="8"/>
      <c r="I764" s="10"/>
      <c r="J764" s="10"/>
      <c r="K764" s="11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9"/>
      <c r="B765" s="8"/>
      <c r="C765" s="8"/>
      <c r="D765" s="8"/>
      <c r="E765" s="8"/>
      <c r="F765" s="8"/>
      <c r="G765" s="8"/>
      <c r="H765" s="8"/>
      <c r="I765" s="10"/>
      <c r="J765" s="10"/>
      <c r="K765" s="11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9"/>
      <c r="B766" s="8"/>
      <c r="C766" s="8"/>
      <c r="D766" s="8"/>
      <c r="E766" s="8"/>
      <c r="F766" s="8"/>
      <c r="G766" s="8"/>
      <c r="H766" s="8"/>
      <c r="I766" s="10"/>
      <c r="J766" s="10"/>
      <c r="K766" s="11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9"/>
      <c r="B767" s="8"/>
      <c r="C767" s="8"/>
      <c r="D767" s="8"/>
      <c r="E767" s="8"/>
      <c r="F767" s="8"/>
      <c r="G767" s="8"/>
      <c r="H767" s="8"/>
      <c r="I767" s="10"/>
      <c r="J767" s="10"/>
      <c r="K767" s="11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9"/>
      <c r="B768" s="8"/>
      <c r="C768" s="8"/>
      <c r="D768" s="8"/>
      <c r="E768" s="8"/>
      <c r="F768" s="8"/>
      <c r="G768" s="8"/>
      <c r="H768" s="8"/>
      <c r="I768" s="10"/>
      <c r="J768" s="10"/>
      <c r="K768" s="11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9"/>
      <c r="B769" s="8"/>
      <c r="C769" s="8"/>
      <c r="D769" s="8"/>
      <c r="E769" s="8"/>
      <c r="F769" s="8"/>
      <c r="G769" s="8"/>
      <c r="H769" s="8"/>
      <c r="I769" s="10"/>
      <c r="J769" s="10"/>
      <c r="K769" s="11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9"/>
      <c r="B770" s="8"/>
      <c r="C770" s="8"/>
      <c r="D770" s="8"/>
      <c r="E770" s="8"/>
      <c r="F770" s="8"/>
      <c r="G770" s="8"/>
      <c r="H770" s="8"/>
      <c r="I770" s="10"/>
      <c r="J770" s="10"/>
      <c r="K770" s="11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9"/>
      <c r="B771" s="8"/>
      <c r="C771" s="8"/>
      <c r="D771" s="8"/>
      <c r="E771" s="8"/>
      <c r="F771" s="8"/>
      <c r="G771" s="8"/>
      <c r="H771" s="8"/>
      <c r="I771" s="10"/>
      <c r="J771" s="10"/>
      <c r="K771" s="11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9"/>
      <c r="B772" s="8"/>
      <c r="C772" s="8"/>
      <c r="D772" s="8"/>
      <c r="E772" s="8"/>
      <c r="F772" s="8"/>
      <c r="G772" s="8"/>
      <c r="H772" s="8"/>
      <c r="I772" s="10"/>
      <c r="J772" s="10"/>
      <c r="K772" s="11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9"/>
      <c r="B773" s="8"/>
      <c r="C773" s="8"/>
      <c r="D773" s="8"/>
      <c r="E773" s="8"/>
      <c r="F773" s="8"/>
      <c r="G773" s="8"/>
      <c r="H773" s="8"/>
      <c r="I773" s="10"/>
      <c r="J773" s="10"/>
      <c r="K773" s="11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9"/>
      <c r="B774" s="8"/>
      <c r="C774" s="8"/>
      <c r="D774" s="8"/>
      <c r="E774" s="8"/>
      <c r="F774" s="8"/>
      <c r="G774" s="8"/>
      <c r="H774" s="8"/>
      <c r="I774" s="10"/>
      <c r="J774" s="10"/>
      <c r="K774" s="11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9"/>
      <c r="B775" s="8"/>
      <c r="C775" s="8"/>
      <c r="D775" s="8"/>
      <c r="E775" s="8"/>
      <c r="F775" s="8"/>
      <c r="G775" s="8"/>
      <c r="H775" s="8"/>
      <c r="I775" s="10"/>
      <c r="J775" s="10"/>
      <c r="K775" s="11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9"/>
      <c r="B776" s="8"/>
      <c r="C776" s="8"/>
      <c r="D776" s="8"/>
      <c r="E776" s="8"/>
      <c r="F776" s="8"/>
      <c r="G776" s="8"/>
      <c r="H776" s="8"/>
      <c r="I776" s="10"/>
      <c r="J776" s="10"/>
      <c r="K776" s="11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9"/>
      <c r="B777" s="8"/>
      <c r="C777" s="8"/>
      <c r="D777" s="8"/>
      <c r="E777" s="8"/>
      <c r="F777" s="8"/>
      <c r="G777" s="8"/>
      <c r="H777" s="8"/>
      <c r="I777" s="10"/>
      <c r="J777" s="10"/>
      <c r="K777" s="11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9"/>
      <c r="B778" s="8"/>
      <c r="C778" s="8"/>
      <c r="D778" s="8"/>
      <c r="E778" s="8"/>
      <c r="F778" s="8"/>
      <c r="G778" s="8"/>
      <c r="H778" s="8"/>
      <c r="I778" s="10"/>
      <c r="J778" s="10"/>
      <c r="K778" s="11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9"/>
      <c r="B779" s="8"/>
      <c r="C779" s="8"/>
      <c r="D779" s="8"/>
      <c r="E779" s="8"/>
      <c r="F779" s="8"/>
      <c r="G779" s="8"/>
      <c r="H779" s="8"/>
      <c r="I779" s="10"/>
      <c r="J779" s="10"/>
      <c r="K779" s="11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9"/>
      <c r="B780" s="8"/>
      <c r="C780" s="8"/>
      <c r="D780" s="8"/>
      <c r="E780" s="8"/>
      <c r="F780" s="8"/>
      <c r="G780" s="8"/>
      <c r="H780" s="8"/>
      <c r="I780" s="10"/>
      <c r="J780" s="10"/>
      <c r="K780" s="11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9"/>
      <c r="B781" s="8"/>
      <c r="C781" s="8"/>
      <c r="D781" s="8"/>
      <c r="E781" s="8"/>
      <c r="F781" s="8"/>
      <c r="G781" s="8"/>
      <c r="H781" s="8"/>
      <c r="I781" s="10"/>
      <c r="J781" s="10"/>
      <c r="K781" s="11"/>
      <c r="L781" s="16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9"/>
      <c r="B782" s="8"/>
      <c r="C782" s="8"/>
      <c r="D782" s="8"/>
      <c r="E782" s="8"/>
      <c r="F782" s="8"/>
      <c r="G782" s="8"/>
      <c r="H782" s="8"/>
      <c r="I782" s="10"/>
      <c r="J782" s="10"/>
      <c r="K782" s="11"/>
      <c r="L782" s="16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9"/>
      <c r="B783" s="8"/>
      <c r="C783" s="8"/>
      <c r="D783" s="8"/>
      <c r="E783" s="8"/>
      <c r="F783" s="8"/>
      <c r="G783" s="8"/>
      <c r="H783" s="8"/>
      <c r="I783" s="10"/>
      <c r="J783" s="10"/>
      <c r="K783" s="11"/>
      <c r="L783" s="16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9"/>
      <c r="B784" s="8"/>
      <c r="C784" s="8"/>
      <c r="D784" s="8"/>
      <c r="E784" s="8"/>
      <c r="F784" s="8"/>
      <c r="G784" s="8"/>
      <c r="H784" s="8"/>
      <c r="I784" s="10"/>
      <c r="J784" s="10"/>
      <c r="K784" s="11"/>
      <c r="L784" s="16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9"/>
      <c r="B785" s="8"/>
      <c r="C785" s="8"/>
      <c r="D785" s="8"/>
      <c r="E785" s="8"/>
      <c r="F785" s="8"/>
      <c r="G785" s="8"/>
      <c r="H785" s="8"/>
      <c r="I785" s="10"/>
      <c r="J785" s="10"/>
      <c r="K785" s="11"/>
      <c r="L785" s="16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9"/>
      <c r="B786" s="8"/>
      <c r="C786" s="8"/>
      <c r="D786" s="8"/>
      <c r="E786" s="8"/>
      <c r="F786" s="8"/>
      <c r="G786" s="8"/>
      <c r="H786" s="8"/>
      <c r="I786" s="10"/>
      <c r="J786" s="10"/>
      <c r="K786" s="11"/>
      <c r="L786" s="16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9"/>
      <c r="B787" s="8"/>
      <c r="C787" s="8"/>
      <c r="D787" s="8"/>
      <c r="E787" s="8"/>
      <c r="F787" s="8"/>
      <c r="G787" s="8"/>
      <c r="H787" s="8"/>
      <c r="I787" s="10"/>
      <c r="J787" s="10"/>
      <c r="K787" s="11"/>
      <c r="L787" s="16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9"/>
      <c r="B788" s="8"/>
      <c r="C788" s="8"/>
      <c r="D788" s="8"/>
      <c r="E788" s="8"/>
      <c r="F788" s="8"/>
      <c r="G788" s="8"/>
      <c r="H788" s="8"/>
      <c r="I788" s="10"/>
      <c r="J788" s="10"/>
      <c r="K788" s="11"/>
      <c r="L788" s="16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9"/>
      <c r="B789" s="8"/>
      <c r="C789" s="8"/>
      <c r="D789" s="8"/>
      <c r="E789" s="8"/>
      <c r="F789" s="8"/>
      <c r="G789" s="8"/>
      <c r="H789" s="8"/>
      <c r="I789" s="10"/>
      <c r="J789" s="10"/>
      <c r="K789" s="11"/>
      <c r="L789" s="16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9"/>
      <c r="B790" s="8"/>
      <c r="C790" s="8"/>
      <c r="D790" s="8"/>
      <c r="E790" s="8"/>
      <c r="F790" s="8"/>
      <c r="G790" s="8"/>
      <c r="H790" s="8"/>
      <c r="I790" s="10"/>
      <c r="J790" s="10"/>
      <c r="K790" s="11"/>
      <c r="L790" s="16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9"/>
      <c r="B791" s="8"/>
      <c r="C791" s="8"/>
      <c r="D791" s="8"/>
      <c r="E791" s="8"/>
      <c r="F791" s="8"/>
      <c r="G791" s="8"/>
      <c r="H791" s="8"/>
      <c r="I791" s="10"/>
      <c r="J791" s="10"/>
      <c r="K791" s="11"/>
      <c r="L791" s="16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9"/>
      <c r="B792" s="8"/>
      <c r="C792" s="8"/>
      <c r="D792" s="8"/>
      <c r="E792" s="8"/>
      <c r="F792" s="8"/>
      <c r="G792" s="8"/>
      <c r="H792" s="8"/>
      <c r="I792" s="10"/>
      <c r="J792" s="10"/>
      <c r="K792" s="11"/>
      <c r="L792" s="16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9"/>
      <c r="B793" s="8"/>
      <c r="C793" s="8"/>
      <c r="D793" s="8"/>
      <c r="E793" s="8"/>
      <c r="F793" s="8"/>
      <c r="G793" s="8"/>
      <c r="H793" s="8"/>
      <c r="I793" s="10"/>
      <c r="J793" s="10"/>
      <c r="K793" s="11"/>
      <c r="L793" s="16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9"/>
      <c r="B794" s="8"/>
      <c r="C794" s="8"/>
      <c r="D794" s="8"/>
      <c r="E794" s="8"/>
      <c r="F794" s="8"/>
      <c r="G794" s="8"/>
      <c r="H794" s="8"/>
      <c r="I794" s="10"/>
      <c r="J794" s="10"/>
      <c r="K794" s="11"/>
      <c r="L794" s="16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9"/>
      <c r="B795" s="8"/>
      <c r="C795" s="8"/>
      <c r="D795" s="8"/>
      <c r="E795" s="8"/>
      <c r="F795" s="8"/>
      <c r="G795" s="8"/>
      <c r="H795" s="8"/>
      <c r="I795" s="10"/>
      <c r="J795" s="10"/>
      <c r="K795" s="11"/>
      <c r="L795" s="16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9"/>
      <c r="B796" s="8"/>
      <c r="C796" s="8"/>
      <c r="D796" s="8"/>
      <c r="E796" s="8"/>
      <c r="F796" s="8"/>
      <c r="G796" s="8"/>
      <c r="H796" s="8"/>
      <c r="I796" s="10"/>
      <c r="J796" s="10"/>
      <c r="K796" s="11"/>
      <c r="L796" s="16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9"/>
      <c r="B797" s="8"/>
      <c r="C797" s="8"/>
      <c r="D797" s="8"/>
      <c r="E797" s="8"/>
      <c r="F797" s="8"/>
      <c r="G797" s="8"/>
      <c r="H797" s="8"/>
      <c r="I797" s="10"/>
      <c r="J797" s="10"/>
      <c r="K797" s="11"/>
      <c r="L797" s="16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9"/>
      <c r="B798" s="8"/>
      <c r="C798" s="8"/>
      <c r="D798" s="8"/>
      <c r="E798" s="8"/>
      <c r="F798" s="8"/>
      <c r="G798" s="8"/>
      <c r="H798" s="8"/>
      <c r="I798" s="10"/>
      <c r="J798" s="10"/>
      <c r="K798" s="11"/>
      <c r="L798" s="16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9"/>
      <c r="B799" s="8"/>
      <c r="C799" s="8"/>
      <c r="D799" s="8"/>
      <c r="E799" s="8"/>
      <c r="F799" s="8"/>
      <c r="G799" s="8"/>
      <c r="H799" s="8"/>
      <c r="I799" s="10"/>
      <c r="J799" s="10"/>
      <c r="K799" s="11"/>
      <c r="L799" s="16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9"/>
      <c r="B800" s="8"/>
      <c r="C800" s="8"/>
      <c r="D800" s="8"/>
      <c r="E800" s="8"/>
      <c r="F800" s="8"/>
      <c r="G800" s="8"/>
      <c r="H800" s="8"/>
      <c r="I800" s="10"/>
      <c r="J800" s="10"/>
      <c r="K800" s="11"/>
      <c r="L800" s="16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9"/>
      <c r="B801" s="8"/>
      <c r="C801" s="8"/>
      <c r="D801" s="8"/>
      <c r="E801" s="8"/>
      <c r="F801" s="8"/>
      <c r="G801" s="8"/>
      <c r="H801" s="8"/>
      <c r="I801" s="10"/>
      <c r="J801" s="10"/>
      <c r="K801" s="11"/>
      <c r="L801" s="16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9"/>
      <c r="B802" s="8"/>
      <c r="C802" s="8"/>
      <c r="D802" s="8"/>
      <c r="E802" s="8"/>
      <c r="F802" s="8"/>
      <c r="G802" s="8"/>
      <c r="H802" s="8"/>
      <c r="I802" s="10"/>
      <c r="J802" s="10"/>
      <c r="K802" s="11"/>
      <c r="L802" s="17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9"/>
      <c r="B803" s="8"/>
      <c r="C803" s="8"/>
      <c r="D803" s="8"/>
      <c r="E803" s="8"/>
      <c r="F803" s="8"/>
      <c r="G803" s="8"/>
      <c r="H803" s="8"/>
      <c r="I803" s="10"/>
      <c r="J803" s="10"/>
      <c r="K803" s="11"/>
      <c r="L803" s="17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9"/>
      <c r="B804" s="8"/>
      <c r="C804" s="8"/>
      <c r="D804" s="8"/>
      <c r="E804" s="8"/>
      <c r="F804" s="8"/>
      <c r="G804" s="8"/>
      <c r="H804" s="8"/>
      <c r="I804" s="10"/>
      <c r="J804" s="10"/>
      <c r="K804" s="11"/>
      <c r="L804" s="17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9"/>
      <c r="B805" s="8"/>
      <c r="C805" s="8"/>
      <c r="D805" s="8"/>
      <c r="E805" s="8"/>
      <c r="F805" s="8"/>
      <c r="G805" s="8"/>
      <c r="H805" s="8"/>
      <c r="I805" s="10"/>
      <c r="J805" s="10"/>
      <c r="K805" s="11"/>
      <c r="L805" s="17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9"/>
      <c r="B806" s="8"/>
      <c r="C806" s="8"/>
      <c r="D806" s="8"/>
      <c r="E806" s="8"/>
      <c r="F806" s="8"/>
      <c r="G806" s="8"/>
      <c r="H806" s="8"/>
      <c r="I806" s="10"/>
      <c r="J806" s="10"/>
      <c r="K806" s="11"/>
      <c r="L806" s="17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9"/>
      <c r="B807" s="8"/>
      <c r="C807" s="8"/>
      <c r="D807" s="8"/>
      <c r="E807" s="8"/>
      <c r="F807" s="8"/>
      <c r="G807" s="8"/>
      <c r="H807" s="8"/>
      <c r="I807" s="10"/>
      <c r="J807" s="10"/>
      <c r="K807" s="11"/>
      <c r="L807" s="17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9"/>
      <c r="B808" s="8"/>
      <c r="C808" s="8"/>
      <c r="D808" s="8"/>
      <c r="E808" s="8"/>
      <c r="F808" s="8"/>
      <c r="G808" s="8"/>
      <c r="H808" s="8"/>
      <c r="I808" s="10"/>
      <c r="J808" s="10"/>
      <c r="K808" s="11"/>
      <c r="L808" s="17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9"/>
      <c r="B809" s="8"/>
      <c r="C809" s="8"/>
      <c r="D809" s="8"/>
      <c r="E809" s="8"/>
      <c r="F809" s="8"/>
      <c r="G809" s="8"/>
      <c r="H809" s="8"/>
      <c r="I809" s="10"/>
      <c r="J809" s="10"/>
      <c r="K809" s="11"/>
      <c r="L809" s="17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9"/>
      <c r="B810" s="8"/>
      <c r="C810" s="8"/>
      <c r="D810" s="8"/>
      <c r="E810" s="8"/>
      <c r="F810" s="8"/>
      <c r="G810" s="8"/>
      <c r="H810" s="8"/>
      <c r="I810" s="10"/>
      <c r="J810" s="10"/>
      <c r="K810" s="11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9"/>
      <c r="B811" s="8"/>
      <c r="C811" s="8"/>
      <c r="D811" s="8"/>
      <c r="E811" s="8"/>
      <c r="F811" s="8"/>
      <c r="G811" s="8"/>
      <c r="H811" s="8"/>
      <c r="I811" s="10"/>
      <c r="J811" s="10"/>
      <c r="K811" s="11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9"/>
      <c r="B812" s="8"/>
      <c r="C812" s="8"/>
      <c r="D812" s="8"/>
      <c r="E812" s="8"/>
      <c r="F812" s="8"/>
      <c r="G812" s="8"/>
      <c r="H812" s="8"/>
      <c r="I812" s="10"/>
      <c r="J812" s="10"/>
      <c r="K812" s="11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9"/>
      <c r="B813" s="8"/>
      <c r="C813" s="8"/>
      <c r="D813" s="8"/>
      <c r="E813" s="8"/>
      <c r="F813" s="8"/>
      <c r="G813" s="8"/>
      <c r="H813" s="8"/>
      <c r="I813" s="10"/>
      <c r="J813" s="10"/>
      <c r="K813" s="11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9"/>
      <c r="B814" s="8"/>
      <c r="C814" s="8"/>
      <c r="D814" s="8"/>
      <c r="E814" s="8"/>
      <c r="F814" s="8"/>
      <c r="G814" s="8"/>
      <c r="H814" s="8"/>
      <c r="I814" s="10"/>
      <c r="J814" s="10"/>
      <c r="K814" s="11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9"/>
      <c r="B815" s="8"/>
      <c r="C815" s="8"/>
      <c r="D815" s="8"/>
      <c r="E815" s="8"/>
      <c r="F815" s="8"/>
      <c r="G815" s="8"/>
      <c r="H815" s="8"/>
      <c r="I815" s="10"/>
      <c r="J815" s="10"/>
      <c r="K815" s="11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9"/>
      <c r="B816" s="8"/>
      <c r="C816" s="8"/>
      <c r="D816" s="8"/>
      <c r="E816" s="8"/>
      <c r="F816" s="8"/>
      <c r="G816" s="8"/>
      <c r="H816" s="8"/>
      <c r="I816" s="10"/>
      <c r="J816" s="10"/>
      <c r="K816" s="11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9"/>
      <c r="B817" s="8"/>
      <c r="C817" s="8"/>
      <c r="D817" s="8"/>
      <c r="E817" s="8"/>
      <c r="F817" s="8"/>
      <c r="G817" s="8"/>
      <c r="H817" s="8"/>
      <c r="I817" s="10"/>
      <c r="J817" s="10"/>
      <c r="K817" s="11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9"/>
      <c r="B818" s="8"/>
      <c r="C818" s="8"/>
      <c r="D818" s="8"/>
      <c r="E818" s="8"/>
      <c r="F818" s="8"/>
      <c r="G818" s="8"/>
      <c r="H818" s="8"/>
      <c r="I818" s="10"/>
      <c r="J818" s="10"/>
      <c r="K818" s="11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9"/>
      <c r="B819" s="8"/>
      <c r="C819" s="8"/>
      <c r="D819" s="8"/>
      <c r="E819" s="8"/>
      <c r="F819" s="8"/>
      <c r="G819" s="8"/>
      <c r="H819" s="8"/>
      <c r="I819" s="10"/>
      <c r="J819" s="10"/>
      <c r="K819" s="18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9"/>
      <c r="B820" s="8"/>
      <c r="C820" s="8"/>
      <c r="D820" s="8"/>
      <c r="E820" s="8"/>
      <c r="F820" s="8"/>
      <c r="G820" s="8"/>
      <c r="H820" s="8"/>
      <c r="I820" s="10"/>
      <c r="J820" s="10"/>
      <c r="K820" s="18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9"/>
      <c r="B821" s="8"/>
      <c r="C821" s="8"/>
      <c r="D821" s="8"/>
      <c r="E821" s="8"/>
      <c r="F821" s="8"/>
      <c r="G821" s="8"/>
      <c r="H821" s="8"/>
      <c r="I821" s="10"/>
      <c r="J821" s="10"/>
      <c r="K821" s="18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9"/>
      <c r="B822" s="8"/>
      <c r="C822" s="8"/>
      <c r="D822" s="8"/>
      <c r="E822" s="8"/>
      <c r="F822" s="8"/>
      <c r="G822" s="8"/>
      <c r="H822" s="8"/>
      <c r="I822" s="10"/>
      <c r="J822" s="10"/>
      <c r="K822" s="18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9"/>
      <c r="B823" s="8"/>
      <c r="C823" s="8"/>
      <c r="D823" s="8"/>
      <c r="E823" s="8"/>
      <c r="F823" s="8"/>
      <c r="G823" s="8"/>
      <c r="H823" s="8"/>
      <c r="I823" s="10"/>
      <c r="J823" s="10"/>
      <c r="K823" s="18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9"/>
      <c r="B824" s="8"/>
      <c r="C824" s="8"/>
      <c r="D824" s="8"/>
      <c r="E824" s="8"/>
      <c r="F824" s="8"/>
      <c r="G824" s="8"/>
      <c r="H824" s="8"/>
      <c r="I824" s="10"/>
      <c r="J824" s="10"/>
      <c r="K824" s="18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9"/>
      <c r="B825" s="8"/>
      <c r="C825" s="8"/>
      <c r="D825" s="8"/>
      <c r="E825" s="8"/>
      <c r="F825" s="8"/>
      <c r="G825" s="8"/>
      <c r="H825" s="8"/>
      <c r="I825" s="10"/>
      <c r="J825" s="10"/>
      <c r="K825" s="18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9"/>
      <c r="B826" s="8"/>
      <c r="C826" s="8"/>
      <c r="D826" s="8"/>
      <c r="E826" s="8"/>
      <c r="F826" s="8"/>
      <c r="G826" s="8"/>
      <c r="H826" s="8"/>
      <c r="I826" s="10"/>
      <c r="J826" s="10"/>
      <c r="K826" s="18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9"/>
      <c r="B827" s="8"/>
      <c r="C827" s="8"/>
      <c r="D827" s="8"/>
      <c r="E827" s="8"/>
      <c r="F827" s="8"/>
      <c r="G827" s="8"/>
      <c r="H827" s="8"/>
      <c r="I827" s="10"/>
      <c r="J827" s="10"/>
      <c r="K827" s="18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9"/>
      <c r="B828" s="8"/>
      <c r="C828" s="8"/>
      <c r="D828" s="8"/>
      <c r="E828" s="8"/>
      <c r="F828" s="8"/>
      <c r="G828" s="8"/>
      <c r="H828" s="8"/>
      <c r="I828" s="10"/>
      <c r="J828" s="10"/>
      <c r="K828" s="18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9"/>
      <c r="B829" s="8"/>
      <c r="C829" s="8"/>
      <c r="D829" s="8"/>
      <c r="E829" s="8"/>
      <c r="F829" s="8"/>
      <c r="G829" s="8"/>
      <c r="H829" s="8"/>
      <c r="I829" s="10"/>
      <c r="J829" s="10"/>
      <c r="K829" s="18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9"/>
      <c r="B830" s="8"/>
      <c r="C830" s="8"/>
      <c r="D830" s="8"/>
      <c r="E830" s="8"/>
      <c r="F830" s="8"/>
      <c r="G830" s="8"/>
      <c r="H830" s="8"/>
      <c r="I830" s="10"/>
      <c r="J830" s="10"/>
      <c r="K830" s="18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9"/>
      <c r="B831" s="8"/>
      <c r="C831" s="8"/>
      <c r="D831" s="8"/>
      <c r="E831" s="8"/>
      <c r="F831" s="8"/>
      <c r="G831" s="8"/>
      <c r="H831" s="8"/>
      <c r="I831" s="10"/>
      <c r="J831" s="10"/>
      <c r="K831" s="18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9"/>
      <c r="B832" s="8"/>
      <c r="C832" s="8"/>
      <c r="D832" s="8"/>
      <c r="E832" s="8"/>
      <c r="F832" s="8"/>
      <c r="G832" s="8"/>
      <c r="H832" s="8"/>
      <c r="I832" s="10"/>
      <c r="J832" s="10"/>
      <c r="K832" s="18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9"/>
      <c r="B833" s="8"/>
      <c r="C833" s="8"/>
      <c r="D833" s="8"/>
      <c r="E833" s="8"/>
      <c r="F833" s="8"/>
      <c r="G833" s="8"/>
      <c r="H833" s="8"/>
      <c r="I833" s="10"/>
      <c r="J833" s="10"/>
      <c r="K833" s="18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9"/>
      <c r="B834" s="8"/>
      <c r="C834" s="8"/>
      <c r="D834" s="8"/>
      <c r="E834" s="8"/>
      <c r="F834" s="8"/>
      <c r="G834" s="8"/>
      <c r="H834" s="8"/>
      <c r="I834" s="10"/>
      <c r="J834" s="10"/>
      <c r="K834" s="18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9"/>
      <c r="B835" s="8"/>
      <c r="C835" s="8"/>
      <c r="D835" s="8"/>
      <c r="E835" s="8"/>
      <c r="F835" s="8"/>
      <c r="G835" s="8"/>
      <c r="H835" s="8"/>
      <c r="I835" s="10"/>
      <c r="J835" s="10"/>
      <c r="K835" s="18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9"/>
      <c r="B836" s="8"/>
      <c r="C836" s="8"/>
      <c r="D836" s="8"/>
      <c r="E836" s="8"/>
      <c r="F836" s="8"/>
      <c r="G836" s="8"/>
      <c r="H836" s="8"/>
      <c r="I836" s="10"/>
      <c r="J836" s="10"/>
      <c r="K836" s="18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9"/>
      <c r="B837" s="8"/>
      <c r="C837" s="8"/>
      <c r="D837" s="8"/>
      <c r="E837" s="8"/>
      <c r="F837" s="8"/>
      <c r="G837" s="8"/>
      <c r="H837" s="8"/>
      <c r="I837" s="10"/>
      <c r="J837" s="10"/>
      <c r="K837" s="18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9"/>
      <c r="B838" s="8"/>
      <c r="C838" s="8"/>
      <c r="D838" s="8"/>
      <c r="E838" s="8"/>
      <c r="F838" s="8"/>
      <c r="G838" s="8"/>
      <c r="H838" s="8"/>
      <c r="I838" s="10"/>
      <c r="J838" s="10"/>
      <c r="K838" s="18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9"/>
      <c r="B839" s="8"/>
      <c r="C839" s="8"/>
      <c r="D839" s="8"/>
      <c r="E839" s="8"/>
      <c r="F839" s="8"/>
      <c r="G839" s="8"/>
      <c r="H839" s="8"/>
      <c r="I839" s="10"/>
      <c r="J839" s="10"/>
      <c r="K839" s="18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9"/>
      <c r="B840" s="8"/>
      <c r="C840" s="8"/>
      <c r="D840" s="8"/>
      <c r="E840" s="8"/>
      <c r="F840" s="8"/>
      <c r="G840" s="8"/>
      <c r="H840" s="8"/>
      <c r="I840" s="10"/>
      <c r="J840" s="10"/>
      <c r="K840" s="18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9"/>
      <c r="B841" s="8"/>
      <c r="C841" s="8"/>
      <c r="D841" s="8"/>
      <c r="E841" s="8"/>
      <c r="F841" s="8"/>
      <c r="G841" s="8"/>
      <c r="H841" s="8"/>
      <c r="I841" s="10"/>
      <c r="J841" s="10"/>
      <c r="K841" s="18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9"/>
      <c r="B842" s="8"/>
      <c r="C842" s="8"/>
      <c r="D842" s="8"/>
      <c r="E842" s="8"/>
      <c r="F842" s="8"/>
      <c r="G842" s="8"/>
      <c r="H842" s="8"/>
      <c r="I842" s="10"/>
      <c r="J842" s="10"/>
      <c r="K842" s="18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9"/>
      <c r="B843" s="8"/>
      <c r="C843" s="8"/>
      <c r="D843" s="8"/>
      <c r="E843" s="8"/>
      <c r="F843" s="8"/>
      <c r="G843" s="8"/>
      <c r="H843" s="8"/>
      <c r="I843" s="10"/>
      <c r="J843" s="10"/>
      <c r="K843" s="18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9"/>
      <c r="B844" s="8"/>
      <c r="C844" s="8"/>
      <c r="D844" s="8"/>
      <c r="E844" s="8"/>
      <c r="F844" s="8"/>
      <c r="G844" s="8"/>
      <c r="H844" s="8"/>
      <c r="I844" s="10"/>
      <c r="J844" s="10"/>
      <c r="K844" s="18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9"/>
      <c r="B845" s="8"/>
      <c r="C845" s="8"/>
      <c r="D845" s="8"/>
      <c r="E845" s="8"/>
      <c r="F845" s="8"/>
      <c r="G845" s="8"/>
      <c r="H845" s="8"/>
      <c r="I845" s="10"/>
      <c r="J845" s="10"/>
      <c r="K845" s="18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9"/>
      <c r="B846" s="8"/>
      <c r="C846" s="8"/>
      <c r="D846" s="8"/>
      <c r="E846" s="8"/>
      <c r="F846" s="8"/>
      <c r="G846" s="8"/>
      <c r="H846" s="8"/>
      <c r="I846" s="10"/>
      <c r="J846" s="10"/>
      <c r="K846" s="18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9"/>
      <c r="B847" s="8"/>
      <c r="C847" s="8"/>
      <c r="D847" s="8"/>
      <c r="E847" s="8"/>
      <c r="F847" s="8"/>
      <c r="G847" s="8"/>
      <c r="H847" s="8"/>
      <c r="I847" s="10"/>
      <c r="J847" s="10"/>
      <c r="K847" s="18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9"/>
      <c r="B848" s="8"/>
      <c r="C848" s="8"/>
      <c r="D848" s="8"/>
      <c r="E848" s="8"/>
      <c r="F848" s="8"/>
      <c r="G848" s="8"/>
      <c r="H848" s="8"/>
      <c r="I848" s="10"/>
      <c r="J848" s="10"/>
      <c r="K848" s="18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9"/>
      <c r="B849" s="8"/>
      <c r="C849" s="8"/>
      <c r="D849" s="8"/>
      <c r="E849" s="8"/>
      <c r="F849" s="8"/>
      <c r="G849" s="8"/>
      <c r="H849" s="8"/>
      <c r="I849" s="10"/>
      <c r="J849" s="10"/>
      <c r="K849" s="18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9"/>
      <c r="B850" s="8"/>
      <c r="C850" s="8"/>
      <c r="D850" s="8"/>
      <c r="E850" s="8"/>
      <c r="F850" s="8"/>
      <c r="G850" s="8"/>
      <c r="H850" s="8"/>
      <c r="I850" s="10"/>
      <c r="J850" s="10"/>
      <c r="K850" s="18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9"/>
      <c r="B851" s="8"/>
      <c r="C851" s="8"/>
      <c r="D851" s="8"/>
      <c r="E851" s="8"/>
      <c r="F851" s="8"/>
      <c r="G851" s="8"/>
      <c r="H851" s="8"/>
      <c r="I851" s="10"/>
      <c r="J851" s="10"/>
      <c r="K851" s="18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9"/>
      <c r="B852" s="8"/>
      <c r="C852" s="8"/>
      <c r="D852" s="8"/>
      <c r="E852" s="8"/>
      <c r="F852" s="8"/>
      <c r="G852" s="8"/>
      <c r="H852" s="8"/>
      <c r="I852" s="10"/>
      <c r="J852" s="10"/>
      <c r="K852" s="18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9"/>
      <c r="B853" s="8"/>
      <c r="C853" s="8"/>
      <c r="D853" s="8"/>
      <c r="E853" s="8"/>
      <c r="F853" s="8"/>
      <c r="G853" s="8"/>
      <c r="H853" s="8"/>
      <c r="I853" s="10"/>
      <c r="J853" s="10"/>
      <c r="K853" s="18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9"/>
      <c r="B854" s="8"/>
      <c r="C854" s="8"/>
      <c r="D854" s="8"/>
      <c r="E854" s="8"/>
      <c r="F854" s="8"/>
      <c r="G854" s="8"/>
      <c r="H854" s="8"/>
      <c r="I854" s="10"/>
      <c r="J854" s="10"/>
      <c r="K854" s="18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9"/>
      <c r="B855" s="8"/>
      <c r="C855" s="8"/>
      <c r="D855" s="8"/>
      <c r="E855" s="8"/>
      <c r="F855" s="8"/>
      <c r="G855" s="8"/>
      <c r="H855" s="8"/>
      <c r="I855" s="10"/>
      <c r="J855" s="10"/>
      <c r="K855" s="18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9"/>
      <c r="B856" s="8"/>
      <c r="C856" s="8"/>
      <c r="D856" s="8"/>
      <c r="E856" s="8"/>
      <c r="F856" s="8"/>
      <c r="G856" s="8"/>
      <c r="H856" s="8"/>
      <c r="I856" s="10"/>
      <c r="J856" s="10"/>
      <c r="K856" s="18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9"/>
      <c r="B857" s="8"/>
      <c r="C857" s="8"/>
      <c r="D857" s="8"/>
      <c r="E857" s="8"/>
      <c r="F857" s="8"/>
      <c r="G857" s="8"/>
      <c r="H857" s="8"/>
      <c r="I857" s="10"/>
      <c r="J857" s="10"/>
      <c r="K857" s="18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9"/>
      <c r="B858" s="8"/>
      <c r="C858" s="8"/>
      <c r="D858" s="8"/>
      <c r="E858" s="8"/>
      <c r="F858" s="8"/>
      <c r="G858" s="8"/>
      <c r="H858" s="8"/>
      <c r="I858" s="10"/>
      <c r="J858" s="10"/>
      <c r="K858" s="18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9"/>
      <c r="B859" s="8"/>
      <c r="C859" s="8"/>
      <c r="D859" s="8"/>
      <c r="E859" s="8"/>
      <c r="F859" s="8"/>
      <c r="G859" s="8"/>
      <c r="H859" s="8"/>
      <c r="I859" s="10"/>
      <c r="J859" s="10"/>
      <c r="K859" s="18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9"/>
      <c r="B860" s="8"/>
      <c r="C860" s="8"/>
      <c r="D860" s="8"/>
      <c r="E860" s="8"/>
      <c r="F860" s="8"/>
      <c r="G860" s="8"/>
      <c r="H860" s="8"/>
      <c r="I860" s="10"/>
      <c r="J860" s="10"/>
      <c r="K860" s="18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9"/>
      <c r="B861" s="8"/>
      <c r="C861" s="8"/>
      <c r="D861" s="8"/>
      <c r="E861" s="8"/>
      <c r="F861" s="8"/>
      <c r="G861" s="8"/>
      <c r="H861" s="8"/>
      <c r="I861" s="10"/>
      <c r="J861" s="10"/>
      <c r="K861" s="18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9"/>
      <c r="B862" s="8"/>
      <c r="C862" s="8"/>
      <c r="D862" s="8"/>
      <c r="E862" s="8"/>
      <c r="F862" s="8"/>
      <c r="G862" s="8"/>
      <c r="H862" s="8"/>
      <c r="I862" s="10"/>
      <c r="J862" s="10"/>
      <c r="K862" s="18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9"/>
      <c r="B863" s="8"/>
      <c r="C863" s="8"/>
      <c r="D863" s="8"/>
      <c r="E863" s="8"/>
      <c r="F863" s="8"/>
      <c r="G863" s="8"/>
      <c r="H863" s="8"/>
      <c r="I863" s="10"/>
      <c r="J863" s="10"/>
      <c r="K863" s="18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9"/>
      <c r="B864" s="8"/>
      <c r="C864" s="8"/>
      <c r="D864" s="8"/>
      <c r="E864" s="8"/>
      <c r="F864" s="8"/>
      <c r="G864" s="8"/>
      <c r="H864" s="8"/>
      <c r="I864" s="10"/>
      <c r="J864" s="10"/>
      <c r="K864" s="18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9"/>
      <c r="B865" s="8"/>
      <c r="C865" s="8"/>
      <c r="D865" s="8"/>
      <c r="E865" s="8"/>
      <c r="F865" s="8"/>
      <c r="G865" s="8"/>
      <c r="H865" s="8"/>
      <c r="I865" s="10"/>
      <c r="J865" s="10"/>
      <c r="K865" s="18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9"/>
      <c r="B866" s="8"/>
      <c r="C866" s="8"/>
      <c r="D866" s="8"/>
      <c r="E866" s="8"/>
      <c r="F866" s="8"/>
      <c r="G866" s="8"/>
      <c r="H866" s="8"/>
      <c r="I866" s="10"/>
      <c r="J866" s="10"/>
      <c r="K866" s="18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9"/>
      <c r="B867" s="8"/>
      <c r="C867" s="8"/>
      <c r="D867" s="8"/>
      <c r="E867" s="8"/>
      <c r="F867" s="8"/>
      <c r="G867" s="8"/>
      <c r="H867" s="8"/>
      <c r="I867" s="10"/>
      <c r="J867" s="10"/>
      <c r="K867" s="18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9"/>
      <c r="B868" s="8"/>
      <c r="C868" s="8"/>
      <c r="D868" s="8"/>
      <c r="E868" s="8"/>
      <c r="F868" s="8"/>
      <c r="G868" s="8"/>
      <c r="H868" s="8"/>
      <c r="I868" s="10"/>
      <c r="J868" s="10"/>
      <c r="K868" s="18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9"/>
      <c r="B869" s="8"/>
      <c r="C869" s="8"/>
      <c r="D869" s="8"/>
      <c r="E869" s="8"/>
      <c r="F869" s="8"/>
      <c r="G869" s="8"/>
      <c r="H869" s="8"/>
      <c r="I869" s="10"/>
      <c r="J869" s="10"/>
      <c r="K869" s="18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9"/>
      <c r="B870" s="8"/>
      <c r="C870" s="8"/>
      <c r="D870" s="8"/>
      <c r="E870" s="8"/>
      <c r="F870" s="8"/>
      <c r="G870" s="8"/>
      <c r="H870" s="8"/>
      <c r="I870" s="10"/>
      <c r="J870" s="10"/>
      <c r="K870" s="18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9"/>
      <c r="B871" s="8"/>
      <c r="C871" s="8"/>
      <c r="D871" s="8"/>
      <c r="E871" s="8"/>
      <c r="F871" s="8"/>
      <c r="G871" s="8"/>
      <c r="H871" s="8"/>
      <c r="I871" s="10"/>
      <c r="J871" s="10"/>
      <c r="K871" s="18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9"/>
      <c r="B872" s="8"/>
      <c r="C872" s="8"/>
      <c r="D872" s="8"/>
      <c r="E872" s="8"/>
      <c r="F872" s="8"/>
      <c r="G872" s="8"/>
      <c r="H872" s="8"/>
      <c r="I872" s="10"/>
      <c r="J872" s="10"/>
      <c r="K872" s="18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9"/>
      <c r="B873" s="8"/>
      <c r="C873" s="8"/>
      <c r="D873" s="8"/>
      <c r="E873" s="8"/>
      <c r="F873" s="8"/>
      <c r="G873" s="8"/>
      <c r="H873" s="8"/>
      <c r="I873" s="10"/>
      <c r="J873" s="10"/>
      <c r="K873" s="18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9"/>
      <c r="B874" s="8"/>
      <c r="C874" s="8"/>
      <c r="D874" s="8"/>
      <c r="E874" s="8"/>
      <c r="F874" s="8"/>
      <c r="G874" s="8"/>
      <c r="H874" s="8"/>
      <c r="I874" s="10"/>
      <c r="J874" s="10"/>
      <c r="K874" s="18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9"/>
      <c r="B875" s="8"/>
      <c r="C875" s="8"/>
      <c r="D875" s="8"/>
      <c r="E875" s="8"/>
      <c r="F875" s="8"/>
      <c r="G875" s="8"/>
      <c r="H875" s="8"/>
      <c r="I875" s="10"/>
      <c r="J875" s="10"/>
      <c r="K875" s="18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9"/>
      <c r="B876" s="8"/>
      <c r="C876" s="8"/>
      <c r="D876" s="8"/>
      <c r="E876" s="8"/>
      <c r="F876" s="8"/>
      <c r="G876" s="8"/>
      <c r="H876" s="8"/>
      <c r="I876" s="10"/>
      <c r="J876" s="10"/>
      <c r="K876" s="18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9"/>
      <c r="B877" s="8"/>
      <c r="C877" s="8"/>
      <c r="D877" s="8"/>
      <c r="E877" s="8"/>
      <c r="F877" s="8"/>
      <c r="G877" s="8"/>
      <c r="H877" s="8"/>
      <c r="I877" s="10"/>
      <c r="J877" s="10"/>
      <c r="K877" s="18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9"/>
      <c r="B878" s="8"/>
      <c r="C878" s="8"/>
      <c r="D878" s="8"/>
      <c r="E878" s="8"/>
      <c r="F878" s="8"/>
      <c r="G878" s="8"/>
      <c r="H878" s="8"/>
      <c r="I878" s="10"/>
      <c r="J878" s="10"/>
      <c r="K878" s="18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9"/>
      <c r="B879" s="8"/>
      <c r="C879" s="8"/>
      <c r="D879" s="8"/>
      <c r="E879" s="8"/>
      <c r="F879" s="8"/>
      <c r="G879" s="8"/>
      <c r="H879" s="8"/>
      <c r="I879" s="10"/>
      <c r="J879" s="10"/>
      <c r="K879" s="18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9"/>
      <c r="B880" s="8"/>
      <c r="C880" s="8"/>
      <c r="D880" s="8"/>
      <c r="E880" s="8"/>
      <c r="F880" s="8"/>
      <c r="G880" s="8"/>
      <c r="H880" s="8"/>
      <c r="I880" s="10"/>
      <c r="J880" s="10"/>
      <c r="K880" s="18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9"/>
      <c r="B881" s="8"/>
      <c r="C881" s="8"/>
      <c r="D881" s="8"/>
      <c r="E881" s="8"/>
      <c r="F881" s="8"/>
      <c r="G881" s="8"/>
      <c r="H881" s="8"/>
      <c r="I881" s="10"/>
      <c r="J881" s="10"/>
      <c r="K881" s="18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9"/>
      <c r="B882" s="8"/>
      <c r="C882" s="8"/>
      <c r="D882" s="8"/>
      <c r="E882" s="8"/>
      <c r="F882" s="8"/>
      <c r="G882" s="8"/>
      <c r="H882" s="8"/>
      <c r="I882" s="10"/>
      <c r="J882" s="10"/>
      <c r="K882" s="18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9"/>
      <c r="B883" s="8"/>
      <c r="C883" s="8"/>
      <c r="D883" s="8"/>
      <c r="E883" s="8"/>
      <c r="F883" s="8"/>
      <c r="G883" s="8"/>
      <c r="H883" s="8"/>
      <c r="I883" s="10"/>
      <c r="J883" s="10"/>
      <c r="K883" s="18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9"/>
      <c r="B884" s="8"/>
      <c r="C884" s="8"/>
      <c r="D884" s="8"/>
      <c r="E884" s="8"/>
      <c r="F884" s="8"/>
      <c r="G884" s="8"/>
      <c r="H884" s="8"/>
      <c r="I884" s="10"/>
      <c r="J884" s="10"/>
      <c r="K884" s="18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9"/>
      <c r="B885" s="8"/>
      <c r="C885" s="8"/>
      <c r="D885" s="8"/>
      <c r="E885" s="8"/>
      <c r="F885" s="8"/>
      <c r="G885" s="8"/>
      <c r="H885" s="8"/>
      <c r="I885" s="10"/>
      <c r="J885" s="10"/>
      <c r="K885" s="18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9"/>
      <c r="B886" s="8"/>
      <c r="C886" s="8"/>
      <c r="D886" s="8"/>
      <c r="E886" s="8"/>
      <c r="F886" s="8"/>
      <c r="G886" s="8"/>
      <c r="H886" s="8"/>
      <c r="I886" s="10"/>
      <c r="J886" s="10"/>
      <c r="K886" s="18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9"/>
      <c r="B887" s="8"/>
      <c r="C887" s="8"/>
      <c r="D887" s="8"/>
      <c r="E887" s="8"/>
      <c r="F887" s="8"/>
      <c r="G887" s="8"/>
      <c r="H887" s="8"/>
      <c r="I887" s="10"/>
      <c r="J887" s="10"/>
      <c r="K887" s="18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9"/>
      <c r="B888" s="8"/>
      <c r="C888" s="8"/>
      <c r="D888" s="8"/>
      <c r="E888" s="8"/>
      <c r="F888" s="8"/>
      <c r="G888" s="8"/>
      <c r="H888" s="8"/>
      <c r="I888" s="10"/>
      <c r="J888" s="10"/>
      <c r="K888" s="18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9"/>
      <c r="B889" s="8"/>
      <c r="C889" s="8"/>
      <c r="D889" s="8"/>
      <c r="E889" s="8"/>
      <c r="F889" s="8"/>
      <c r="G889" s="8"/>
      <c r="H889" s="8"/>
      <c r="I889" s="10"/>
      <c r="J889" s="10"/>
      <c r="K889" s="18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9"/>
      <c r="B890" s="8"/>
      <c r="C890" s="8"/>
      <c r="D890" s="8"/>
      <c r="E890" s="8"/>
      <c r="F890" s="8"/>
      <c r="G890" s="8"/>
      <c r="H890" s="8"/>
      <c r="I890" s="10"/>
      <c r="J890" s="10"/>
      <c r="K890" s="18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9"/>
      <c r="B891" s="8"/>
      <c r="C891" s="8"/>
      <c r="D891" s="8"/>
      <c r="E891" s="8"/>
      <c r="F891" s="8"/>
      <c r="G891" s="8"/>
      <c r="H891" s="8"/>
      <c r="I891" s="10"/>
      <c r="J891" s="10"/>
      <c r="K891" s="18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9"/>
      <c r="B892" s="8"/>
      <c r="C892" s="8"/>
      <c r="D892" s="8"/>
      <c r="E892" s="8"/>
      <c r="F892" s="8"/>
      <c r="G892" s="8"/>
      <c r="H892" s="8"/>
      <c r="I892" s="10"/>
      <c r="J892" s="10"/>
      <c r="K892" s="18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9"/>
      <c r="B893" s="8"/>
      <c r="C893" s="8"/>
      <c r="D893" s="8"/>
      <c r="E893" s="8"/>
      <c r="F893" s="8"/>
      <c r="G893" s="8"/>
      <c r="H893" s="8"/>
      <c r="I893" s="10"/>
      <c r="J893" s="10"/>
      <c r="K893" s="18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9"/>
      <c r="B894" s="8"/>
      <c r="C894" s="8"/>
      <c r="D894" s="8"/>
      <c r="E894" s="8"/>
      <c r="F894" s="8"/>
      <c r="G894" s="8"/>
      <c r="H894" s="8"/>
      <c r="I894" s="10"/>
      <c r="J894" s="10"/>
      <c r="K894" s="18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9"/>
      <c r="B895" s="8"/>
      <c r="C895" s="8"/>
      <c r="D895" s="8"/>
      <c r="E895" s="8"/>
      <c r="F895" s="8"/>
      <c r="G895" s="8"/>
      <c r="H895" s="8"/>
      <c r="I895" s="10"/>
      <c r="J895" s="10"/>
      <c r="K895" s="18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9"/>
      <c r="B896" s="8"/>
      <c r="C896" s="8"/>
      <c r="D896" s="8"/>
      <c r="E896" s="8"/>
      <c r="F896" s="8"/>
      <c r="G896" s="8"/>
      <c r="H896" s="8"/>
      <c r="I896" s="10"/>
      <c r="J896" s="10"/>
      <c r="K896" s="18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9"/>
      <c r="B897" s="8"/>
      <c r="C897" s="8"/>
      <c r="D897" s="8"/>
      <c r="E897" s="8"/>
      <c r="F897" s="8"/>
      <c r="G897" s="8"/>
      <c r="H897" s="8"/>
      <c r="I897" s="10"/>
      <c r="J897" s="10"/>
      <c r="K897" s="18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9"/>
      <c r="B898" s="8"/>
      <c r="C898" s="8"/>
      <c r="D898" s="8"/>
      <c r="E898" s="8"/>
      <c r="F898" s="8"/>
      <c r="G898" s="8"/>
      <c r="H898" s="8"/>
      <c r="I898" s="10"/>
      <c r="J898" s="10"/>
      <c r="K898" s="18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9"/>
      <c r="B899" s="8"/>
      <c r="C899" s="8"/>
      <c r="D899" s="8"/>
      <c r="E899" s="8"/>
      <c r="F899" s="8"/>
      <c r="G899" s="8"/>
      <c r="H899" s="8"/>
      <c r="I899" s="10"/>
      <c r="J899" s="10"/>
      <c r="K899" s="18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9"/>
      <c r="B900" s="8"/>
      <c r="C900" s="8"/>
      <c r="D900" s="8"/>
      <c r="E900" s="8"/>
      <c r="F900" s="8"/>
      <c r="G900" s="8"/>
      <c r="H900" s="8"/>
      <c r="I900" s="10"/>
      <c r="J900" s="10"/>
      <c r="K900" s="18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9"/>
      <c r="B901" s="8"/>
      <c r="C901" s="8"/>
      <c r="D901" s="8"/>
      <c r="E901" s="8"/>
      <c r="F901" s="8"/>
      <c r="G901" s="8"/>
      <c r="H901" s="8"/>
      <c r="I901" s="10"/>
      <c r="J901" s="10"/>
      <c r="K901" s="18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9"/>
      <c r="B902" s="8"/>
      <c r="C902" s="8"/>
      <c r="D902" s="8"/>
      <c r="E902" s="8"/>
      <c r="F902" s="8"/>
      <c r="G902" s="8"/>
      <c r="H902" s="8"/>
      <c r="I902" s="10"/>
      <c r="J902" s="10"/>
      <c r="K902" s="18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9"/>
      <c r="B903" s="8"/>
      <c r="C903" s="8"/>
      <c r="D903" s="8"/>
      <c r="E903" s="8"/>
      <c r="F903" s="8"/>
      <c r="G903" s="8"/>
      <c r="H903" s="8"/>
      <c r="I903" s="10"/>
      <c r="J903" s="10"/>
      <c r="K903" s="18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9"/>
      <c r="B904" s="8"/>
      <c r="C904" s="8"/>
      <c r="D904" s="8"/>
      <c r="E904" s="8"/>
      <c r="F904" s="8"/>
      <c r="G904" s="8"/>
      <c r="H904" s="8"/>
      <c r="I904" s="10"/>
      <c r="J904" s="10"/>
      <c r="K904" s="18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9"/>
      <c r="B905" s="8"/>
      <c r="C905" s="8"/>
      <c r="D905" s="8"/>
      <c r="E905" s="8"/>
      <c r="F905" s="8"/>
      <c r="G905" s="8"/>
      <c r="H905" s="8"/>
      <c r="I905" s="10"/>
      <c r="J905" s="10"/>
      <c r="K905" s="18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9"/>
      <c r="B906" s="8"/>
      <c r="C906" s="8"/>
      <c r="D906" s="8"/>
      <c r="E906" s="8"/>
      <c r="F906" s="8"/>
      <c r="G906" s="8"/>
      <c r="H906" s="8"/>
      <c r="I906" s="10"/>
      <c r="J906" s="10"/>
      <c r="K906" s="18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9"/>
      <c r="B907" s="8"/>
      <c r="C907" s="8"/>
      <c r="D907" s="8"/>
      <c r="E907" s="8"/>
      <c r="F907" s="8"/>
      <c r="G907" s="8"/>
      <c r="H907" s="8"/>
      <c r="I907" s="10"/>
      <c r="J907" s="10"/>
      <c r="K907" s="18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9"/>
      <c r="B908" s="8"/>
      <c r="C908" s="8"/>
      <c r="D908" s="8"/>
      <c r="E908" s="8"/>
      <c r="F908" s="8"/>
      <c r="G908" s="8"/>
      <c r="H908" s="8"/>
      <c r="I908" s="10"/>
      <c r="J908" s="10"/>
      <c r="K908" s="18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9"/>
      <c r="B909" s="8"/>
      <c r="C909" s="8"/>
      <c r="D909" s="8"/>
      <c r="E909" s="8"/>
      <c r="F909" s="8"/>
      <c r="G909" s="8"/>
      <c r="H909" s="8"/>
      <c r="I909" s="10"/>
      <c r="J909" s="10"/>
      <c r="K909" s="18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9"/>
      <c r="B910" s="8"/>
      <c r="C910" s="8"/>
      <c r="D910" s="8"/>
      <c r="E910" s="8"/>
      <c r="F910" s="8"/>
      <c r="G910" s="8"/>
      <c r="H910" s="8"/>
      <c r="I910" s="10"/>
      <c r="J910" s="10"/>
      <c r="K910" s="18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9"/>
      <c r="B911" s="8"/>
      <c r="C911" s="8"/>
      <c r="D911" s="8"/>
      <c r="E911" s="8"/>
      <c r="F911" s="8"/>
      <c r="G911" s="8"/>
      <c r="H911" s="8"/>
      <c r="I911" s="10"/>
      <c r="J911" s="10"/>
      <c r="K911" s="18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9"/>
      <c r="B912" s="8"/>
      <c r="C912" s="8"/>
      <c r="D912" s="8"/>
      <c r="E912" s="8"/>
      <c r="F912" s="8"/>
      <c r="G912" s="8"/>
      <c r="H912" s="8"/>
      <c r="I912" s="10"/>
      <c r="J912" s="10"/>
      <c r="K912" s="18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9"/>
      <c r="B913" s="8"/>
      <c r="C913" s="8"/>
      <c r="D913" s="8"/>
      <c r="E913" s="8"/>
      <c r="F913" s="8"/>
      <c r="G913" s="8"/>
      <c r="H913" s="8"/>
      <c r="I913" s="10"/>
      <c r="J913" s="10"/>
      <c r="K913" s="18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9"/>
      <c r="B914" s="8"/>
      <c r="C914" s="8"/>
      <c r="D914" s="8"/>
      <c r="E914" s="8"/>
      <c r="F914" s="8"/>
      <c r="G914" s="8"/>
      <c r="H914" s="8"/>
      <c r="I914" s="10"/>
      <c r="J914" s="10"/>
      <c r="K914" s="18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9"/>
      <c r="B915" s="8"/>
      <c r="C915" s="8"/>
      <c r="D915" s="8"/>
      <c r="E915" s="8"/>
      <c r="F915" s="8"/>
      <c r="G915" s="8"/>
      <c r="H915" s="8"/>
      <c r="I915" s="10"/>
      <c r="J915" s="10"/>
      <c r="K915" s="18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9"/>
      <c r="B916" s="8"/>
      <c r="C916" s="8"/>
      <c r="D916" s="8"/>
      <c r="E916" s="8"/>
      <c r="F916" s="8"/>
      <c r="G916" s="8"/>
      <c r="H916" s="8"/>
      <c r="I916" s="10"/>
      <c r="J916" s="10"/>
      <c r="K916" s="18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9"/>
      <c r="B917" s="8"/>
      <c r="C917" s="8"/>
      <c r="D917" s="8"/>
      <c r="E917" s="8"/>
      <c r="F917" s="8"/>
      <c r="G917" s="8"/>
      <c r="H917" s="8"/>
      <c r="I917" s="10"/>
      <c r="J917" s="10"/>
      <c r="K917" s="18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9"/>
      <c r="B918" s="8"/>
      <c r="C918" s="8"/>
      <c r="D918" s="8"/>
      <c r="E918" s="8"/>
      <c r="F918" s="8"/>
      <c r="G918" s="8"/>
      <c r="H918" s="8"/>
      <c r="I918" s="10"/>
      <c r="J918" s="10"/>
      <c r="K918" s="18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9"/>
      <c r="B919" s="8"/>
      <c r="C919" s="8"/>
      <c r="D919" s="8"/>
      <c r="E919" s="8"/>
      <c r="F919" s="8"/>
      <c r="G919" s="8"/>
      <c r="H919" s="8"/>
      <c r="I919" s="10"/>
      <c r="J919" s="10"/>
      <c r="K919" s="18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9"/>
      <c r="B920" s="8"/>
      <c r="C920" s="8"/>
      <c r="D920" s="8"/>
      <c r="E920" s="8"/>
      <c r="F920" s="8"/>
      <c r="G920" s="8"/>
      <c r="H920" s="8"/>
      <c r="I920" s="10"/>
      <c r="J920" s="10"/>
      <c r="K920" s="18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9"/>
      <c r="B921" s="8"/>
      <c r="C921" s="8"/>
      <c r="D921" s="8"/>
      <c r="E921" s="8"/>
      <c r="F921" s="8"/>
      <c r="G921" s="8"/>
      <c r="H921" s="8"/>
      <c r="I921" s="10"/>
      <c r="J921" s="10"/>
      <c r="K921" s="18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9"/>
      <c r="B922" s="8"/>
      <c r="C922" s="8"/>
      <c r="D922" s="8"/>
      <c r="E922" s="8"/>
      <c r="F922" s="8"/>
      <c r="G922" s="8"/>
      <c r="H922" s="8"/>
      <c r="I922" s="10"/>
      <c r="J922" s="10"/>
      <c r="K922" s="18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9"/>
      <c r="B923" s="8"/>
      <c r="C923" s="8"/>
      <c r="D923" s="8"/>
      <c r="E923" s="8"/>
      <c r="F923" s="8"/>
      <c r="G923" s="8"/>
      <c r="H923" s="8"/>
      <c r="I923" s="10"/>
      <c r="J923" s="10"/>
      <c r="K923" s="18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9"/>
      <c r="B924" s="8"/>
      <c r="C924" s="8"/>
      <c r="D924" s="8"/>
      <c r="E924" s="8"/>
      <c r="F924" s="8"/>
      <c r="G924" s="8"/>
      <c r="H924" s="8"/>
      <c r="I924" s="10"/>
      <c r="J924" s="10"/>
      <c r="K924" s="18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9"/>
      <c r="B925" s="8"/>
      <c r="C925" s="8"/>
      <c r="D925" s="8"/>
      <c r="E925" s="8"/>
      <c r="F925" s="8"/>
      <c r="G925" s="8"/>
      <c r="H925" s="8"/>
      <c r="I925" s="10"/>
      <c r="J925" s="10"/>
      <c r="K925" s="18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9"/>
      <c r="B926" s="8"/>
      <c r="C926" s="8"/>
      <c r="D926" s="8"/>
      <c r="E926" s="8"/>
      <c r="F926" s="8"/>
      <c r="G926" s="8"/>
      <c r="H926" s="8"/>
      <c r="I926" s="10"/>
      <c r="J926" s="10"/>
      <c r="K926" s="18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9"/>
      <c r="B927" s="8"/>
      <c r="C927" s="8"/>
      <c r="D927" s="8"/>
      <c r="E927" s="8"/>
      <c r="F927" s="8"/>
      <c r="G927" s="8"/>
      <c r="H927" s="8"/>
      <c r="I927" s="10"/>
      <c r="J927" s="10"/>
      <c r="K927" s="18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9"/>
      <c r="B928" s="8"/>
      <c r="C928" s="8"/>
      <c r="D928" s="8"/>
      <c r="E928" s="8"/>
      <c r="F928" s="8"/>
      <c r="G928" s="8"/>
      <c r="H928" s="8"/>
      <c r="I928" s="10"/>
      <c r="J928" s="10"/>
      <c r="K928" s="18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9"/>
      <c r="B929" s="8"/>
      <c r="C929" s="8"/>
      <c r="D929" s="8"/>
      <c r="E929" s="8"/>
      <c r="F929" s="8"/>
      <c r="G929" s="8"/>
      <c r="H929" s="8"/>
      <c r="I929" s="10"/>
      <c r="J929" s="10"/>
      <c r="K929" s="18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9"/>
      <c r="B930" s="8"/>
      <c r="C930" s="8"/>
      <c r="D930" s="8"/>
      <c r="E930" s="8"/>
      <c r="F930" s="8"/>
      <c r="G930" s="8"/>
      <c r="H930" s="8"/>
      <c r="I930" s="10"/>
      <c r="J930" s="10"/>
      <c r="K930" s="18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9"/>
      <c r="B931" s="8"/>
      <c r="C931" s="8"/>
      <c r="D931" s="8"/>
      <c r="E931" s="8"/>
      <c r="F931" s="8"/>
      <c r="G931" s="8"/>
      <c r="H931" s="8"/>
      <c r="I931" s="10"/>
      <c r="J931" s="10"/>
      <c r="K931" s="18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9"/>
      <c r="B932" s="8"/>
      <c r="C932" s="8"/>
      <c r="D932" s="8"/>
      <c r="E932" s="8"/>
      <c r="F932" s="8"/>
      <c r="G932" s="8"/>
      <c r="H932" s="8"/>
      <c r="I932" s="10"/>
      <c r="J932" s="10"/>
      <c r="K932" s="18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9"/>
      <c r="B933" s="8"/>
      <c r="C933" s="8"/>
      <c r="D933" s="8"/>
      <c r="E933" s="8"/>
      <c r="F933" s="8"/>
      <c r="G933" s="8"/>
      <c r="H933" s="8"/>
      <c r="I933" s="10"/>
      <c r="J933" s="10"/>
      <c r="K933" s="18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9"/>
      <c r="B934" s="8"/>
      <c r="C934" s="8"/>
      <c r="D934" s="8"/>
      <c r="E934" s="8"/>
      <c r="F934" s="8"/>
      <c r="G934" s="8"/>
      <c r="H934" s="8"/>
      <c r="I934" s="10"/>
      <c r="J934" s="10"/>
      <c r="K934" s="18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9"/>
      <c r="B935" s="8"/>
      <c r="C935" s="8"/>
      <c r="D935" s="8"/>
      <c r="E935" s="8"/>
      <c r="F935" s="8"/>
      <c r="G935" s="8"/>
      <c r="H935" s="8"/>
      <c r="I935" s="10"/>
      <c r="J935" s="10"/>
      <c r="K935" s="18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9"/>
      <c r="B936" s="8"/>
      <c r="C936" s="8"/>
      <c r="D936" s="8"/>
      <c r="E936" s="8"/>
      <c r="F936" s="8"/>
      <c r="G936" s="8"/>
      <c r="H936" s="8"/>
      <c r="I936" s="10"/>
      <c r="J936" s="10"/>
      <c r="K936" s="18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9"/>
      <c r="B937" s="8"/>
      <c r="C937" s="8"/>
      <c r="D937" s="8"/>
      <c r="E937" s="8"/>
      <c r="F937" s="8"/>
      <c r="G937" s="8"/>
      <c r="H937" s="8"/>
      <c r="I937" s="10"/>
      <c r="J937" s="10"/>
      <c r="K937" s="18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9"/>
      <c r="B938" s="8"/>
      <c r="C938" s="8"/>
      <c r="D938" s="8"/>
      <c r="E938" s="8"/>
      <c r="F938" s="8"/>
      <c r="G938" s="8"/>
      <c r="H938" s="8"/>
      <c r="I938" s="10"/>
      <c r="J938" s="10"/>
      <c r="K938" s="18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9"/>
      <c r="B939" s="8"/>
      <c r="C939" s="8"/>
      <c r="D939" s="8"/>
      <c r="E939" s="8"/>
      <c r="F939" s="8"/>
      <c r="G939" s="8"/>
      <c r="H939" s="8"/>
      <c r="I939" s="10"/>
      <c r="J939" s="10"/>
      <c r="K939" s="18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9"/>
      <c r="B940" s="8"/>
      <c r="C940" s="8"/>
      <c r="D940" s="8"/>
      <c r="E940" s="8"/>
      <c r="F940" s="8"/>
      <c r="G940" s="8"/>
      <c r="H940" s="8"/>
      <c r="I940" s="10"/>
      <c r="J940" s="10"/>
      <c r="K940" s="18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9"/>
      <c r="B941" s="8"/>
      <c r="C941" s="8"/>
      <c r="D941" s="8"/>
      <c r="E941" s="8"/>
      <c r="F941" s="8"/>
      <c r="G941" s="8"/>
      <c r="H941" s="8"/>
      <c r="I941" s="10"/>
      <c r="J941" s="10"/>
      <c r="K941" s="18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9"/>
      <c r="B942" s="8"/>
      <c r="C942" s="8"/>
      <c r="D942" s="8"/>
      <c r="E942" s="8"/>
      <c r="F942" s="8"/>
      <c r="G942" s="8"/>
      <c r="H942" s="8"/>
      <c r="I942" s="10"/>
      <c r="J942" s="10"/>
      <c r="K942" s="18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9"/>
      <c r="B943" s="8"/>
      <c r="C943" s="8"/>
      <c r="D943" s="8"/>
      <c r="E943" s="8"/>
      <c r="F943" s="8"/>
      <c r="G943" s="8"/>
      <c r="H943" s="8"/>
      <c r="I943" s="10"/>
      <c r="J943" s="10"/>
      <c r="K943" s="18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9"/>
      <c r="B944" s="8"/>
      <c r="C944" s="8"/>
      <c r="D944" s="8"/>
      <c r="E944" s="8"/>
      <c r="F944" s="8"/>
      <c r="G944" s="8"/>
      <c r="H944" s="8"/>
      <c r="I944" s="10"/>
      <c r="J944" s="10"/>
      <c r="K944" s="18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9"/>
      <c r="B945" s="8"/>
      <c r="C945" s="8"/>
      <c r="D945" s="8"/>
      <c r="E945" s="8"/>
      <c r="F945" s="8"/>
      <c r="G945" s="8"/>
      <c r="H945" s="8"/>
      <c r="I945" s="10"/>
      <c r="J945" s="10"/>
      <c r="K945" s="18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9"/>
      <c r="B946" s="8"/>
      <c r="C946" s="8"/>
      <c r="D946" s="8"/>
      <c r="E946" s="8"/>
      <c r="F946" s="8"/>
      <c r="G946" s="8"/>
      <c r="H946" s="8"/>
      <c r="I946" s="10"/>
      <c r="J946" s="10"/>
      <c r="K946" s="18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9"/>
      <c r="B947" s="8"/>
      <c r="C947" s="8"/>
      <c r="D947" s="8"/>
      <c r="E947" s="8"/>
      <c r="F947" s="8"/>
      <c r="G947" s="8"/>
      <c r="H947" s="8"/>
      <c r="I947" s="10"/>
      <c r="J947" s="10"/>
      <c r="K947" s="18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9"/>
      <c r="B948" s="8"/>
      <c r="C948" s="8"/>
      <c r="D948" s="8"/>
      <c r="E948" s="8"/>
      <c r="F948" s="8"/>
      <c r="G948" s="8"/>
      <c r="H948" s="8"/>
      <c r="I948" s="10"/>
      <c r="J948" s="10"/>
      <c r="K948" s="18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9"/>
      <c r="B949" s="8"/>
      <c r="C949" s="8"/>
      <c r="D949" s="8"/>
      <c r="E949" s="8"/>
      <c r="F949" s="8"/>
      <c r="G949" s="8"/>
      <c r="H949" s="8"/>
      <c r="I949" s="10"/>
      <c r="J949" s="10"/>
      <c r="K949" s="18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9"/>
      <c r="B950" s="8"/>
      <c r="C950" s="8"/>
      <c r="D950" s="8"/>
      <c r="E950" s="8"/>
      <c r="F950" s="8"/>
      <c r="G950" s="8"/>
      <c r="H950" s="8"/>
      <c r="I950" s="10"/>
      <c r="J950" s="10"/>
      <c r="K950" s="18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9"/>
      <c r="B951" s="8"/>
      <c r="C951" s="8"/>
      <c r="D951" s="8"/>
      <c r="E951" s="8"/>
      <c r="F951" s="8"/>
      <c r="G951" s="8"/>
      <c r="H951" s="8"/>
      <c r="I951" s="10"/>
      <c r="J951" s="10"/>
      <c r="K951" s="18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9"/>
      <c r="B952" s="8"/>
      <c r="C952" s="8"/>
      <c r="D952" s="8"/>
      <c r="E952" s="8"/>
      <c r="F952" s="8"/>
      <c r="G952" s="8"/>
      <c r="H952" s="8"/>
      <c r="I952" s="10"/>
      <c r="J952" s="10"/>
      <c r="K952" s="18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9"/>
      <c r="B953" s="8"/>
      <c r="C953" s="8"/>
      <c r="D953" s="8"/>
      <c r="E953" s="8"/>
      <c r="F953" s="8"/>
      <c r="G953" s="8"/>
      <c r="H953" s="8"/>
      <c r="I953" s="10"/>
      <c r="J953" s="10"/>
      <c r="K953" s="18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9"/>
      <c r="B954" s="8"/>
      <c r="C954" s="8"/>
      <c r="D954" s="8"/>
      <c r="E954" s="8"/>
      <c r="F954" s="8"/>
      <c r="G954" s="8"/>
      <c r="H954" s="8"/>
      <c r="I954" s="10"/>
      <c r="J954" s="10"/>
      <c r="K954" s="18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9"/>
      <c r="B955" s="8"/>
      <c r="C955" s="8"/>
      <c r="D955" s="8"/>
      <c r="E955" s="8"/>
      <c r="F955" s="8"/>
      <c r="G955" s="8"/>
      <c r="H955" s="8"/>
      <c r="I955" s="10"/>
      <c r="J955" s="10"/>
      <c r="K955" s="18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9"/>
      <c r="B956" s="8"/>
      <c r="C956" s="8"/>
      <c r="D956" s="8"/>
      <c r="E956" s="8"/>
      <c r="F956" s="8"/>
      <c r="G956" s="8"/>
      <c r="H956" s="8"/>
      <c r="I956" s="10"/>
      <c r="J956" s="10"/>
      <c r="K956" s="18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9"/>
      <c r="B957" s="8"/>
      <c r="C957" s="8"/>
      <c r="D957" s="8"/>
      <c r="E957" s="8"/>
      <c r="F957" s="8"/>
      <c r="G957" s="8"/>
      <c r="H957" s="8"/>
      <c r="I957" s="10"/>
      <c r="J957" s="10"/>
      <c r="K957" s="18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9"/>
      <c r="B958" s="8"/>
      <c r="C958" s="8"/>
      <c r="D958" s="8"/>
      <c r="E958" s="8"/>
      <c r="F958" s="8"/>
      <c r="G958" s="8"/>
      <c r="H958" s="8"/>
      <c r="I958" s="10"/>
      <c r="J958" s="10"/>
      <c r="K958" s="18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9"/>
      <c r="B959" s="8"/>
      <c r="C959" s="8"/>
      <c r="D959" s="8"/>
      <c r="E959" s="8"/>
      <c r="F959" s="8"/>
      <c r="G959" s="8"/>
      <c r="H959" s="8"/>
      <c r="I959" s="10"/>
      <c r="J959" s="10"/>
      <c r="K959" s="18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9"/>
      <c r="B960" s="8"/>
      <c r="C960" s="8"/>
      <c r="D960" s="8"/>
      <c r="E960" s="8"/>
      <c r="F960" s="8"/>
      <c r="G960" s="8"/>
      <c r="H960" s="8"/>
      <c r="I960" s="10"/>
      <c r="J960" s="10"/>
      <c r="K960" s="18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9"/>
      <c r="B961" s="8"/>
      <c r="C961" s="8"/>
      <c r="D961" s="8"/>
      <c r="E961" s="8"/>
      <c r="F961" s="8"/>
      <c r="G961" s="8"/>
      <c r="H961" s="8"/>
      <c r="I961" s="10"/>
      <c r="J961" s="10"/>
      <c r="K961" s="18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9"/>
      <c r="B962" s="8"/>
      <c r="C962" s="8"/>
      <c r="D962" s="8"/>
      <c r="E962" s="8"/>
      <c r="F962" s="8"/>
      <c r="G962" s="8"/>
      <c r="H962" s="8"/>
      <c r="I962" s="10"/>
      <c r="J962" s="10"/>
      <c r="K962" s="18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9"/>
      <c r="B963" s="8"/>
      <c r="C963" s="8"/>
      <c r="D963" s="8"/>
      <c r="E963" s="8"/>
      <c r="F963" s="8"/>
      <c r="G963" s="8"/>
      <c r="H963" s="8"/>
      <c r="I963" s="10"/>
      <c r="J963" s="10"/>
      <c r="K963" s="18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9"/>
      <c r="B964" s="8"/>
      <c r="C964" s="8"/>
      <c r="D964" s="8"/>
      <c r="E964" s="8"/>
      <c r="F964" s="8"/>
      <c r="G964" s="8"/>
      <c r="H964" s="8"/>
      <c r="I964" s="10"/>
      <c r="J964" s="10"/>
      <c r="K964" s="18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9"/>
      <c r="B965" s="8"/>
      <c r="C965" s="8"/>
      <c r="D965" s="8"/>
      <c r="E965" s="8"/>
      <c r="F965" s="8"/>
      <c r="G965" s="8"/>
      <c r="H965" s="8"/>
      <c r="I965" s="10"/>
      <c r="J965" s="10"/>
      <c r="K965" s="18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9"/>
      <c r="B966" s="8"/>
      <c r="C966" s="8"/>
      <c r="D966" s="8"/>
      <c r="E966" s="8"/>
      <c r="F966" s="8"/>
      <c r="G966" s="8"/>
      <c r="H966" s="8"/>
      <c r="I966" s="10"/>
      <c r="J966" s="10"/>
      <c r="K966" s="18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9"/>
      <c r="B967" s="8"/>
      <c r="C967" s="8"/>
      <c r="D967" s="8"/>
      <c r="E967" s="8"/>
      <c r="F967" s="8"/>
      <c r="G967" s="8"/>
      <c r="H967" s="8"/>
      <c r="I967" s="10"/>
      <c r="J967" s="10"/>
      <c r="K967" s="18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9"/>
      <c r="B968" s="8"/>
      <c r="C968" s="8"/>
      <c r="D968" s="8"/>
      <c r="E968" s="8"/>
      <c r="F968" s="8"/>
      <c r="G968" s="8"/>
      <c r="H968" s="8"/>
      <c r="I968" s="10"/>
      <c r="J968" s="10"/>
      <c r="K968" s="18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9"/>
      <c r="B969" s="8"/>
      <c r="C969" s="8"/>
      <c r="D969" s="8"/>
      <c r="E969" s="8"/>
      <c r="F969" s="8"/>
      <c r="G969" s="8"/>
      <c r="H969" s="8"/>
      <c r="I969" s="10"/>
      <c r="J969" s="10"/>
      <c r="K969" s="18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9"/>
      <c r="B970" s="8"/>
      <c r="C970" s="8"/>
      <c r="D970" s="8"/>
      <c r="E970" s="8"/>
      <c r="F970" s="8"/>
      <c r="G970" s="8"/>
      <c r="H970" s="8"/>
      <c r="I970" s="10"/>
      <c r="J970" s="10"/>
      <c r="K970" s="18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9"/>
      <c r="B971" s="8"/>
      <c r="C971" s="8"/>
      <c r="D971" s="8"/>
      <c r="E971" s="8"/>
      <c r="F971" s="8"/>
      <c r="G971" s="8"/>
      <c r="H971" s="8"/>
      <c r="I971" s="10"/>
      <c r="J971" s="10"/>
      <c r="K971" s="18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9"/>
      <c r="B972" s="8"/>
      <c r="C972" s="8"/>
      <c r="D972" s="8"/>
      <c r="E972" s="8"/>
      <c r="F972" s="8"/>
      <c r="G972" s="8"/>
      <c r="H972" s="8"/>
      <c r="I972" s="10"/>
      <c r="J972" s="10"/>
      <c r="K972" s="18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9"/>
      <c r="B973" s="8"/>
      <c r="C973" s="8"/>
      <c r="D973" s="8"/>
      <c r="E973" s="8"/>
      <c r="F973" s="8"/>
      <c r="G973" s="8"/>
      <c r="H973" s="8"/>
      <c r="I973" s="10"/>
      <c r="J973" s="10"/>
      <c r="K973" s="18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9"/>
      <c r="B974" s="8"/>
      <c r="C974" s="8"/>
      <c r="D974" s="8"/>
      <c r="E974" s="8"/>
      <c r="F974" s="8"/>
      <c r="G974" s="8"/>
      <c r="H974" s="8"/>
      <c r="I974" s="10"/>
      <c r="J974" s="10"/>
      <c r="K974" s="18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9"/>
      <c r="B975" s="8"/>
      <c r="C975" s="8"/>
      <c r="D975" s="8"/>
      <c r="E975" s="8"/>
      <c r="F975" s="8"/>
      <c r="G975" s="8"/>
      <c r="H975" s="8"/>
      <c r="I975" s="10"/>
      <c r="J975" s="10"/>
      <c r="K975" s="18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9"/>
      <c r="B976" s="8"/>
      <c r="C976" s="8"/>
      <c r="D976" s="8"/>
      <c r="E976" s="8"/>
      <c r="F976" s="8"/>
      <c r="G976" s="8"/>
      <c r="H976" s="8"/>
      <c r="I976" s="10"/>
      <c r="J976" s="10"/>
      <c r="K976" s="18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9"/>
      <c r="B977" s="8"/>
      <c r="C977" s="8"/>
      <c r="D977" s="8"/>
      <c r="E977" s="8"/>
      <c r="F977" s="8"/>
      <c r="G977" s="8"/>
      <c r="H977" s="8"/>
      <c r="I977" s="10"/>
      <c r="J977" s="10"/>
      <c r="K977" s="18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9"/>
      <c r="B978" s="8"/>
      <c r="C978" s="8"/>
      <c r="D978" s="8"/>
      <c r="E978" s="8"/>
      <c r="F978" s="8"/>
      <c r="G978" s="8"/>
      <c r="H978" s="8"/>
      <c r="I978" s="10"/>
      <c r="J978" s="10"/>
      <c r="K978" s="18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9"/>
      <c r="B979" s="8"/>
      <c r="C979" s="8"/>
      <c r="D979" s="8"/>
      <c r="E979" s="8"/>
      <c r="F979" s="8"/>
      <c r="G979" s="8"/>
      <c r="H979" s="8"/>
      <c r="I979" s="10"/>
      <c r="J979" s="10"/>
      <c r="K979" s="18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9"/>
      <c r="B980" s="8"/>
      <c r="C980" s="8"/>
      <c r="D980" s="8"/>
      <c r="E980" s="8"/>
      <c r="F980" s="8"/>
      <c r="G980" s="8"/>
      <c r="H980" s="8"/>
      <c r="I980" s="10"/>
      <c r="J980" s="10"/>
      <c r="K980" s="18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9"/>
      <c r="B981" s="8"/>
      <c r="C981" s="8"/>
      <c r="D981" s="8"/>
      <c r="E981" s="8"/>
      <c r="F981" s="8"/>
      <c r="G981" s="8"/>
      <c r="H981" s="8"/>
      <c r="I981" s="10"/>
      <c r="J981" s="10"/>
      <c r="K981" s="18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9"/>
      <c r="B982" s="8"/>
      <c r="C982" s="8"/>
      <c r="D982" s="8"/>
      <c r="E982" s="8"/>
      <c r="F982" s="8"/>
      <c r="G982" s="8"/>
      <c r="H982" s="8"/>
      <c r="I982" s="10"/>
      <c r="J982" s="10"/>
      <c r="K982" s="18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9"/>
      <c r="B983" s="8"/>
      <c r="C983" s="8"/>
      <c r="D983" s="8"/>
      <c r="E983" s="8"/>
      <c r="F983" s="8"/>
      <c r="G983" s="8"/>
      <c r="H983" s="8"/>
      <c r="I983" s="10"/>
      <c r="J983" s="10"/>
      <c r="K983" s="18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9"/>
      <c r="B984" s="8"/>
      <c r="C984" s="8"/>
      <c r="D984" s="8"/>
      <c r="E984" s="8"/>
      <c r="F984" s="8"/>
      <c r="G984" s="8"/>
      <c r="H984" s="8"/>
      <c r="I984" s="10"/>
      <c r="J984" s="10"/>
      <c r="K984" s="18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9"/>
      <c r="B985" s="8"/>
      <c r="C985" s="8"/>
      <c r="D985" s="8"/>
      <c r="E985" s="8"/>
      <c r="F985" s="8"/>
      <c r="G985" s="8"/>
      <c r="H985" s="8"/>
      <c r="I985" s="10"/>
      <c r="J985" s="10"/>
      <c r="K985" s="18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9"/>
      <c r="B986" s="8"/>
      <c r="C986" s="8"/>
      <c r="D986" s="8"/>
      <c r="E986" s="8"/>
      <c r="F986" s="8"/>
      <c r="G986" s="8"/>
      <c r="H986" s="8"/>
      <c r="I986" s="10"/>
      <c r="J986" s="10"/>
      <c r="K986" s="18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9"/>
      <c r="B987" s="8"/>
      <c r="C987" s="8"/>
      <c r="D987" s="8"/>
      <c r="E987" s="8"/>
      <c r="F987" s="8"/>
      <c r="G987" s="8"/>
      <c r="H987" s="8"/>
      <c r="I987" s="10"/>
      <c r="J987" s="10"/>
      <c r="K987" s="18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9"/>
      <c r="B988" s="8"/>
      <c r="C988" s="8"/>
      <c r="D988" s="8"/>
      <c r="E988" s="8"/>
      <c r="F988" s="8"/>
      <c r="G988" s="8"/>
      <c r="H988" s="8"/>
      <c r="I988" s="10"/>
      <c r="J988" s="10"/>
      <c r="K988" s="18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9"/>
      <c r="B989" s="8"/>
      <c r="C989" s="8"/>
      <c r="D989" s="8"/>
      <c r="E989" s="8"/>
      <c r="F989" s="8"/>
      <c r="G989" s="8"/>
      <c r="H989" s="8"/>
      <c r="I989" s="10"/>
      <c r="J989" s="10"/>
      <c r="K989" s="18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9"/>
      <c r="B990" s="8"/>
      <c r="C990" s="8"/>
      <c r="D990" s="8"/>
      <c r="E990" s="8"/>
      <c r="F990" s="8"/>
      <c r="G990" s="8"/>
      <c r="H990" s="8"/>
      <c r="I990" s="10"/>
      <c r="J990" s="10"/>
      <c r="K990" s="18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9"/>
      <c r="B991" s="8"/>
      <c r="C991" s="8"/>
      <c r="D991" s="8"/>
      <c r="E991" s="8"/>
      <c r="F991" s="8"/>
      <c r="G991" s="8"/>
      <c r="H991" s="8"/>
      <c r="I991" s="10"/>
      <c r="J991" s="10"/>
      <c r="K991" s="18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9"/>
      <c r="B992" s="8"/>
      <c r="C992" s="8"/>
      <c r="D992" s="8"/>
      <c r="E992" s="8"/>
      <c r="F992" s="8"/>
      <c r="G992" s="8"/>
      <c r="H992" s="8"/>
      <c r="I992" s="10"/>
      <c r="J992" s="10"/>
      <c r="K992" s="18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9"/>
      <c r="B993" s="8"/>
      <c r="C993" s="8"/>
      <c r="D993" s="8"/>
      <c r="E993" s="8"/>
      <c r="F993" s="8"/>
      <c r="G993" s="8"/>
      <c r="H993" s="8"/>
      <c r="I993" s="10"/>
      <c r="J993" s="10"/>
      <c r="K993" s="18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9"/>
      <c r="B994" s="8"/>
      <c r="C994" s="8"/>
      <c r="D994" s="8"/>
      <c r="E994" s="8"/>
      <c r="F994" s="8"/>
      <c r="G994" s="8"/>
      <c r="H994" s="8"/>
      <c r="I994" s="10"/>
      <c r="J994" s="10"/>
      <c r="K994" s="18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9"/>
      <c r="B995" s="8"/>
      <c r="C995" s="8"/>
      <c r="D995" s="8"/>
      <c r="E995" s="8"/>
      <c r="F995" s="8"/>
      <c r="G995" s="8"/>
      <c r="H995" s="8"/>
      <c r="I995" s="10"/>
      <c r="J995" s="10"/>
      <c r="K995" s="18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9"/>
      <c r="B996" s="8"/>
      <c r="C996" s="8"/>
      <c r="D996" s="8"/>
      <c r="E996" s="8"/>
      <c r="F996" s="8"/>
      <c r="G996" s="8"/>
      <c r="H996" s="8"/>
      <c r="I996" s="10"/>
      <c r="J996" s="10"/>
      <c r="K996" s="18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9"/>
      <c r="B997" s="8"/>
      <c r="C997" s="8"/>
      <c r="D997" s="8"/>
      <c r="E997" s="8"/>
      <c r="F997" s="8"/>
      <c r="G997" s="8"/>
      <c r="H997" s="8"/>
      <c r="I997" s="10"/>
      <c r="J997" s="10"/>
      <c r="K997" s="18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9"/>
      <c r="B998" s="8"/>
      <c r="C998" s="8"/>
      <c r="D998" s="8"/>
      <c r="E998" s="8"/>
      <c r="F998" s="8"/>
      <c r="G998" s="8"/>
      <c r="H998" s="8"/>
      <c r="I998" s="10"/>
      <c r="J998" s="10"/>
      <c r="K998" s="18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9"/>
      <c r="B999" s="8"/>
      <c r="C999" s="8"/>
      <c r="D999" s="8"/>
      <c r="E999" s="8"/>
      <c r="F999" s="8"/>
      <c r="G999" s="8"/>
      <c r="H999" s="8"/>
      <c r="I999" s="10"/>
      <c r="J999" s="10"/>
      <c r="K999" s="18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9"/>
      <c r="B1000" s="8"/>
      <c r="C1000" s="8"/>
      <c r="D1000" s="8"/>
      <c r="E1000" s="8"/>
      <c r="F1000" s="8"/>
      <c r="G1000" s="8"/>
      <c r="H1000" s="8"/>
      <c r="I1000" s="10"/>
      <c r="J1000" s="10"/>
      <c r="K1000" s="18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4.25" customHeight="1">
      <c r="A1001" s="9"/>
      <c r="B1001" s="8"/>
      <c r="C1001" s="8"/>
      <c r="D1001" s="8"/>
      <c r="E1001" s="8"/>
      <c r="F1001" s="8"/>
      <c r="G1001" s="8"/>
      <c r="H1001" s="8"/>
      <c r="I1001" s="10"/>
      <c r="J1001" s="10"/>
      <c r="K1001" s="18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4.25" customHeight="1">
      <c r="A1002" s="9"/>
      <c r="B1002" s="8"/>
      <c r="C1002" s="8"/>
      <c r="D1002" s="8"/>
      <c r="E1002" s="8"/>
      <c r="F1002" s="8"/>
      <c r="G1002" s="8"/>
      <c r="H1002" s="8"/>
      <c r="I1002" s="10"/>
      <c r="J1002" s="10"/>
      <c r="K1002" s="18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4.25" customHeight="1">
      <c r="A1003" s="9"/>
      <c r="B1003" s="8"/>
      <c r="C1003" s="8"/>
      <c r="D1003" s="8"/>
      <c r="E1003" s="8"/>
      <c r="F1003" s="8"/>
      <c r="G1003" s="8"/>
      <c r="H1003" s="8"/>
      <c r="I1003" s="10"/>
      <c r="J1003" s="10"/>
      <c r="K1003" s="18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4.25" customHeight="1">
      <c r="A1004" s="9"/>
      <c r="B1004" s="8"/>
      <c r="C1004" s="8"/>
      <c r="D1004" s="8"/>
      <c r="E1004" s="8"/>
      <c r="F1004" s="8"/>
      <c r="G1004" s="8"/>
      <c r="H1004" s="8"/>
      <c r="I1004" s="10"/>
      <c r="J1004" s="10"/>
      <c r="K1004" s="18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4.25" customHeight="1">
      <c r="A1005" s="9"/>
      <c r="B1005" s="8"/>
      <c r="C1005" s="8"/>
      <c r="D1005" s="8"/>
      <c r="E1005" s="8"/>
      <c r="F1005" s="8"/>
      <c r="G1005" s="8"/>
      <c r="H1005" s="8"/>
      <c r="I1005" s="10"/>
      <c r="J1005" s="10"/>
      <c r="K1005" s="18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4.25" customHeight="1">
      <c r="A1006" s="9"/>
      <c r="B1006" s="8"/>
      <c r="C1006" s="8"/>
      <c r="D1006" s="8"/>
      <c r="E1006" s="8"/>
      <c r="F1006" s="8"/>
      <c r="G1006" s="8"/>
      <c r="H1006" s="8"/>
      <c r="I1006" s="10"/>
      <c r="J1006" s="10"/>
      <c r="K1006" s="18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4.25" customHeight="1">
      <c r="A1007" s="9"/>
      <c r="B1007" s="8"/>
      <c r="C1007" s="8"/>
      <c r="D1007" s="8"/>
      <c r="E1007" s="8"/>
      <c r="F1007" s="8"/>
      <c r="G1007" s="8"/>
      <c r="H1007" s="8"/>
      <c r="I1007" s="10"/>
      <c r="J1007" s="10"/>
      <c r="K1007" s="18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4.25" customHeight="1">
      <c r="A1008" s="9"/>
      <c r="B1008" s="8"/>
      <c r="C1008" s="8"/>
      <c r="D1008" s="8"/>
      <c r="E1008" s="8"/>
      <c r="F1008" s="8"/>
      <c r="G1008" s="8"/>
      <c r="H1008" s="8"/>
      <c r="I1008" s="10"/>
      <c r="J1008" s="10"/>
      <c r="K1008" s="18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ht="14.25" customHeight="1">
      <c r="A1009" s="9"/>
      <c r="B1009" s="8"/>
      <c r="C1009" s="8"/>
      <c r="D1009" s="8"/>
      <c r="E1009" s="8"/>
      <c r="F1009" s="8"/>
      <c r="G1009" s="8"/>
      <c r="H1009" s="8"/>
      <c r="I1009" s="10"/>
      <c r="J1009" s="10"/>
      <c r="K1009" s="18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ht="14.25" customHeight="1">
      <c r="A1010" s="9"/>
      <c r="B1010" s="8"/>
      <c r="C1010" s="8"/>
      <c r="D1010" s="8"/>
      <c r="E1010" s="8"/>
      <c r="F1010" s="8"/>
      <c r="G1010" s="8"/>
      <c r="H1010" s="8"/>
      <c r="I1010" s="10"/>
      <c r="J1010" s="10"/>
      <c r="K1010" s="18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ht="14.25" customHeight="1">
      <c r="A1011" s="9"/>
      <c r="B1011" s="8"/>
      <c r="C1011" s="8"/>
      <c r="D1011" s="8"/>
      <c r="E1011" s="8"/>
      <c r="F1011" s="8"/>
      <c r="G1011" s="8"/>
      <c r="H1011" s="8"/>
      <c r="I1011" s="10"/>
      <c r="J1011" s="10"/>
      <c r="K1011" s="18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ht="14.25" customHeight="1">
      <c r="A1012" s="9"/>
      <c r="B1012" s="8"/>
      <c r="C1012" s="8"/>
      <c r="D1012" s="8"/>
      <c r="E1012" s="8"/>
      <c r="F1012" s="8"/>
      <c r="G1012" s="8"/>
      <c r="H1012" s="8"/>
      <c r="I1012" s="10"/>
      <c r="J1012" s="10"/>
      <c r="K1012" s="18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ht="14.25" customHeight="1">
      <c r="A1013" s="9"/>
      <c r="B1013" s="8"/>
      <c r="C1013" s="8"/>
      <c r="D1013" s="8"/>
      <c r="E1013" s="8"/>
      <c r="F1013" s="8"/>
      <c r="G1013" s="8"/>
      <c r="H1013" s="8"/>
      <c r="I1013" s="10"/>
      <c r="J1013" s="10"/>
      <c r="K1013" s="18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ht="14.25" customHeight="1">
      <c r="A1014" s="9"/>
      <c r="B1014" s="8"/>
      <c r="C1014" s="8"/>
      <c r="D1014" s="8"/>
      <c r="E1014" s="8"/>
      <c r="F1014" s="8"/>
      <c r="G1014" s="8"/>
      <c r="H1014" s="8"/>
      <c r="I1014" s="10"/>
      <c r="J1014" s="10"/>
      <c r="K1014" s="18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ht="14.25" customHeight="1">
      <c r="A1015" s="9"/>
      <c r="B1015" s="8"/>
      <c r="C1015" s="8"/>
      <c r="D1015" s="8"/>
      <c r="E1015" s="8"/>
      <c r="F1015" s="8"/>
      <c r="G1015" s="8"/>
      <c r="H1015" s="8"/>
      <c r="I1015" s="10"/>
      <c r="J1015" s="10"/>
      <c r="K1015" s="18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ht="14.25" customHeight="1">
      <c r="A1016" s="9"/>
      <c r="B1016" s="8"/>
      <c r="C1016" s="8"/>
      <c r="D1016" s="8"/>
      <c r="E1016" s="8"/>
      <c r="F1016" s="8"/>
      <c r="G1016" s="8"/>
      <c r="H1016" s="8"/>
      <c r="I1016" s="10"/>
      <c r="J1016" s="10"/>
      <c r="K1016" s="18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ht="14.25" customHeight="1">
      <c r="A1017" s="9"/>
      <c r="B1017" s="8"/>
      <c r="C1017" s="8"/>
      <c r="D1017" s="8"/>
      <c r="E1017" s="8"/>
      <c r="F1017" s="8"/>
      <c r="G1017" s="8"/>
      <c r="H1017" s="8"/>
      <c r="I1017" s="10"/>
      <c r="J1017" s="10"/>
      <c r="K1017" s="18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ht="14.25" customHeight="1">
      <c r="A1018" s="9"/>
      <c r="B1018" s="8"/>
      <c r="C1018" s="8"/>
      <c r="D1018" s="8"/>
      <c r="E1018" s="8"/>
      <c r="F1018" s="8"/>
      <c r="G1018" s="8"/>
      <c r="H1018" s="8"/>
      <c r="I1018" s="10"/>
      <c r="J1018" s="10"/>
      <c r="K1018" s="18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ht="14.25" customHeight="1">
      <c r="A1019" s="9"/>
      <c r="B1019" s="8"/>
      <c r="C1019" s="8"/>
      <c r="D1019" s="8"/>
      <c r="E1019" s="8"/>
      <c r="F1019" s="8"/>
      <c r="G1019" s="8"/>
      <c r="H1019" s="8"/>
      <c r="I1019" s="10"/>
      <c r="J1019" s="10"/>
      <c r="K1019" s="18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ht="14.25" customHeight="1">
      <c r="A1020" s="9"/>
      <c r="B1020" s="8"/>
      <c r="C1020" s="8"/>
      <c r="D1020" s="8"/>
      <c r="E1020" s="8"/>
      <c r="F1020" s="8"/>
      <c r="G1020" s="8"/>
      <c r="H1020" s="8"/>
      <c r="I1020" s="10"/>
      <c r="J1020" s="10"/>
      <c r="K1020" s="18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ht="14.25" customHeight="1">
      <c r="A1021" s="9"/>
      <c r="B1021" s="8"/>
      <c r="C1021" s="8"/>
      <c r="D1021" s="8"/>
      <c r="E1021" s="8"/>
      <c r="F1021" s="8"/>
      <c r="G1021" s="8"/>
      <c r="H1021" s="8"/>
      <c r="I1021" s="10"/>
      <c r="J1021" s="10"/>
      <c r="K1021" s="18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ht="14.25" customHeight="1">
      <c r="A1022" s="9"/>
      <c r="B1022" s="8"/>
      <c r="C1022" s="8"/>
      <c r="D1022" s="8"/>
      <c r="E1022" s="8"/>
      <c r="F1022" s="8"/>
      <c r="G1022" s="8"/>
      <c r="H1022" s="8"/>
      <c r="I1022" s="10"/>
      <c r="J1022" s="10"/>
      <c r="K1022" s="18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ht="14.25" customHeight="1">
      <c r="A1023" s="9"/>
      <c r="B1023" s="8"/>
      <c r="C1023" s="8"/>
      <c r="D1023" s="8"/>
      <c r="E1023" s="8"/>
      <c r="F1023" s="8"/>
      <c r="G1023" s="8"/>
      <c r="H1023" s="8"/>
      <c r="I1023" s="10"/>
      <c r="J1023" s="10"/>
      <c r="K1023" s="18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ht="14.25" customHeight="1">
      <c r="A1024" s="9"/>
      <c r="B1024" s="8"/>
      <c r="C1024" s="8"/>
      <c r="D1024" s="8"/>
      <c r="E1024" s="8"/>
      <c r="F1024" s="8"/>
      <c r="G1024" s="8"/>
      <c r="H1024" s="8"/>
      <c r="I1024" s="10"/>
      <c r="J1024" s="10"/>
      <c r="K1024" s="18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ht="14.25" customHeight="1">
      <c r="A1025" s="9"/>
      <c r="B1025" s="8"/>
      <c r="C1025" s="8"/>
      <c r="D1025" s="8"/>
      <c r="E1025" s="8"/>
      <c r="F1025" s="8"/>
      <c r="G1025" s="8"/>
      <c r="H1025" s="8"/>
      <c r="I1025" s="10"/>
      <c r="J1025" s="10"/>
      <c r="K1025" s="18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ht="14.25" customHeight="1">
      <c r="A1026" s="9"/>
      <c r="B1026" s="8"/>
      <c r="C1026" s="8"/>
      <c r="D1026" s="8"/>
      <c r="E1026" s="8"/>
      <c r="F1026" s="8"/>
      <c r="G1026" s="8"/>
      <c r="H1026" s="8"/>
      <c r="I1026" s="10"/>
      <c r="J1026" s="10"/>
      <c r="K1026" s="18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ht="14.25" customHeight="1">
      <c r="A1027" s="9"/>
      <c r="B1027" s="8"/>
      <c r="C1027" s="8"/>
      <c r="D1027" s="8"/>
      <c r="E1027" s="8"/>
      <c r="F1027" s="8"/>
      <c r="G1027" s="8"/>
      <c r="H1027" s="8"/>
      <c r="I1027" s="10"/>
      <c r="J1027" s="10"/>
      <c r="K1027" s="18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ht="14.25" customHeight="1">
      <c r="A1028" s="9"/>
      <c r="B1028" s="8"/>
      <c r="C1028" s="8"/>
      <c r="D1028" s="8"/>
      <c r="E1028" s="8"/>
      <c r="F1028" s="8"/>
      <c r="G1028" s="8"/>
      <c r="H1028" s="8"/>
      <c r="I1028" s="10"/>
      <c r="J1028" s="10"/>
      <c r="K1028" s="18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ht="14.25" customHeight="1">
      <c r="A1029" s="9"/>
      <c r="B1029" s="8"/>
      <c r="C1029" s="8"/>
      <c r="D1029" s="8"/>
      <c r="E1029" s="8"/>
      <c r="F1029" s="8"/>
      <c r="G1029" s="8"/>
      <c r="H1029" s="8"/>
      <c r="I1029" s="10"/>
      <c r="J1029" s="10"/>
      <c r="K1029" s="18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ht="14.25" customHeight="1">
      <c r="A1030" s="9"/>
      <c r="B1030" s="8"/>
      <c r="C1030" s="8"/>
      <c r="D1030" s="8"/>
      <c r="E1030" s="8"/>
      <c r="F1030" s="8"/>
      <c r="G1030" s="8"/>
      <c r="H1030" s="8"/>
      <c r="I1030" s="10"/>
      <c r="J1030" s="10"/>
      <c r="K1030" s="18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ht="14.25" customHeight="1">
      <c r="A1031" s="9"/>
      <c r="B1031" s="8"/>
      <c r="C1031" s="8"/>
      <c r="D1031" s="8"/>
      <c r="E1031" s="8"/>
      <c r="F1031" s="8"/>
      <c r="G1031" s="8"/>
      <c r="H1031" s="8"/>
      <c r="I1031" s="10"/>
      <c r="J1031" s="10"/>
      <c r="K1031" s="18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ht="14.25" customHeight="1">
      <c r="A1032" s="9"/>
      <c r="B1032" s="8"/>
      <c r="C1032" s="8"/>
      <c r="D1032" s="8"/>
      <c r="E1032" s="8"/>
      <c r="F1032" s="8"/>
      <c r="G1032" s="8"/>
      <c r="H1032" s="8"/>
      <c r="I1032" s="10"/>
      <c r="J1032" s="10"/>
      <c r="K1032" s="18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ht="14.25" customHeight="1">
      <c r="A1033" s="9"/>
      <c r="B1033" s="8"/>
      <c r="C1033" s="8"/>
      <c r="D1033" s="8"/>
      <c r="E1033" s="8"/>
      <c r="F1033" s="8"/>
      <c r="G1033" s="8"/>
      <c r="H1033" s="8"/>
      <c r="I1033" s="10"/>
      <c r="J1033" s="10"/>
      <c r="K1033" s="18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ht="14.25" customHeight="1">
      <c r="A1034" s="9"/>
      <c r="B1034" s="8"/>
      <c r="C1034" s="8"/>
      <c r="D1034" s="8"/>
      <c r="E1034" s="8"/>
      <c r="F1034" s="8"/>
      <c r="G1034" s="8"/>
      <c r="H1034" s="8"/>
      <c r="I1034" s="10"/>
      <c r="J1034" s="10"/>
      <c r="K1034" s="18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ht="14.25" customHeight="1">
      <c r="A1035" s="9"/>
      <c r="B1035" s="8"/>
      <c r="C1035" s="8"/>
      <c r="D1035" s="8"/>
      <c r="E1035" s="8"/>
      <c r="F1035" s="8"/>
      <c r="G1035" s="8"/>
      <c r="H1035" s="8"/>
      <c r="I1035" s="10"/>
      <c r="J1035" s="10"/>
      <c r="K1035" s="18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ht="14.25" customHeight="1">
      <c r="A1036" s="9"/>
      <c r="B1036" s="8"/>
      <c r="C1036" s="8"/>
      <c r="D1036" s="8"/>
      <c r="E1036" s="8"/>
      <c r="F1036" s="8"/>
      <c r="G1036" s="8"/>
      <c r="H1036" s="8"/>
      <c r="I1036" s="10"/>
      <c r="J1036" s="10"/>
      <c r="K1036" s="18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ht="14.25" customHeight="1">
      <c r="A1037" s="9"/>
      <c r="B1037" s="8"/>
      <c r="C1037" s="8"/>
      <c r="D1037" s="8"/>
      <c r="E1037" s="8"/>
      <c r="F1037" s="8"/>
      <c r="G1037" s="8"/>
      <c r="H1037" s="8"/>
      <c r="I1037" s="10"/>
      <c r="J1037" s="10"/>
      <c r="K1037" s="18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ht="14.25" customHeight="1">
      <c r="A1038" s="9"/>
      <c r="B1038" s="8"/>
      <c r="C1038" s="8"/>
      <c r="D1038" s="8"/>
      <c r="E1038" s="8"/>
      <c r="F1038" s="8"/>
      <c r="G1038" s="8"/>
      <c r="H1038" s="8"/>
      <c r="I1038" s="10"/>
      <c r="J1038" s="10"/>
      <c r="K1038" s="18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ht="14.25" customHeight="1">
      <c r="A1039" s="9"/>
      <c r="B1039" s="8"/>
      <c r="C1039" s="8"/>
      <c r="D1039" s="8"/>
      <c r="E1039" s="8"/>
      <c r="F1039" s="8"/>
      <c r="G1039" s="8"/>
      <c r="H1039" s="8"/>
      <c r="I1039" s="10"/>
      <c r="J1039" s="10"/>
      <c r="K1039" s="18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ht="14.25" customHeight="1">
      <c r="A1040" s="9"/>
      <c r="B1040" s="8"/>
      <c r="C1040" s="8"/>
      <c r="D1040" s="8"/>
      <c r="E1040" s="8"/>
      <c r="F1040" s="8"/>
      <c r="G1040" s="8"/>
      <c r="H1040" s="8"/>
      <c r="I1040" s="10"/>
      <c r="J1040" s="10"/>
      <c r="K1040" s="18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ht="14.25" customHeight="1">
      <c r="A1041" s="9"/>
      <c r="B1041" s="8"/>
      <c r="C1041" s="8"/>
      <c r="D1041" s="8"/>
      <c r="E1041" s="8"/>
      <c r="F1041" s="8"/>
      <c r="G1041" s="8"/>
      <c r="H1041" s="8"/>
      <c r="I1041" s="10"/>
      <c r="J1041" s="10"/>
      <c r="K1041" s="18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ht="14.25" customHeight="1">
      <c r="A1042" s="9"/>
      <c r="B1042" s="8"/>
      <c r="C1042" s="8"/>
      <c r="D1042" s="8"/>
      <c r="E1042" s="8"/>
      <c r="F1042" s="8"/>
      <c r="G1042" s="8"/>
      <c r="H1042" s="8"/>
      <c r="I1042" s="10"/>
      <c r="J1042" s="10"/>
      <c r="K1042" s="18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ht="14.25" customHeight="1">
      <c r="A1043" s="9"/>
      <c r="B1043" s="8"/>
      <c r="C1043" s="8"/>
      <c r="D1043" s="8"/>
      <c r="E1043" s="8"/>
      <c r="F1043" s="8"/>
      <c r="G1043" s="8"/>
      <c r="H1043" s="8"/>
      <c r="I1043" s="10"/>
      <c r="J1043" s="10"/>
      <c r="K1043" s="18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ht="14.25" customHeight="1">
      <c r="A1044" s="9"/>
      <c r="B1044" s="8"/>
      <c r="C1044" s="8"/>
      <c r="D1044" s="8"/>
      <c r="E1044" s="8"/>
      <c r="F1044" s="8"/>
      <c r="G1044" s="8"/>
      <c r="H1044" s="8"/>
      <c r="I1044" s="10"/>
      <c r="J1044" s="10"/>
      <c r="K1044" s="18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ht="14.25" customHeight="1">
      <c r="A1045" s="9"/>
      <c r="B1045" s="8"/>
      <c r="C1045" s="8"/>
      <c r="D1045" s="8"/>
      <c r="E1045" s="8"/>
      <c r="F1045" s="8"/>
      <c r="G1045" s="8"/>
      <c r="H1045" s="8"/>
      <c r="I1045" s="10"/>
      <c r="J1045" s="10"/>
      <c r="K1045" s="18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ht="14.25" customHeight="1">
      <c r="A1046" s="9"/>
      <c r="B1046" s="8"/>
      <c r="C1046" s="8"/>
      <c r="D1046" s="8"/>
      <c r="E1046" s="8"/>
      <c r="F1046" s="8"/>
      <c r="G1046" s="8"/>
      <c r="H1046" s="8"/>
      <c r="I1046" s="10"/>
      <c r="J1046" s="10"/>
      <c r="K1046" s="18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ht="14.25" customHeight="1">
      <c r="A1047" s="9"/>
      <c r="B1047" s="8"/>
      <c r="C1047" s="8"/>
      <c r="D1047" s="8"/>
      <c r="E1047" s="8"/>
      <c r="F1047" s="8"/>
      <c r="G1047" s="8"/>
      <c r="H1047" s="8"/>
      <c r="I1047" s="10"/>
      <c r="J1047" s="10"/>
      <c r="K1047" s="18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ht="14.25" customHeight="1">
      <c r="A1048" s="9"/>
      <c r="B1048" s="8"/>
      <c r="C1048" s="8"/>
      <c r="D1048" s="8"/>
      <c r="E1048" s="8"/>
      <c r="F1048" s="8"/>
      <c r="G1048" s="8"/>
      <c r="H1048" s="8"/>
      <c r="I1048" s="10"/>
      <c r="J1048" s="10"/>
      <c r="K1048" s="18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ht="14.25" customHeight="1">
      <c r="A1049" s="9"/>
      <c r="B1049" s="8"/>
      <c r="C1049" s="8"/>
      <c r="D1049" s="8"/>
      <c r="E1049" s="8"/>
      <c r="F1049" s="8"/>
      <c r="G1049" s="8"/>
      <c r="H1049" s="8"/>
      <c r="I1049" s="10"/>
      <c r="J1049" s="10"/>
      <c r="K1049" s="18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ht="14.25" customHeight="1">
      <c r="A1050" s="9"/>
      <c r="B1050" s="8"/>
      <c r="C1050" s="8"/>
      <c r="D1050" s="8"/>
      <c r="E1050" s="8"/>
      <c r="F1050" s="8"/>
      <c r="G1050" s="8"/>
      <c r="H1050" s="8"/>
      <c r="I1050" s="10"/>
      <c r="J1050" s="10"/>
      <c r="K1050" s="18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ht="14.25" customHeight="1">
      <c r="A1051" s="9"/>
      <c r="B1051" s="8"/>
      <c r="C1051" s="8"/>
      <c r="D1051" s="8"/>
      <c r="E1051" s="8"/>
      <c r="F1051" s="8"/>
      <c r="G1051" s="8"/>
      <c r="H1051" s="8"/>
      <c r="I1051" s="10"/>
      <c r="J1051" s="10"/>
      <c r="K1051" s="18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ht="14.25" customHeight="1">
      <c r="A1052" s="9"/>
      <c r="B1052" s="8"/>
      <c r="C1052" s="8"/>
      <c r="D1052" s="8"/>
      <c r="E1052" s="8"/>
      <c r="F1052" s="8"/>
      <c r="G1052" s="8"/>
      <c r="H1052" s="8"/>
      <c r="I1052" s="10"/>
      <c r="J1052" s="10"/>
      <c r="K1052" s="18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ht="14.25" customHeight="1">
      <c r="A1053" s="9"/>
      <c r="B1053" s="8"/>
      <c r="C1053" s="8"/>
      <c r="D1053" s="8"/>
      <c r="E1053" s="8"/>
      <c r="F1053" s="8"/>
      <c r="G1053" s="8"/>
      <c r="H1053" s="8"/>
      <c r="I1053" s="10"/>
      <c r="J1053" s="10"/>
      <c r="K1053" s="18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ht="14.25" customHeight="1">
      <c r="A1054" s="9"/>
      <c r="B1054" s="8"/>
      <c r="C1054" s="8"/>
      <c r="D1054" s="8"/>
      <c r="E1054" s="8"/>
      <c r="F1054" s="8"/>
      <c r="G1054" s="8"/>
      <c r="H1054" s="8"/>
      <c r="I1054" s="10"/>
      <c r="J1054" s="10"/>
      <c r="K1054" s="18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ht="14.25" customHeight="1">
      <c r="A1055" s="9"/>
      <c r="B1055" s="8"/>
      <c r="C1055" s="8"/>
      <c r="D1055" s="8"/>
      <c r="E1055" s="8"/>
      <c r="F1055" s="8"/>
      <c r="G1055" s="8"/>
      <c r="H1055" s="8"/>
      <c r="I1055" s="10"/>
      <c r="J1055" s="10"/>
      <c r="K1055" s="18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ht="14.25" customHeight="1">
      <c r="A1056" s="9"/>
      <c r="B1056" s="8"/>
      <c r="C1056" s="8"/>
      <c r="D1056" s="8"/>
      <c r="E1056" s="8"/>
      <c r="F1056" s="8"/>
      <c r="G1056" s="8"/>
      <c r="H1056" s="8"/>
      <c r="I1056" s="10"/>
      <c r="J1056" s="10"/>
      <c r="K1056" s="18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ht="14.25" customHeight="1">
      <c r="A1057" s="9"/>
      <c r="B1057" s="8"/>
      <c r="C1057" s="8"/>
      <c r="D1057" s="8"/>
      <c r="E1057" s="8"/>
      <c r="F1057" s="8"/>
      <c r="G1057" s="8"/>
      <c r="H1057" s="8"/>
      <c r="I1057" s="10"/>
      <c r="J1057" s="10"/>
      <c r="K1057" s="18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ht="14.25" customHeight="1">
      <c r="A1058" s="9"/>
      <c r="B1058" s="8"/>
      <c r="C1058" s="8"/>
      <c r="D1058" s="8"/>
      <c r="E1058" s="8"/>
      <c r="F1058" s="8"/>
      <c r="G1058" s="8"/>
      <c r="H1058" s="8"/>
      <c r="I1058" s="10"/>
      <c r="J1058" s="10"/>
      <c r="K1058" s="18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ht="14.25" customHeight="1">
      <c r="A1059" s="9"/>
      <c r="B1059" s="8"/>
      <c r="C1059" s="8"/>
      <c r="D1059" s="8"/>
      <c r="E1059" s="8"/>
      <c r="F1059" s="8"/>
      <c r="G1059" s="8"/>
      <c r="H1059" s="8"/>
      <c r="I1059" s="10"/>
      <c r="J1059" s="10"/>
      <c r="K1059" s="18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ht="14.25" customHeight="1">
      <c r="A1060" s="9"/>
      <c r="B1060" s="8"/>
      <c r="C1060" s="8"/>
      <c r="D1060" s="8"/>
      <c r="E1060" s="8"/>
      <c r="F1060" s="8"/>
      <c r="G1060" s="8"/>
      <c r="H1060" s="8"/>
      <c r="I1060" s="10"/>
      <c r="J1060" s="10"/>
      <c r="K1060" s="18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ht="14.25" customHeight="1">
      <c r="A1061" s="9"/>
      <c r="B1061" s="8"/>
      <c r="C1061" s="8"/>
      <c r="D1061" s="8"/>
      <c r="E1061" s="8"/>
      <c r="F1061" s="8"/>
      <c r="G1061" s="8"/>
      <c r="H1061" s="8"/>
      <c r="I1061" s="10"/>
      <c r="J1061" s="10"/>
      <c r="K1061" s="18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ht="14.25" customHeight="1">
      <c r="A1062" s="9"/>
      <c r="B1062" s="8"/>
      <c r="C1062" s="8"/>
      <c r="D1062" s="8"/>
      <c r="E1062" s="8"/>
      <c r="F1062" s="8"/>
      <c r="G1062" s="8"/>
      <c r="H1062" s="8"/>
      <c r="I1062" s="10"/>
      <c r="J1062" s="10"/>
      <c r="K1062" s="18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ht="14.25" customHeight="1">
      <c r="A1063" s="9"/>
      <c r="B1063" s="8"/>
      <c r="C1063" s="8"/>
      <c r="D1063" s="8"/>
      <c r="E1063" s="8"/>
      <c r="F1063" s="8"/>
      <c r="G1063" s="8"/>
      <c r="H1063" s="8"/>
      <c r="I1063" s="10"/>
      <c r="J1063" s="10"/>
      <c r="K1063" s="18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ht="14.25" customHeight="1">
      <c r="A1064" s="9"/>
      <c r="B1064" s="8"/>
      <c r="C1064" s="8"/>
      <c r="D1064" s="8"/>
      <c r="E1064" s="8"/>
      <c r="F1064" s="8"/>
      <c r="G1064" s="8"/>
      <c r="H1064" s="8"/>
      <c r="I1064" s="10"/>
      <c r="J1064" s="10"/>
      <c r="K1064" s="18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ht="14.25" customHeight="1">
      <c r="A1065" s="9"/>
      <c r="B1065" s="8"/>
      <c r="C1065" s="8"/>
      <c r="D1065" s="8"/>
      <c r="E1065" s="8"/>
      <c r="F1065" s="8"/>
      <c r="G1065" s="8"/>
      <c r="H1065" s="8"/>
      <c r="I1065" s="10"/>
      <c r="J1065" s="10"/>
      <c r="K1065" s="18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ht="14.25" customHeight="1">
      <c r="A1066" s="9"/>
      <c r="B1066" s="8"/>
      <c r="C1066" s="8"/>
      <c r="D1066" s="8"/>
      <c r="E1066" s="8"/>
      <c r="F1066" s="8"/>
      <c r="G1066" s="8"/>
      <c r="H1066" s="8"/>
      <c r="I1066" s="10"/>
      <c r="J1066" s="10"/>
      <c r="K1066" s="18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ht="14.25" customHeight="1">
      <c r="A1067" s="9"/>
      <c r="B1067" s="8"/>
      <c r="C1067" s="8"/>
      <c r="D1067" s="8"/>
      <c r="E1067" s="8"/>
      <c r="F1067" s="8"/>
      <c r="G1067" s="8"/>
      <c r="H1067" s="8"/>
      <c r="I1067" s="10"/>
      <c r="J1067" s="10"/>
      <c r="K1067" s="18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ht="14.25" customHeight="1">
      <c r="A1068" s="9"/>
      <c r="B1068" s="8"/>
      <c r="C1068" s="8"/>
      <c r="D1068" s="8"/>
      <c r="E1068" s="8"/>
      <c r="F1068" s="8"/>
      <c r="G1068" s="8"/>
      <c r="H1068" s="8"/>
      <c r="I1068" s="10"/>
      <c r="J1068" s="10"/>
      <c r="K1068" s="18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ht="14.25" customHeight="1">
      <c r="A1069" s="9"/>
      <c r="B1069" s="8"/>
      <c r="C1069" s="8"/>
      <c r="D1069" s="8"/>
      <c r="E1069" s="8"/>
      <c r="F1069" s="8"/>
      <c r="G1069" s="8"/>
      <c r="H1069" s="8"/>
      <c r="I1069" s="10"/>
      <c r="J1069" s="10"/>
      <c r="K1069" s="18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ht="14.25" customHeight="1">
      <c r="A1070" s="9"/>
      <c r="B1070" s="8"/>
      <c r="C1070" s="8"/>
      <c r="D1070" s="8"/>
      <c r="E1070" s="8"/>
      <c r="F1070" s="8"/>
      <c r="G1070" s="8"/>
      <c r="H1070" s="8"/>
      <c r="I1070" s="10"/>
      <c r="J1070" s="10"/>
      <c r="K1070" s="18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ht="14.25" customHeight="1">
      <c r="A1071" s="9"/>
      <c r="B1071" s="8"/>
      <c r="C1071" s="8"/>
      <c r="D1071" s="8"/>
      <c r="E1071" s="8"/>
      <c r="F1071" s="8"/>
      <c r="G1071" s="8"/>
      <c r="H1071" s="8"/>
      <c r="I1071" s="10"/>
      <c r="J1071" s="10"/>
      <c r="K1071" s="18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ht="14.25" customHeight="1">
      <c r="A1072" s="9"/>
      <c r="B1072" s="8"/>
      <c r="C1072" s="8"/>
      <c r="D1072" s="8"/>
      <c r="E1072" s="8"/>
      <c r="F1072" s="8"/>
      <c r="G1072" s="8"/>
      <c r="H1072" s="8"/>
      <c r="I1072" s="10"/>
      <c r="J1072" s="10"/>
      <c r="K1072" s="18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ht="14.25" customHeight="1">
      <c r="A1073" s="9"/>
      <c r="B1073" s="8"/>
      <c r="C1073" s="8"/>
      <c r="D1073" s="8"/>
      <c r="E1073" s="8"/>
      <c r="F1073" s="8"/>
      <c r="G1073" s="8"/>
      <c r="H1073" s="8"/>
      <c r="I1073" s="10"/>
      <c r="J1073" s="10"/>
      <c r="K1073" s="18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ht="14.25" customHeight="1">
      <c r="A1074" s="9"/>
      <c r="B1074" s="8"/>
      <c r="C1074" s="8"/>
      <c r="D1074" s="8"/>
      <c r="E1074" s="8"/>
      <c r="F1074" s="8"/>
      <c r="G1074" s="8"/>
      <c r="H1074" s="8"/>
      <c r="I1074" s="10"/>
      <c r="J1074" s="10"/>
      <c r="K1074" s="18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ht="14.25" customHeight="1">
      <c r="A1075" s="9"/>
      <c r="B1075" s="8"/>
      <c r="C1075" s="8"/>
      <c r="D1075" s="8"/>
      <c r="E1075" s="8"/>
      <c r="F1075" s="8"/>
      <c r="G1075" s="8"/>
      <c r="H1075" s="8"/>
      <c r="I1075" s="10"/>
      <c r="J1075" s="10"/>
      <c r="K1075" s="18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ht="14.25" customHeight="1">
      <c r="A1076" s="9"/>
      <c r="B1076" s="8"/>
      <c r="C1076" s="8"/>
      <c r="D1076" s="8"/>
      <c r="E1076" s="8"/>
      <c r="F1076" s="8"/>
      <c r="G1076" s="8"/>
      <c r="H1076" s="8"/>
      <c r="I1076" s="10"/>
      <c r="J1076" s="10"/>
      <c r="K1076" s="18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ht="14.25" customHeight="1">
      <c r="A1077" s="9"/>
      <c r="B1077" s="8"/>
      <c r="C1077" s="8"/>
      <c r="D1077" s="8"/>
      <c r="E1077" s="8"/>
      <c r="F1077" s="8"/>
      <c r="G1077" s="8"/>
      <c r="H1077" s="8"/>
      <c r="I1077" s="10"/>
      <c r="J1077" s="10"/>
      <c r="K1077" s="18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ht="14.25" customHeight="1">
      <c r="A1078" s="9"/>
      <c r="B1078" s="8"/>
      <c r="C1078" s="8"/>
      <c r="D1078" s="8"/>
      <c r="E1078" s="8"/>
      <c r="F1078" s="8"/>
      <c r="G1078" s="8"/>
      <c r="H1078" s="8"/>
      <c r="I1078" s="10"/>
      <c r="J1078" s="10"/>
      <c r="K1078" s="18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ht="14.25" customHeight="1">
      <c r="A1079" s="9"/>
      <c r="B1079" s="8"/>
      <c r="C1079" s="8"/>
      <c r="D1079" s="8"/>
      <c r="E1079" s="8"/>
      <c r="F1079" s="8"/>
      <c r="G1079" s="8"/>
      <c r="H1079" s="8"/>
      <c r="I1079" s="10"/>
      <c r="J1079" s="10"/>
      <c r="K1079" s="18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ht="14.25" customHeight="1">
      <c r="A1080" s="9"/>
      <c r="B1080" s="8"/>
      <c r="C1080" s="8"/>
      <c r="D1080" s="8"/>
      <c r="E1080" s="8"/>
      <c r="F1080" s="8"/>
      <c r="G1080" s="8"/>
      <c r="H1080" s="8"/>
      <c r="I1080" s="10"/>
      <c r="J1080" s="10"/>
      <c r="K1080" s="18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ht="14.25" customHeight="1">
      <c r="A1081" s="9"/>
      <c r="B1081" s="8"/>
      <c r="C1081" s="8"/>
      <c r="D1081" s="8"/>
      <c r="E1081" s="8"/>
      <c r="F1081" s="8"/>
      <c r="G1081" s="8"/>
      <c r="H1081" s="8"/>
      <c r="I1081" s="10"/>
      <c r="J1081" s="10"/>
      <c r="K1081" s="18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ht="14.25" customHeight="1">
      <c r="A1082" s="9"/>
      <c r="B1082" s="8"/>
      <c r="C1082" s="8"/>
      <c r="D1082" s="8"/>
      <c r="E1082" s="8"/>
      <c r="F1082" s="8"/>
      <c r="G1082" s="8"/>
      <c r="H1082" s="8"/>
      <c r="I1082" s="10"/>
      <c r="J1082" s="10"/>
      <c r="K1082" s="18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ht="14.25" customHeight="1">
      <c r="A1083" s="9"/>
      <c r="B1083" s="8"/>
      <c r="C1083" s="8"/>
      <c r="D1083" s="8"/>
      <c r="E1083" s="8"/>
      <c r="F1083" s="8"/>
      <c r="G1083" s="8"/>
      <c r="H1083" s="8"/>
      <c r="I1083" s="10"/>
      <c r="J1083" s="10"/>
      <c r="K1083" s="18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ht="14.25" customHeight="1">
      <c r="A1084" s="9"/>
      <c r="B1084" s="8"/>
      <c r="C1084" s="8"/>
      <c r="D1084" s="8"/>
      <c r="E1084" s="8"/>
      <c r="F1084" s="8"/>
      <c r="G1084" s="8"/>
      <c r="H1084" s="8"/>
      <c r="I1084" s="10"/>
      <c r="J1084" s="10"/>
      <c r="K1084" s="18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ht="14.25" customHeight="1">
      <c r="A1085" s="9"/>
      <c r="B1085" s="8"/>
      <c r="C1085" s="8"/>
      <c r="D1085" s="8"/>
      <c r="E1085" s="8"/>
      <c r="F1085" s="8"/>
      <c r="G1085" s="8"/>
      <c r="H1085" s="8"/>
      <c r="I1085" s="10"/>
      <c r="J1085" s="10"/>
      <c r="K1085" s="18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ht="14.25" customHeight="1">
      <c r="A1086" s="9"/>
      <c r="B1086" s="8"/>
      <c r="C1086" s="8"/>
      <c r="D1086" s="8"/>
      <c r="E1086" s="8"/>
      <c r="F1086" s="8"/>
      <c r="G1086" s="8"/>
      <c r="H1086" s="8"/>
      <c r="I1086" s="10"/>
      <c r="J1086" s="10"/>
      <c r="K1086" s="18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ht="14.25" customHeight="1">
      <c r="A1087" s="9"/>
      <c r="B1087" s="8"/>
      <c r="C1087" s="8"/>
      <c r="D1087" s="8"/>
      <c r="E1087" s="8"/>
      <c r="F1087" s="8"/>
      <c r="G1087" s="8"/>
      <c r="H1087" s="8"/>
      <c r="I1087" s="10"/>
      <c r="J1087" s="10"/>
      <c r="K1087" s="18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ht="14.25" customHeight="1">
      <c r="A1088" s="9"/>
      <c r="B1088" s="8"/>
      <c r="C1088" s="8"/>
      <c r="D1088" s="8"/>
      <c r="E1088" s="8"/>
      <c r="F1088" s="8"/>
      <c r="G1088" s="8"/>
      <c r="H1088" s="8"/>
      <c r="I1088" s="10"/>
      <c r="J1088" s="10"/>
      <c r="K1088" s="18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ht="14.25" customHeight="1">
      <c r="A1089" s="9"/>
      <c r="B1089" s="8"/>
      <c r="C1089" s="8"/>
      <c r="D1089" s="8"/>
      <c r="E1089" s="8"/>
      <c r="F1089" s="8"/>
      <c r="G1089" s="8"/>
      <c r="H1089" s="8"/>
      <c r="I1089" s="10"/>
      <c r="J1089" s="10"/>
      <c r="K1089" s="18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ht="14.25" customHeight="1">
      <c r="A1090" s="9"/>
      <c r="B1090" s="8"/>
      <c r="C1090" s="8"/>
      <c r="D1090" s="8"/>
      <c r="E1090" s="8"/>
      <c r="F1090" s="8"/>
      <c r="G1090" s="8"/>
      <c r="H1090" s="8"/>
      <c r="I1090" s="10"/>
      <c r="J1090" s="10"/>
      <c r="K1090" s="18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ht="14.25" customHeight="1">
      <c r="A1091" s="9"/>
      <c r="B1091" s="8"/>
      <c r="C1091" s="8"/>
      <c r="D1091" s="8"/>
      <c r="E1091" s="8"/>
      <c r="F1091" s="8"/>
      <c r="G1091" s="8"/>
      <c r="H1091" s="8"/>
      <c r="I1091" s="10"/>
      <c r="J1091" s="10"/>
      <c r="K1091" s="18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ht="14.25" customHeight="1">
      <c r="A1092" s="9"/>
      <c r="B1092" s="8"/>
      <c r="C1092" s="8"/>
      <c r="D1092" s="8"/>
      <c r="E1092" s="8"/>
      <c r="F1092" s="8"/>
      <c r="G1092" s="8"/>
      <c r="H1092" s="8"/>
      <c r="I1092" s="10"/>
      <c r="J1092" s="10"/>
      <c r="K1092" s="18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ht="14.25" customHeight="1">
      <c r="A1093" s="9"/>
      <c r="B1093" s="8"/>
      <c r="C1093" s="8"/>
      <c r="D1093" s="8"/>
      <c r="E1093" s="8"/>
      <c r="F1093" s="8"/>
      <c r="G1093" s="8"/>
      <c r="H1093" s="8"/>
      <c r="I1093" s="10"/>
      <c r="J1093" s="10"/>
      <c r="K1093" s="18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ht="14.25" customHeight="1">
      <c r="A1094" s="9"/>
      <c r="B1094" s="8"/>
      <c r="C1094" s="8"/>
      <c r="D1094" s="8"/>
      <c r="E1094" s="8"/>
      <c r="F1094" s="8"/>
      <c r="G1094" s="8"/>
      <c r="H1094" s="8"/>
      <c r="I1094" s="10"/>
      <c r="J1094" s="10"/>
      <c r="K1094" s="18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ht="14.25" customHeight="1">
      <c r="A1095" s="9"/>
      <c r="B1095" s="8"/>
      <c r="C1095" s="8"/>
      <c r="D1095" s="8"/>
      <c r="E1095" s="8"/>
      <c r="F1095" s="8"/>
      <c r="G1095" s="8"/>
      <c r="H1095" s="8"/>
      <c r="I1095" s="10"/>
      <c r="J1095" s="10"/>
      <c r="K1095" s="18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ht="14.25" customHeight="1">
      <c r="A1096" s="9"/>
      <c r="B1096" s="8"/>
      <c r="C1096" s="8"/>
      <c r="D1096" s="8"/>
      <c r="E1096" s="8"/>
      <c r="F1096" s="8"/>
      <c r="G1096" s="8"/>
      <c r="H1096" s="8"/>
      <c r="I1096" s="10"/>
      <c r="J1096" s="10"/>
      <c r="K1096" s="18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ht="14.25" customHeight="1">
      <c r="A1097" s="9"/>
      <c r="B1097" s="8"/>
      <c r="C1097" s="8"/>
      <c r="D1097" s="8"/>
      <c r="E1097" s="8"/>
      <c r="F1097" s="8"/>
      <c r="G1097" s="8"/>
      <c r="H1097" s="8"/>
      <c r="I1097" s="10"/>
      <c r="J1097" s="10"/>
      <c r="K1097" s="18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ht="14.25" customHeight="1">
      <c r="A1098" s="9"/>
      <c r="B1098" s="8"/>
      <c r="C1098" s="8"/>
      <c r="D1098" s="8"/>
      <c r="E1098" s="8"/>
      <c r="F1098" s="8"/>
      <c r="G1098" s="8"/>
      <c r="H1098" s="8"/>
      <c r="I1098" s="10"/>
      <c r="J1098" s="10"/>
      <c r="K1098" s="18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ht="14.25" customHeight="1">
      <c r="A1099" s="9"/>
      <c r="B1099" s="8"/>
      <c r="C1099" s="8"/>
      <c r="D1099" s="8"/>
      <c r="E1099" s="8"/>
      <c r="F1099" s="8"/>
      <c r="G1099" s="8"/>
      <c r="H1099" s="8"/>
      <c r="I1099" s="10"/>
      <c r="J1099" s="10"/>
      <c r="K1099" s="18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ht="14.25" customHeight="1">
      <c r="A1100" s="9"/>
      <c r="B1100" s="8"/>
      <c r="C1100" s="8"/>
      <c r="D1100" s="8"/>
      <c r="E1100" s="8"/>
      <c r="F1100" s="8"/>
      <c r="G1100" s="8"/>
      <c r="H1100" s="8"/>
      <c r="I1100" s="10"/>
      <c r="J1100" s="10"/>
      <c r="K1100" s="18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ht="14.25" customHeight="1">
      <c r="A1101" s="9"/>
      <c r="B1101" s="8"/>
      <c r="C1101" s="8"/>
      <c r="D1101" s="8"/>
      <c r="E1101" s="8"/>
      <c r="F1101" s="8"/>
      <c r="G1101" s="8"/>
      <c r="H1101" s="8"/>
      <c r="I1101" s="10"/>
      <c r="J1101" s="10"/>
      <c r="K1101" s="18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ht="14.25" customHeight="1">
      <c r="A1102" s="9"/>
      <c r="B1102" s="8"/>
      <c r="C1102" s="8"/>
      <c r="D1102" s="8"/>
      <c r="E1102" s="8"/>
      <c r="F1102" s="8"/>
      <c r="G1102" s="8"/>
      <c r="H1102" s="8"/>
      <c r="I1102" s="10"/>
      <c r="J1102" s="10"/>
      <c r="K1102" s="18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ht="14.25" customHeight="1">
      <c r="A1103" s="9"/>
      <c r="B1103" s="8"/>
      <c r="C1103" s="8"/>
      <c r="D1103" s="8"/>
      <c r="E1103" s="8"/>
      <c r="F1103" s="8"/>
      <c r="G1103" s="8"/>
      <c r="H1103" s="8"/>
      <c r="I1103" s="10"/>
      <c r="J1103" s="10"/>
      <c r="K1103" s="18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ht="14.25" customHeight="1">
      <c r="A1104" s="9"/>
      <c r="B1104" s="8"/>
      <c r="C1104" s="8"/>
      <c r="D1104" s="8"/>
      <c r="E1104" s="8"/>
      <c r="F1104" s="8"/>
      <c r="G1104" s="8"/>
      <c r="H1104" s="8"/>
      <c r="I1104" s="10"/>
      <c r="J1104" s="10"/>
      <c r="K1104" s="18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ht="14.25" customHeight="1">
      <c r="A1105" s="9"/>
      <c r="B1105" s="8"/>
      <c r="C1105" s="8"/>
      <c r="D1105" s="8"/>
      <c r="E1105" s="8"/>
      <c r="F1105" s="8"/>
      <c r="G1105" s="8"/>
      <c r="H1105" s="8"/>
      <c r="I1105" s="10"/>
      <c r="J1105" s="10"/>
      <c r="K1105" s="18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ht="14.25" customHeight="1">
      <c r="A1106" s="9"/>
      <c r="B1106" s="8"/>
      <c r="C1106" s="8"/>
      <c r="D1106" s="8"/>
      <c r="E1106" s="8"/>
      <c r="F1106" s="8"/>
      <c r="G1106" s="8"/>
      <c r="H1106" s="8"/>
      <c r="I1106" s="10"/>
      <c r="J1106" s="10"/>
      <c r="K1106" s="18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ht="14.25" customHeight="1">
      <c r="A1107" s="9"/>
      <c r="B1107" s="8"/>
      <c r="C1107" s="8"/>
      <c r="D1107" s="8"/>
      <c r="E1107" s="8"/>
      <c r="F1107" s="8"/>
      <c r="G1107" s="8"/>
      <c r="H1107" s="8"/>
      <c r="I1107" s="10"/>
      <c r="J1107" s="10"/>
      <c r="K1107" s="18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ht="14.25" customHeight="1">
      <c r="A1108" s="9"/>
      <c r="B1108" s="8"/>
      <c r="C1108" s="8"/>
      <c r="D1108" s="8"/>
      <c r="E1108" s="8"/>
      <c r="F1108" s="8"/>
      <c r="G1108" s="8"/>
      <c r="H1108" s="8"/>
      <c r="I1108" s="10"/>
      <c r="J1108" s="10"/>
      <c r="K1108" s="18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ht="14.25" customHeight="1">
      <c r="A1109" s="9"/>
      <c r="B1109" s="8"/>
      <c r="C1109" s="8"/>
      <c r="D1109" s="8"/>
      <c r="E1109" s="8"/>
      <c r="F1109" s="8"/>
      <c r="G1109" s="8"/>
      <c r="H1109" s="8"/>
      <c r="I1109" s="10"/>
      <c r="J1109" s="10"/>
      <c r="K1109" s="18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ht="14.25" customHeight="1">
      <c r="A1110" s="9"/>
      <c r="B1110" s="8"/>
      <c r="C1110" s="8"/>
      <c r="D1110" s="8"/>
      <c r="E1110" s="8"/>
      <c r="F1110" s="8"/>
      <c r="G1110" s="8"/>
      <c r="H1110" s="8"/>
      <c r="I1110" s="10"/>
      <c r="J1110" s="10"/>
      <c r="K1110" s="18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ht="14.25" customHeight="1">
      <c r="A1111" s="9"/>
      <c r="B1111" s="8"/>
      <c r="C1111" s="8"/>
      <c r="D1111" s="8"/>
      <c r="E1111" s="8"/>
      <c r="F1111" s="8"/>
      <c r="G1111" s="8"/>
      <c r="H1111" s="8"/>
      <c r="I1111" s="10"/>
      <c r="J1111" s="10"/>
      <c r="K1111" s="18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ht="14.25" customHeight="1">
      <c r="A1112" s="9"/>
      <c r="B1112" s="8"/>
      <c r="C1112" s="8"/>
      <c r="D1112" s="8"/>
      <c r="E1112" s="8"/>
      <c r="F1112" s="8"/>
      <c r="G1112" s="8"/>
      <c r="H1112" s="8"/>
      <c r="I1112" s="10"/>
      <c r="J1112" s="10"/>
      <c r="K1112" s="18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ht="14.25" customHeight="1">
      <c r="A1113" s="9"/>
      <c r="B1113" s="8"/>
      <c r="C1113" s="8"/>
      <c r="D1113" s="8"/>
      <c r="E1113" s="8"/>
      <c r="F1113" s="8"/>
      <c r="G1113" s="8"/>
      <c r="H1113" s="8"/>
      <c r="I1113" s="10"/>
      <c r="J1113" s="10"/>
      <c r="K1113" s="18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ht="14.25" customHeight="1">
      <c r="A1114" s="9"/>
      <c r="B1114" s="8"/>
      <c r="C1114" s="8"/>
      <c r="D1114" s="8"/>
      <c r="E1114" s="8"/>
      <c r="F1114" s="8"/>
      <c r="G1114" s="8"/>
      <c r="H1114" s="8"/>
      <c r="I1114" s="10"/>
      <c r="J1114" s="10"/>
      <c r="K1114" s="18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ht="14.25" customHeight="1">
      <c r="A1115" s="9"/>
      <c r="B1115" s="8"/>
      <c r="C1115" s="8"/>
      <c r="D1115" s="8"/>
      <c r="E1115" s="8"/>
      <c r="F1115" s="8"/>
      <c r="G1115" s="8"/>
      <c r="H1115" s="8"/>
      <c r="I1115" s="10"/>
      <c r="J1115" s="10"/>
      <c r="K1115" s="18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ht="14.25" customHeight="1">
      <c r="A1116" s="9"/>
      <c r="B1116" s="8"/>
      <c r="C1116" s="8"/>
      <c r="D1116" s="8"/>
      <c r="E1116" s="8"/>
      <c r="F1116" s="8"/>
      <c r="G1116" s="8"/>
      <c r="H1116" s="8"/>
      <c r="I1116" s="10"/>
      <c r="J1116" s="10"/>
      <c r="K1116" s="18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ht="14.25" customHeight="1">
      <c r="A1117" s="9"/>
      <c r="B1117" s="8"/>
      <c r="C1117" s="8"/>
      <c r="D1117" s="8"/>
      <c r="E1117" s="8"/>
      <c r="F1117" s="8"/>
      <c r="G1117" s="8"/>
      <c r="H1117" s="8"/>
      <c r="I1117" s="10"/>
      <c r="J1117" s="10"/>
      <c r="K1117" s="18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ht="14.25" customHeight="1">
      <c r="A1118" s="9"/>
      <c r="B1118" s="8"/>
      <c r="C1118" s="8"/>
      <c r="D1118" s="8"/>
      <c r="E1118" s="8"/>
      <c r="F1118" s="8"/>
      <c r="G1118" s="8"/>
      <c r="H1118" s="8"/>
      <c r="I1118" s="10"/>
      <c r="J1118" s="10"/>
      <c r="K1118" s="18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ht="14.25" customHeight="1">
      <c r="A1119" s="9"/>
      <c r="B1119" s="8"/>
      <c r="C1119" s="8"/>
      <c r="D1119" s="8"/>
      <c r="E1119" s="8"/>
      <c r="F1119" s="8"/>
      <c r="G1119" s="8"/>
      <c r="H1119" s="8"/>
      <c r="I1119" s="10"/>
      <c r="J1119" s="10"/>
      <c r="K1119" s="18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ht="14.25" customHeight="1">
      <c r="A1120" s="9"/>
      <c r="B1120" s="8"/>
      <c r="C1120" s="8"/>
      <c r="D1120" s="8"/>
      <c r="E1120" s="8"/>
      <c r="F1120" s="8"/>
      <c r="G1120" s="8"/>
      <c r="H1120" s="8"/>
      <c r="I1120" s="10"/>
      <c r="J1120" s="10"/>
      <c r="K1120" s="18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ht="14.25" customHeight="1">
      <c r="A1121" s="9"/>
      <c r="B1121" s="8"/>
      <c r="C1121" s="8"/>
      <c r="D1121" s="8"/>
      <c r="E1121" s="8"/>
      <c r="F1121" s="8"/>
      <c r="G1121" s="8"/>
      <c r="H1121" s="8"/>
      <c r="I1121" s="10"/>
      <c r="J1121" s="10"/>
      <c r="K1121" s="18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ht="14.25" customHeight="1">
      <c r="A1122" s="9"/>
      <c r="B1122" s="8"/>
      <c r="C1122" s="8"/>
      <c r="D1122" s="8"/>
      <c r="E1122" s="8"/>
      <c r="F1122" s="8"/>
      <c r="G1122" s="8"/>
      <c r="H1122" s="8"/>
      <c r="I1122" s="10"/>
      <c r="J1122" s="10"/>
      <c r="K1122" s="18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ht="14.25" customHeight="1">
      <c r="A1123" s="9"/>
      <c r="B1123" s="8"/>
      <c r="C1123" s="8"/>
      <c r="D1123" s="8"/>
      <c r="E1123" s="8"/>
      <c r="F1123" s="8"/>
      <c r="G1123" s="8"/>
      <c r="H1123" s="8"/>
      <c r="I1123" s="10"/>
      <c r="J1123" s="10"/>
      <c r="K1123" s="18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ht="14.25" customHeight="1">
      <c r="A1124" s="9"/>
      <c r="B1124" s="8"/>
      <c r="C1124" s="8"/>
      <c r="D1124" s="8"/>
      <c r="E1124" s="8"/>
      <c r="F1124" s="8"/>
      <c r="G1124" s="8"/>
      <c r="H1124" s="8"/>
      <c r="I1124" s="10"/>
      <c r="J1124" s="10"/>
      <c r="K1124" s="18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ht="14.25" customHeight="1">
      <c r="A1125" s="9"/>
      <c r="B1125" s="8"/>
      <c r="C1125" s="8"/>
      <c r="D1125" s="8"/>
      <c r="E1125" s="8"/>
      <c r="F1125" s="8"/>
      <c r="G1125" s="8"/>
      <c r="H1125" s="8"/>
      <c r="I1125" s="10"/>
      <c r="J1125" s="10"/>
      <c r="K1125" s="18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ht="14.25" customHeight="1">
      <c r="A1126" s="9"/>
      <c r="B1126" s="8"/>
      <c r="C1126" s="8"/>
      <c r="D1126" s="8"/>
      <c r="E1126" s="8"/>
      <c r="F1126" s="8"/>
      <c r="G1126" s="8"/>
      <c r="H1126" s="8"/>
      <c r="I1126" s="10"/>
      <c r="J1126" s="10"/>
      <c r="K1126" s="18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ht="14.25" customHeight="1">
      <c r="A1127" s="9"/>
      <c r="B1127" s="8"/>
      <c r="C1127" s="8"/>
      <c r="D1127" s="8"/>
      <c r="E1127" s="8"/>
      <c r="F1127" s="8"/>
      <c r="G1127" s="8"/>
      <c r="H1127" s="8"/>
      <c r="I1127" s="10"/>
      <c r="J1127" s="10"/>
      <c r="K1127" s="18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ht="14.25" customHeight="1">
      <c r="A1128" s="9"/>
      <c r="B1128" s="8"/>
      <c r="C1128" s="8"/>
      <c r="D1128" s="8"/>
      <c r="E1128" s="8"/>
      <c r="F1128" s="8"/>
      <c r="G1128" s="8"/>
      <c r="H1128" s="8"/>
      <c r="I1128" s="10"/>
      <c r="J1128" s="10"/>
      <c r="K1128" s="18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ht="14.25" customHeight="1">
      <c r="A1129" s="9"/>
      <c r="B1129" s="8"/>
      <c r="C1129" s="8"/>
      <c r="D1129" s="8"/>
      <c r="E1129" s="8"/>
      <c r="F1129" s="8"/>
      <c r="G1129" s="8"/>
      <c r="H1129" s="8"/>
      <c r="I1129" s="10"/>
      <c r="J1129" s="10"/>
      <c r="K1129" s="18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ht="14.25" customHeight="1">
      <c r="A1130" s="9"/>
      <c r="B1130" s="8"/>
      <c r="C1130" s="8"/>
      <c r="D1130" s="8"/>
      <c r="E1130" s="8"/>
      <c r="F1130" s="8"/>
      <c r="G1130" s="8"/>
      <c r="H1130" s="8"/>
      <c r="I1130" s="10"/>
      <c r="J1130" s="10"/>
      <c r="K1130" s="18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ht="14.25" customHeight="1">
      <c r="A1131" s="9"/>
      <c r="B1131" s="8"/>
      <c r="C1131" s="8"/>
      <c r="D1131" s="8"/>
      <c r="E1131" s="8"/>
      <c r="F1131" s="8"/>
      <c r="G1131" s="8"/>
      <c r="H1131" s="8"/>
      <c r="I1131" s="10"/>
      <c r="J1131" s="10"/>
      <c r="K1131" s="18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ht="14.25" customHeight="1">
      <c r="A1132" s="9"/>
      <c r="B1132" s="8"/>
      <c r="C1132" s="8"/>
      <c r="D1132" s="8"/>
      <c r="E1132" s="8"/>
      <c r="F1132" s="8"/>
      <c r="G1132" s="8"/>
      <c r="H1132" s="8"/>
      <c r="I1132" s="10"/>
      <c r="J1132" s="10"/>
      <c r="K1132" s="18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ht="14.25" customHeight="1">
      <c r="A1133" s="9"/>
      <c r="B1133" s="8"/>
      <c r="C1133" s="8"/>
      <c r="D1133" s="8"/>
      <c r="E1133" s="8"/>
      <c r="F1133" s="8"/>
      <c r="G1133" s="8"/>
      <c r="H1133" s="8"/>
      <c r="I1133" s="10"/>
      <c r="J1133" s="10"/>
      <c r="K1133" s="18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ht="14.25" customHeight="1">
      <c r="A1134" s="9"/>
      <c r="B1134" s="8"/>
      <c r="C1134" s="8"/>
      <c r="D1134" s="8"/>
      <c r="E1134" s="8"/>
      <c r="F1134" s="8"/>
      <c r="G1134" s="8"/>
      <c r="H1134" s="8"/>
      <c r="I1134" s="10"/>
      <c r="J1134" s="10"/>
      <c r="K1134" s="18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ht="14.25" customHeight="1">
      <c r="A1135" s="9"/>
      <c r="B1135" s="8"/>
      <c r="C1135" s="8"/>
      <c r="D1135" s="8"/>
      <c r="E1135" s="8"/>
      <c r="F1135" s="8"/>
      <c r="G1135" s="8"/>
      <c r="H1135" s="8"/>
      <c r="I1135" s="10"/>
      <c r="J1135" s="10"/>
      <c r="K1135" s="18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ht="14.25" customHeight="1">
      <c r="A1136" s="9"/>
      <c r="B1136" s="8"/>
      <c r="C1136" s="8"/>
      <c r="D1136" s="8"/>
      <c r="E1136" s="8"/>
      <c r="F1136" s="8"/>
      <c r="G1136" s="8"/>
      <c r="H1136" s="8"/>
      <c r="I1136" s="10"/>
      <c r="J1136" s="10"/>
      <c r="K1136" s="18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ht="14.25" customHeight="1">
      <c r="A1137" s="9"/>
      <c r="B1137" s="8"/>
      <c r="C1137" s="8"/>
      <c r="D1137" s="8"/>
      <c r="E1137" s="8"/>
      <c r="F1137" s="8"/>
      <c r="G1137" s="8"/>
      <c r="H1137" s="8"/>
      <c r="I1137" s="10"/>
      <c r="J1137" s="10"/>
      <c r="K1137" s="18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ht="14.25" customHeight="1">
      <c r="A1138" s="9"/>
      <c r="B1138" s="8"/>
      <c r="C1138" s="8"/>
      <c r="D1138" s="8"/>
      <c r="E1138" s="8"/>
      <c r="F1138" s="8"/>
      <c r="G1138" s="8"/>
      <c r="H1138" s="8"/>
      <c r="I1138" s="10"/>
      <c r="J1138" s="10"/>
      <c r="K1138" s="18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ht="14.25" customHeight="1">
      <c r="A1139" s="9"/>
      <c r="B1139" s="8"/>
      <c r="C1139" s="8"/>
      <c r="D1139" s="8"/>
      <c r="E1139" s="8"/>
      <c r="F1139" s="8"/>
      <c r="G1139" s="8"/>
      <c r="H1139" s="8"/>
      <c r="I1139" s="10"/>
      <c r="J1139" s="10"/>
      <c r="K1139" s="18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ht="14.25" customHeight="1">
      <c r="A1140" s="9"/>
      <c r="B1140" s="8"/>
      <c r="C1140" s="8"/>
      <c r="D1140" s="8"/>
      <c r="E1140" s="8"/>
      <c r="F1140" s="8"/>
      <c r="G1140" s="8"/>
      <c r="H1140" s="8"/>
      <c r="I1140" s="10"/>
      <c r="J1140" s="10"/>
      <c r="K1140" s="18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ht="14.25" customHeight="1">
      <c r="A1141" s="9"/>
      <c r="B1141" s="8"/>
      <c r="C1141" s="8"/>
      <c r="D1141" s="8"/>
      <c r="E1141" s="8"/>
      <c r="F1141" s="8"/>
      <c r="G1141" s="8"/>
      <c r="H1141" s="8"/>
      <c r="I1141" s="10"/>
      <c r="J1141" s="10"/>
      <c r="K1141" s="18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ht="14.25" customHeight="1">
      <c r="A1142" s="9"/>
      <c r="B1142" s="8"/>
      <c r="C1142" s="8"/>
      <c r="D1142" s="8"/>
      <c r="E1142" s="8"/>
      <c r="F1142" s="8"/>
      <c r="G1142" s="8"/>
      <c r="H1142" s="8"/>
      <c r="I1142" s="10"/>
      <c r="J1142" s="10"/>
      <c r="K1142" s="18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ht="14.25" customHeight="1">
      <c r="A1143" s="9"/>
      <c r="B1143" s="8"/>
      <c r="C1143" s="8"/>
      <c r="D1143" s="8"/>
      <c r="E1143" s="8"/>
      <c r="F1143" s="8"/>
      <c r="G1143" s="8"/>
      <c r="H1143" s="8"/>
      <c r="I1143" s="10"/>
      <c r="J1143" s="10"/>
      <c r="K1143" s="18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ht="14.25" customHeight="1">
      <c r="A1144" s="9"/>
      <c r="B1144" s="8"/>
      <c r="C1144" s="8"/>
      <c r="D1144" s="8"/>
      <c r="E1144" s="8"/>
      <c r="F1144" s="8"/>
      <c r="G1144" s="8"/>
      <c r="H1144" s="8"/>
      <c r="I1144" s="10"/>
      <c r="J1144" s="10"/>
      <c r="K1144" s="18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ht="14.25" customHeight="1">
      <c r="A1145" s="9"/>
      <c r="B1145" s="8"/>
      <c r="C1145" s="8"/>
      <c r="D1145" s="8"/>
      <c r="E1145" s="8"/>
      <c r="F1145" s="8"/>
      <c r="G1145" s="8"/>
      <c r="H1145" s="8"/>
      <c r="I1145" s="10"/>
      <c r="J1145" s="10"/>
      <c r="K1145" s="18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ht="14.25" customHeight="1">
      <c r="A1146" s="9"/>
      <c r="B1146" s="8"/>
      <c r="C1146" s="8"/>
      <c r="D1146" s="8"/>
      <c r="E1146" s="8"/>
      <c r="F1146" s="8"/>
      <c r="G1146" s="8"/>
      <c r="H1146" s="8"/>
      <c r="I1146" s="10"/>
      <c r="J1146" s="10"/>
      <c r="K1146" s="18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ht="14.25" customHeight="1">
      <c r="A1147" s="9"/>
      <c r="B1147" s="8"/>
      <c r="C1147" s="8"/>
      <c r="D1147" s="8"/>
      <c r="E1147" s="8"/>
      <c r="F1147" s="8"/>
      <c r="G1147" s="8"/>
      <c r="H1147" s="8"/>
      <c r="I1147" s="10"/>
      <c r="J1147" s="10"/>
      <c r="K1147" s="18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ht="14.25" customHeight="1">
      <c r="A1148" s="9"/>
      <c r="B1148" s="8"/>
      <c r="C1148" s="8"/>
      <c r="D1148" s="8"/>
      <c r="E1148" s="8"/>
      <c r="F1148" s="8"/>
      <c r="G1148" s="8"/>
      <c r="H1148" s="8"/>
      <c r="I1148" s="10"/>
      <c r="J1148" s="10"/>
      <c r="K1148" s="18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ht="14.25" customHeight="1">
      <c r="A1149" s="9"/>
      <c r="B1149" s="8"/>
      <c r="C1149" s="8"/>
      <c r="D1149" s="8"/>
      <c r="E1149" s="8"/>
      <c r="F1149" s="8"/>
      <c r="G1149" s="8"/>
      <c r="H1149" s="8"/>
      <c r="I1149" s="10"/>
      <c r="J1149" s="10"/>
      <c r="K1149" s="18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ht="14.25" customHeight="1">
      <c r="A1150" s="9"/>
      <c r="B1150" s="8"/>
      <c r="C1150" s="8"/>
      <c r="D1150" s="8"/>
      <c r="E1150" s="8"/>
      <c r="F1150" s="8"/>
      <c r="G1150" s="8"/>
      <c r="H1150" s="8"/>
      <c r="I1150" s="10"/>
      <c r="J1150" s="10"/>
      <c r="K1150" s="18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ht="14.25" customHeight="1">
      <c r="A1151" s="9"/>
      <c r="B1151" s="8"/>
      <c r="C1151" s="8"/>
      <c r="D1151" s="8"/>
      <c r="E1151" s="8"/>
      <c r="F1151" s="8"/>
      <c r="G1151" s="8"/>
      <c r="H1151" s="8"/>
      <c r="I1151" s="10"/>
      <c r="J1151" s="10"/>
      <c r="K1151" s="18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ht="14.25" customHeight="1">
      <c r="A1152" s="9"/>
      <c r="B1152" s="8"/>
      <c r="C1152" s="8"/>
      <c r="D1152" s="8"/>
      <c r="E1152" s="8"/>
      <c r="F1152" s="8"/>
      <c r="G1152" s="8"/>
      <c r="H1152" s="8"/>
      <c r="I1152" s="10"/>
      <c r="J1152" s="10"/>
      <c r="K1152" s="18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ht="14.25" customHeight="1">
      <c r="A1153" s="9"/>
      <c r="B1153" s="8"/>
      <c r="C1153" s="8"/>
      <c r="D1153" s="8"/>
      <c r="E1153" s="8"/>
      <c r="F1153" s="8"/>
      <c r="G1153" s="8"/>
      <c r="H1153" s="8"/>
      <c r="I1153" s="10"/>
      <c r="J1153" s="10"/>
      <c r="K1153" s="18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ht="14.25" customHeight="1">
      <c r="A1154" s="9"/>
      <c r="B1154" s="8"/>
      <c r="C1154" s="8"/>
      <c r="D1154" s="8"/>
      <c r="E1154" s="8"/>
      <c r="F1154" s="8"/>
      <c r="G1154" s="8"/>
      <c r="H1154" s="8"/>
      <c r="I1154" s="10"/>
      <c r="J1154" s="10"/>
      <c r="K1154" s="18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ht="14.25" customHeight="1">
      <c r="A1155" s="9"/>
      <c r="B1155" s="8"/>
      <c r="C1155" s="8"/>
      <c r="D1155" s="8"/>
      <c r="E1155" s="8"/>
      <c r="F1155" s="8"/>
      <c r="G1155" s="8"/>
      <c r="H1155" s="8"/>
      <c r="I1155" s="10"/>
      <c r="J1155" s="10"/>
      <c r="K1155" s="18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ht="14.25" customHeight="1">
      <c r="A1156" s="9"/>
      <c r="B1156" s="8"/>
      <c r="C1156" s="8"/>
      <c r="D1156" s="8"/>
      <c r="E1156" s="8"/>
      <c r="F1156" s="8"/>
      <c r="G1156" s="8"/>
      <c r="H1156" s="8"/>
      <c r="I1156" s="10"/>
      <c r="J1156" s="10"/>
      <c r="K1156" s="18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ht="14.25" customHeight="1">
      <c r="A1157" s="9"/>
      <c r="B1157" s="8"/>
      <c r="C1157" s="8"/>
      <c r="D1157" s="8"/>
      <c r="E1157" s="8"/>
      <c r="F1157" s="8"/>
      <c r="G1157" s="8"/>
      <c r="H1157" s="8"/>
      <c r="I1157" s="10"/>
      <c r="J1157" s="10"/>
      <c r="K1157" s="18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ht="14.25" customHeight="1">
      <c r="A1158" s="9"/>
      <c r="B1158" s="8"/>
      <c r="C1158" s="8"/>
      <c r="D1158" s="8"/>
      <c r="E1158" s="8"/>
      <c r="F1158" s="8"/>
      <c r="G1158" s="8"/>
      <c r="H1158" s="8"/>
      <c r="I1158" s="10"/>
      <c r="J1158" s="10"/>
      <c r="K1158" s="18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ht="14.25" customHeight="1">
      <c r="A1159" s="9"/>
      <c r="B1159" s="8"/>
      <c r="C1159" s="8"/>
      <c r="D1159" s="8"/>
      <c r="E1159" s="8"/>
      <c r="F1159" s="8"/>
      <c r="G1159" s="8"/>
      <c r="H1159" s="8"/>
      <c r="I1159" s="10"/>
      <c r="J1159" s="10"/>
      <c r="K1159" s="18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ht="14.25" customHeight="1">
      <c r="A1160" s="9"/>
      <c r="B1160" s="8"/>
      <c r="C1160" s="8"/>
      <c r="D1160" s="8"/>
      <c r="E1160" s="8"/>
      <c r="F1160" s="8"/>
      <c r="G1160" s="8"/>
      <c r="H1160" s="8"/>
      <c r="I1160" s="10"/>
      <c r="J1160" s="10"/>
      <c r="K1160" s="18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ht="14.25" customHeight="1">
      <c r="A1161" s="9"/>
      <c r="B1161" s="8"/>
      <c r="C1161" s="8"/>
      <c r="D1161" s="8"/>
      <c r="E1161" s="8"/>
      <c r="F1161" s="8"/>
      <c r="G1161" s="8"/>
      <c r="H1161" s="8"/>
      <c r="I1161" s="10"/>
      <c r="J1161" s="10"/>
      <c r="K1161" s="18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ht="14.25" customHeight="1">
      <c r="A1162" s="9"/>
      <c r="B1162" s="8"/>
      <c r="C1162" s="8"/>
      <c r="D1162" s="8"/>
      <c r="E1162" s="8"/>
      <c r="F1162" s="8"/>
      <c r="G1162" s="8"/>
      <c r="H1162" s="8"/>
      <c r="I1162" s="10"/>
      <c r="J1162" s="10"/>
      <c r="K1162" s="18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ht="14.25" customHeight="1">
      <c r="A1163" s="9"/>
      <c r="B1163" s="8"/>
      <c r="C1163" s="8"/>
      <c r="D1163" s="8"/>
      <c r="E1163" s="8"/>
      <c r="F1163" s="8"/>
      <c r="G1163" s="8"/>
      <c r="H1163" s="8"/>
      <c r="I1163" s="10"/>
      <c r="J1163" s="10"/>
      <c r="K1163" s="18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ht="14.25" customHeight="1">
      <c r="A1164" s="9"/>
      <c r="B1164" s="8"/>
      <c r="C1164" s="8"/>
      <c r="D1164" s="8"/>
      <c r="E1164" s="8"/>
      <c r="F1164" s="8"/>
      <c r="G1164" s="8"/>
      <c r="H1164" s="8"/>
      <c r="I1164" s="10"/>
      <c r="J1164" s="10"/>
      <c r="K1164" s="18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ht="14.25" customHeight="1">
      <c r="A1165" s="9"/>
      <c r="B1165" s="8"/>
      <c r="C1165" s="8"/>
      <c r="D1165" s="8"/>
      <c r="E1165" s="8"/>
      <c r="F1165" s="8"/>
      <c r="G1165" s="8"/>
      <c r="H1165" s="8"/>
      <c r="I1165" s="10"/>
      <c r="J1165" s="10"/>
      <c r="K1165" s="18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ht="14.25" customHeight="1">
      <c r="A1166" s="9"/>
      <c r="B1166" s="8"/>
      <c r="C1166" s="8"/>
      <c r="D1166" s="8"/>
      <c r="E1166" s="8"/>
      <c r="F1166" s="8"/>
      <c r="G1166" s="8"/>
      <c r="H1166" s="8"/>
      <c r="I1166" s="10"/>
      <c r="J1166" s="10"/>
      <c r="K1166" s="18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ht="14.25" customHeight="1">
      <c r="A1167" s="9"/>
      <c r="B1167" s="8"/>
      <c r="C1167" s="8"/>
      <c r="D1167" s="8"/>
      <c r="E1167" s="8"/>
      <c r="F1167" s="8"/>
      <c r="G1167" s="8"/>
      <c r="H1167" s="8"/>
      <c r="I1167" s="10"/>
      <c r="J1167" s="10"/>
      <c r="K1167" s="18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ht="14.25" customHeight="1">
      <c r="A1168" s="9"/>
      <c r="B1168" s="8"/>
      <c r="C1168" s="8"/>
      <c r="D1168" s="8"/>
      <c r="E1168" s="8"/>
      <c r="F1168" s="8"/>
      <c r="G1168" s="8"/>
      <c r="H1168" s="8"/>
      <c r="I1168" s="10"/>
      <c r="J1168" s="10"/>
      <c r="K1168" s="18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ht="14.25" customHeight="1">
      <c r="A1169" s="9"/>
      <c r="B1169" s="8"/>
      <c r="C1169" s="8"/>
      <c r="D1169" s="8"/>
      <c r="E1169" s="8"/>
      <c r="F1169" s="8"/>
      <c r="G1169" s="8"/>
      <c r="H1169" s="8"/>
      <c r="I1169" s="10"/>
      <c r="J1169" s="10"/>
      <c r="K1169" s="18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ht="14.25" customHeight="1">
      <c r="A1170" s="9"/>
      <c r="B1170" s="8"/>
      <c r="C1170" s="8"/>
      <c r="D1170" s="8"/>
      <c r="E1170" s="8"/>
      <c r="F1170" s="8"/>
      <c r="G1170" s="8"/>
      <c r="H1170" s="8"/>
      <c r="I1170" s="10"/>
      <c r="J1170" s="10"/>
      <c r="K1170" s="18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ht="14.25" customHeight="1">
      <c r="A1171" s="9"/>
      <c r="B1171" s="8"/>
      <c r="C1171" s="8"/>
      <c r="D1171" s="8"/>
      <c r="E1171" s="8"/>
      <c r="F1171" s="8"/>
      <c r="G1171" s="8"/>
      <c r="H1171" s="8"/>
      <c r="I1171" s="10"/>
      <c r="J1171" s="10"/>
      <c r="K1171" s="18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ht="14.25" customHeight="1">
      <c r="A1172" s="9"/>
      <c r="B1172" s="8"/>
      <c r="C1172" s="8"/>
      <c r="D1172" s="8"/>
      <c r="E1172" s="8"/>
      <c r="F1172" s="8"/>
      <c r="G1172" s="8"/>
      <c r="H1172" s="8"/>
      <c r="I1172" s="10"/>
      <c r="J1172" s="10"/>
      <c r="K1172" s="18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ht="14.25" customHeight="1">
      <c r="A1173" s="9"/>
      <c r="B1173" s="8"/>
      <c r="C1173" s="8"/>
      <c r="D1173" s="8"/>
      <c r="E1173" s="8"/>
      <c r="F1173" s="8"/>
      <c r="G1173" s="8"/>
      <c r="H1173" s="8"/>
      <c r="I1173" s="10"/>
      <c r="J1173" s="10"/>
      <c r="K1173" s="18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ht="14.25" customHeight="1">
      <c r="A1174" s="9"/>
      <c r="B1174" s="8"/>
      <c r="C1174" s="8"/>
      <c r="D1174" s="8"/>
      <c r="E1174" s="8"/>
      <c r="F1174" s="8"/>
      <c r="G1174" s="8"/>
      <c r="H1174" s="8"/>
      <c r="I1174" s="10"/>
      <c r="J1174" s="10"/>
      <c r="K1174" s="18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ht="14.25" customHeight="1">
      <c r="A1175" s="9"/>
      <c r="B1175" s="8"/>
      <c r="C1175" s="8"/>
      <c r="D1175" s="8"/>
      <c r="E1175" s="8"/>
      <c r="F1175" s="8"/>
      <c r="G1175" s="8"/>
      <c r="H1175" s="8"/>
      <c r="I1175" s="10"/>
      <c r="J1175" s="10"/>
      <c r="K1175" s="18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ht="14.25" customHeight="1">
      <c r="A1176" s="9"/>
      <c r="B1176" s="8"/>
      <c r="C1176" s="8"/>
      <c r="D1176" s="8"/>
      <c r="E1176" s="8"/>
      <c r="F1176" s="8"/>
      <c r="G1176" s="8"/>
      <c r="H1176" s="8"/>
      <c r="I1176" s="10"/>
      <c r="J1176" s="10"/>
      <c r="K1176" s="18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ht="14.25" customHeight="1">
      <c r="A1177" s="9"/>
      <c r="B1177" s="8"/>
      <c r="C1177" s="8"/>
      <c r="D1177" s="8"/>
      <c r="E1177" s="8"/>
      <c r="F1177" s="8"/>
      <c r="G1177" s="8"/>
      <c r="H1177" s="8"/>
      <c r="I1177" s="10"/>
      <c r="J1177" s="10"/>
      <c r="K1177" s="18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ht="14.25" customHeight="1">
      <c r="A1178" s="9"/>
      <c r="B1178" s="8"/>
      <c r="C1178" s="8"/>
      <c r="D1178" s="8"/>
      <c r="E1178" s="8"/>
      <c r="F1178" s="8"/>
      <c r="G1178" s="8"/>
      <c r="H1178" s="8"/>
      <c r="I1178" s="10"/>
      <c r="J1178" s="10"/>
      <c r="K1178" s="18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ht="14.25" customHeight="1">
      <c r="A1179" s="9"/>
      <c r="B1179" s="8"/>
      <c r="C1179" s="8"/>
      <c r="D1179" s="8"/>
      <c r="E1179" s="8"/>
      <c r="F1179" s="8"/>
      <c r="G1179" s="8"/>
      <c r="H1179" s="8"/>
      <c r="I1179" s="10"/>
      <c r="J1179" s="10"/>
      <c r="K1179" s="18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ht="14.25" customHeight="1">
      <c r="A1180" s="9"/>
      <c r="B1180" s="8"/>
      <c r="C1180" s="8"/>
      <c r="D1180" s="8"/>
      <c r="E1180" s="8"/>
      <c r="F1180" s="8"/>
      <c r="G1180" s="8"/>
      <c r="H1180" s="8"/>
      <c r="I1180" s="10"/>
      <c r="J1180" s="10"/>
      <c r="K1180" s="18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ht="14.25" customHeight="1">
      <c r="A1181" s="9"/>
      <c r="B1181" s="8"/>
      <c r="C1181" s="8"/>
      <c r="D1181" s="8"/>
      <c r="E1181" s="8"/>
      <c r="F1181" s="8"/>
      <c r="G1181" s="8"/>
      <c r="H1181" s="8"/>
      <c r="I1181" s="10"/>
      <c r="J1181" s="10"/>
      <c r="K1181" s="18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ht="14.25" customHeight="1">
      <c r="A1182" s="9"/>
      <c r="B1182" s="8"/>
      <c r="C1182" s="8"/>
      <c r="D1182" s="8"/>
      <c r="E1182" s="8"/>
      <c r="F1182" s="8"/>
      <c r="G1182" s="8"/>
      <c r="H1182" s="8"/>
      <c r="I1182" s="10"/>
      <c r="J1182" s="10"/>
      <c r="K1182" s="18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ht="14.25" customHeight="1">
      <c r="A1183" s="9"/>
      <c r="B1183" s="8"/>
      <c r="C1183" s="8"/>
      <c r="D1183" s="8"/>
      <c r="E1183" s="8"/>
      <c r="F1183" s="8"/>
      <c r="G1183" s="8"/>
      <c r="H1183" s="8"/>
      <c r="I1183" s="10"/>
      <c r="J1183" s="10"/>
      <c r="K1183" s="18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ht="14.25" customHeight="1">
      <c r="A1184" s="9"/>
      <c r="B1184" s="8"/>
      <c r="C1184" s="8"/>
      <c r="D1184" s="8"/>
      <c r="E1184" s="8"/>
      <c r="F1184" s="8"/>
      <c r="G1184" s="8"/>
      <c r="H1184" s="8"/>
      <c r="I1184" s="10"/>
      <c r="J1184" s="10"/>
      <c r="K1184" s="18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ht="14.25" customHeight="1">
      <c r="A1185" s="9"/>
      <c r="B1185" s="8"/>
      <c r="C1185" s="8"/>
      <c r="D1185" s="8"/>
      <c r="E1185" s="8"/>
      <c r="F1185" s="8"/>
      <c r="G1185" s="8"/>
      <c r="H1185" s="8"/>
      <c r="I1185" s="10"/>
      <c r="J1185" s="10"/>
      <c r="K1185" s="18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ht="14.25" customHeight="1">
      <c r="A1186" s="9"/>
      <c r="B1186" s="8"/>
      <c r="C1186" s="8"/>
      <c r="D1186" s="8"/>
      <c r="E1186" s="8"/>
      <c r="F1186" s="8"/>
      <c r="G1186" s="8"/>
      <c r="H1186" s="8"/>
      <c r="I1186" s="10"/>
      <c r="J1186" s="10"/>
      <c r="K1186" s="18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ht="14.25" customHeight="1">
      <c r="A1187" s="9"/>
      <c r="B1187" s="8"/>
      <c r="C1187" s="8"/>
      <c r="D1187" s="8"/>
      <c r="E1187" s="8"/>
      <c r="F1187" s="8"/>
      <c r="G1187" s="8"/>
      <c r="H1187" s="8"/>
      <c r="I1187" s="10"/>
      <c r="J1187" s="10"/>
      <c r="K1187" s="18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ht="14.25" customHeight="1">
      <c r="A1188" s="9"/>
      <c r="B1188" s="8"/>
      <c r="C1188" s="8"/>
      <c r="D1188" s="8"/>
      <c r="E1188" s="8"/>
      <c r="F1188" s="8"/>
      <c r="G1188" s="8"/>
      <c r="H1188" s="8"/>
      <c r="I1188" s="10"/>
      <c r="J1188" s="10"/>
      <c r="K1188" s="18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ht="14.25" customHeight="1">
      <c r="A1189" s="9"/>
      <c r="B1189" s="8"/>
      <c r="C1189" s="8"/>
      <c r="D1189" s="8"/>
      <c r="E1189" s="8"/>
      <c r="F1189" s="8"/>
      <c r="G1189" s="8"/>
      <c r="H1189" s="8"/>
      <c r="I1189" s="10"/>
      <c r="J1189" s="10"/>
      <c r="K1189" s="18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ht="14.25" customHeight="1">
      <c r="A1190" s="9"/>
      <c r="B1190" s="8"/>
      <c r="C1190" s="8"/>
      <c r="D1190" s="8"/>
      <c r="E1190" s="8"/>
      <c r="F1190" s="8"/>
      <c r="G1190" s="8"/>
      <c r="H1190" s="8"/>
      <c r="I1190" s="10"/>
      <c r="J1190" s="10"/>
      <c r="K1190" s="18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ht="14.25" customHeight="1">
      <c r="A1191" s="9"/>
      <c r="B1191" s="8"/>
      <c r="C1191" s="8"/>
      <c r="D1191" s="8"/>
      <c r="E1191" s="8"/>
      <c r="F1191" s="19"/>
      <c r="G1191" s="8"/>
      <c r="H1191" s="8"/>
      <c r="I1191" s="10"/>
      <c r="J1191" s="10"/>
      <c r="K1191" s="18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ht="14.25" customHeight="1">
      <c r="A1192" s="9"/>
      <c r="B1192" s="8"/>
      <c r="C1192" s="8"/>
      <c r="D1192" s="8"/>
      <c r="E1192" s="8"/>
      <c r="F1192" s="8"/>
      <c r="G1192" s="8"/>
      <c r="H1192" s="8"/>
      <c r="I1192" s="10"/>
      <c r="J1192" s="10"/>
      <c r="K1192" s="18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ht="14.25" customHeight="1">
      <c r="A1193" s="9"/>
      <c r="B1193" s="8"/>
      <c r="C1193" s="8"/>
      <c r="D1193" s="8"/>
      <c r="E1193" s="8"/>
      <c r="F1193" s="8"/>
      <c r="G1193" s="8"/>
      <c r="H1193" s="8"/>
      <c r="I1193" s="10"/>
      <c r="J1193" s="10"/>
      <c r="K1193" s="18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ht="14.25" customHeight="1">
      <c r="A1194" s="9"/>
      <c r="B1194" s="8"/>
      <c r="C1194" s="8"/>
      <c r="D1194" s="8"/>
      <c r="E1194" s="8"/>
      <c r="F1194" s="8"/>
      <c r="G1194" s="8"/>
      <c r="H1194" s="8"/>
      <c r="I1194" s="10"/>
      <c r="J1194" s="10"/>
      <c r="K1194" s="18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ht="14.25" customHeight="1">
      <c r="A1195" s="9"/>
      <c r="B1195" s="8"/>
      <c r="C1195" s="8"/>
      <c r="D1195" s="8"/>
      <c r="E1195" s="8"/>
      <c r="F1195" s="8"/>
      <c r="G1195" s="8"/>
      <c r="H1195" s="8"/>
      <c r="I1195" s="10"/>
      <c r="J1195" s="10"/>
      <c r="K1195" s="18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ht="14.25" customHeight="1">
      <c r="A1196" s="9"/>
      <c r="B1196" s="8"/>
      <c r="C1196" s="8"/>
      <c r="D1196" s="8"/>
      <c r="E1196" s="8"/>
      <c r="F1196" s="8"/>
      <c r="G1196" s="8"/>
      <c r="H1196" s="8"/>
      <c r="I1196" s="10"/>
      <c r="J1196" s="10"/>
      <c r="K1196" s="18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ht="14.25" customHeight="1">
      <c r="A1197" s="9"/>
      <c r="B1197" s="8"/>
      <c r="C1197" s="8"/>
      <c r="D1197" s="8"/>
      <c r="E1197" s="8"/>
      <c r="F1197" s="8"/>
      <c r="G1197" s="8"/>
      <c r="H1197" s="8"/>
      <c r="I1197" s="10"/>
      <c r="J1197" s="10"/>
      <c r="K1197" s="18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ht="14.25" customHeight="1">
      <c r="A1198" s="9"/>
      <c r="B1198" s="8"/>
      <c r="C1198" s="8"/>
      <c r="D1198" s="8"/>
      <c r="E1198" s="8"/>
      <c r="F1198" s="8"/>
      <c r="G1198" s="8"/>
      <c r="H1198" s="8"/>
      <c r="I1198" s="10"/>
      <c r="J1198" s="10"/>
      <c r="K1198" s="18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ht="14.25" customHeight="1">
      <c r="A1199" s="9"/>
      <c r="B1199" s="8"/>
      <c r="C1199" s="8"/>
      <c r="D1199" s="8"/>
      <c r="E1199" s="8"/>
      <c r="F1199" s="8"/>
      <c r="G1199" s="8"/>
      <c r="H1199" s="8"/>
      <c r="I1199" s="10"/>
      <c r="J1199" s="10"/>
      <c r="K1199" s="18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ht="14.25" customHeight="1">
      <c r="A1200" s="9"/>
      <c r="B1200" s="8"/>
      <c r="C1200" s="8"/>
      <c r="D1200" s="8"/>
      <c r="E1200" s="8"/>
      <c r="F1200" s="8"/>
      <c r="G1200" s="8"/>
      <c r="H1200" s="8"/>
      <c r="I1200" s="10"/>
      <c r="J1200" s="10"/>
      <c r="K1200" s="18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ht="14.25" customHeight="1">
      <c r="A1201" s="9"/>
      <c r="B1201" s="8"/>
      <c r="C1201" s="8"/>
      <c r="D1201" s="8"/>
      <c r="E1201" s="8"/>
      <c r="F1201" s="8"/>
      <c r="G1201" s="8"/>
      <c r="H1201" s="8"/>
      <c r="I1201" s="10"/>
      <c r="J1201" s="10"/>
      <c r="K1201" s="18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ht="14.25" customHeight="1">
      <c r="A1202" s="9"/>
      <c r="B1202" s="8"/>
      <c r="C1202" s="8"/>
      <c r="D1202" s="8"/>
      <c r="E1202" s="8"/>
      <c r="F1202" s="8"/>
      <c r="G1202" s="8"/>
      <c r="H1202" s="8"/>
      <c r="I1202" s="10"/>
      <c r="J1202" s="10"/>
      <c r="K1202" s="18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ht="14.25" customHeight="1">
      <c r="A1203" s="9"/>
      <c r="B1203" s="8"/>
      <c r="C1203" s="8"/>
      <c r="D1203" s="8"/>
      <c r="E1203" s="8"/>
      <c r="F1203" s="8"/>
      <c r="G1203" s="8"/>
      <c r="H1203" s="8"/>
      <c r="I1203" s="10"/>
      <c r="J1203" s="10"/>
      <c r="K1203" s="18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ht="14.25" customHeight="1">
      <c r="A1204" s="9"/>
      <c r="B1204" s="8"/>
      <c r="C1204" s="8"/>
      <c r="D1204" s="8"/>
      <c r="E1204" s="8"/>
      <c r="F1204" s="8"/>
      <c r="G1204" s="8"/>
      <c r="H1204" s="8"/>
      <c r="I1204" s="10"/>
      <c r="J1204" s="10"/>
      <c r="K1204" s="18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ht="14.25" customHeight="1">
      <c r="A1205" s="9"/>
      <c r="B1205" s="8"/>
      <c r="C1205" s="8"/>
      <c r="D1205" s="8"/>
      <c r="E1205" s="8"/>
      <c r="F1205" s="8"/>
      <c r="G1205" s="8"/>
      <c r="H1205" s="8"/>
      <c r="I1205" s="10"/>
      <c r="J1205" s="10"/>
      <c r="K1205" s="18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ht="14.25" customHeight="1">
      <c r="A1206" s="9"/>
      <c r="B1206" s="8"/>
      <c r="C1206" s="8"/>
      <c r="D1206" s="8"/>
      <c r="E1206" s="8"/>
      <c r="F1206" s="8"/>
      <c r="G1206" s="8"/>
      <c r="H1206" s="8"/>
      <c r="I1206" s="10"/>
      <c r="J1206" s="10"/>
      <c r="K1206" s="18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ht="14.25" customHeight="1">
      <c r="A1207" s="9"/>
      <c r="B1207" s="8"/>
      <c r="C1207" s="8"/>
      <c r="D1207" s="8"/>
      <c r="E1207" s="8"/>
      <c r="F1207" s="8"/>
      <c r="G1207" s="8"/>
      <c r="H1207" s="8"/>
      <c r="I1207" s="10"/>
      <c r="J1207" s="10"/>
      <c r="K1207" s="18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ht="14.25" customHeight="1">
      <c r="A1208" s="9"/>
      <c r="B1208" s="8"/>
      <c r="C1208" s="8"/>
      <c r="D1208" s="8"/>
      <c r="E1208" s="8"/>
      <c r="F1208" s="8"/>
      <c r="G1208" s="8"/>
      <c r="H1208" s="8"/>
      <c r="I1208" s="10"/>
      <c r="J1208" s="10"/>
      <c r="K1208" s="18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ht="14.25" customHeight="1">
      <c r="A1209" s="9"/>
      <c r="B1209" s="8"/>
      <c r="C1209" s="8"/>
      <c r="D1209" s="8"/>
      <c r="E1209" s="8"/>
      <c r="F1209" s="8"/>
      <c r="G1209" s="8"/>
      <c r="H1209" s="8"/>
      <c r="I1209" s="10"/>
      <c r="J1209" s="10"/>
      <c r="K1209" s="18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ht="14.25" customHeight="1">
      <c r="A1210" s="9"/>
      <c r="B1210" s="8"/>
      <c r="C1210" s="8"/>
      <c r="D1210" s="8"/>
      <c r="E1210" s="8"/>
      <c r="F1210" s="8"/>
      <c r="G1210" s="8"/>
      <c r="H1210" s="8"/>
      <c r="I1210" s="10"/>
      <c r="J1210" s="10"/>
      <c r="K1210" s="18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ht="14.25" customHeight="1">
      <c r="A1211" s="9"/>
      <c r="B1211" s="8"/>
      <c r="C1211" s="8"/>
      <c r="D1211" s="8"/>
      <c r="E1211" s="8"/>
      <c r="F1211" s="8"/>
      <c r="G1211" s="8"/>
      <c r="H1211" s="8"/>
      <c r="I1211" s="10"/>
      <c r="J1211" s="10"/>
      <c r="K1211" s="18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ht="14.25" customHeight="1">
      <c r="A1212" s="9"/>
      <c r="B1212" s="8"/>
      <c r="C1212" s="8"/>
      <c r="D1212" s="8"/>
      <c r="E1212" s="8"/>
      <c r="F1212" s="8"/>
      <c r="G1212" s="8"/>
      <c r="H1212" s="8"/>
      <c r="I1212" s="10"/>
      <c r="J1212" s="10"/>
      <c r="K1212" s="18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ht="14.25" customHeight="1">
      <c r="A1213" s="9"/>
      <c r="B1213" s="8"/>
      <c r="C1213" s="8"/>
      <c r="D1213" s="8"/>
      <c r="E1213" s="8"/>
      <c r="F1213" s="8"/>
      <c r="G1213" s="8"/>
      <c r="H1213" s="8"/>
      <c r="I1213" s="10"/>
      <c r="J1213" s="10"/>
      <c r="K1213" s="18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ht="14.25" customHeight="1">
      <c r="A1214" s="9"/>
      <c r="B1214" s="8"/>
      <c r="C1214" s="8"/>
      <c r="D1214" s="8"/>
      <c r="E1214" s="8"/>
      <c r="F1214" s="8"/>
      <c r="G1214" s="8"/>
      <c r="H1214" s="8"/>
      <c r="I1214" s="10"/>
      <c r="J1214" s="10"/>
      <c r="K1214" s="18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ht="14.25" customHeight="1">
      <c r="A1215" s="9"/>
      <c r="B1215" s="8"/>
      <c r="C1215" s="8"/>
      <c r="D1215" s="8"/>
      <c r="E1215" s="8"/>
      <c r="F1215" s="8"/>
      <c r="G1215" s="8"/>
      <c r="H1215" s="8"/>
      <c r="I1215" s="10"/>
      <c r="J1215" s="10"/>
      <c r="K1215" s="18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ht="14.25" customHeight="1">
      <c r="A1216" s="9"/>
      <c r="B1216" s="8"/>
      <c r="C1216" s="8"/>
      <c r="D1216" s="8"/>
      <c r="E1216" s="8"/>
      <c r="F1216" s="8"/>
      <c r="G1216" s="8"/>
      <c r="H1216" s="8"/>
      <c r="I1216" s="10"/>
      <c r="J1216" s="10"/>
      <c r="K1216" s="18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ht="14.25" customHeight="1">
      <c r="A1217" s="9"/>
      <c r="B1217" s="8"/>
      <c r="C1217" s="8"/>
      <c r="D1217" s="8"/>
      <c r="E1217" s="8"/>
      <c r="F1217" s="8"/>
      <c r="G1217" s="8"/>
      <c r="H1217" s="8"/>
      <c r="I1217" s="10"/>
      <c r="J1217" s="10"/>
      <c r="K1217" s="18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ht="14.25" customHeight="1">
      <c r="A1218" s="9"/>
      <c r="B1218" s="8"/>
      <c r="C1218" s="8"/>
      <c r="D1218" s="8"/>
      <c r="E1218" s="8"/>
      <c r="F1218" s="8"/>
      <c r="G1218" s="8"/>
      <c r="H1218" s="8"/>
      <c r="I1218" s="10"/>
      <c r="J1218" s="10"/>
      <c r="K1218" s="18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ht="14.25" customHeight="1">
      <c r="A1219" s="9"/>
      <c r="B1219" s="8"/>
      <c r="C1219" s="8"/>
      <c r="D1219" s="8"/>
      <c r="E1219" s="8"/>
      <c r="F1219" s="8"/>
      <c r="G1219" s="8"/>
      <c r="H1219" s="8"/>
      <c r="I1219" s="10"/>
      <c r="J1219" s="10"/>
      <c r="K1219" s="18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ht="14.25" customHeight="1">
      <c r="A1220" s="9"/>
      <c r="B1220" s="8"/>
      <c r="C1220" s="8"/>
      <c r="D1220" s="8"/>
      <c r="E1220" s="8"/>
      <c r="F1220" s="8"/>
      <c r="G1220" s="8"/>
      <c r="H1220" s="8"/>
      <c r="I1220" s="10"/>
      <c r="J1220" s="10"/>
      <c r="K1220" s="18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ht="14.25" customHeight="1">
      <c r="A1221" s="9"/>
      <c r="B1221" s="8"/>
      <c r="C1221" s="8"/>
      <c r="D1221" s="8"/>
      <c r="E1221" s="8"/>
      <c r="F1221" s="8"/>
      <c r="G1221" s="8"/>
      <c r="H1221" s="8"/>
      <c r="I1221" s="10"/>
      <c r="J1221" s="10"/>
      <c r="K1221" s="18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ht="14.25" customHeight="1">
      <c r="A1222" s="9"/>
      <c r="B1222" s="8"/>
      <c r="C1222" s="8"/>
      <c r="D1222" s="8"/>
      <c r="E1222" s="8"/>
      <c r="F1222" s="8"/>
      <c r="G1222" s="8"/>
      <c r="H1222" s="8"/>
      <c r="I1222" s="10"/>
      <c r="J1222" s="10"/>
      <c r="K1222" s="18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ht="14.25" customHeight="1">
      <c r="A1223" s="9"/>
      <c r="B1223" s="8"/>
      <c r="C1223" s="8"/>
      <c r="D1223" s="8"/>
      <c r="E1223" s="8"/>
      <c r="F1223" s="8"/>
      <c r="G1223" s="8"/>
      <c r="H1223" s="8"/>
      <c r="I1223" s="10"/>
      <c r="J1223" s="10"/>
      <c r="K1223" s="18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ht="14.25" customHeight="1">
      <c r="A1224" s="9"/>
      <c r="B1224" s="8"/>
      <c r="C1224" s="8"/>
      <c r="D1224" s="8"/>
      <c r="E1224" s="8"/>
      <c r="F1224" s="8"/>
      <c r="G1224" s="8"/>
      <c r="H1224" s="8"/>
      <c r="I1224" s="10"/>
      <c r="J1224" s="10"/>
      <c r="K1224" s="18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ht="14.25" customHeight="1">
      <c r="A1225" s="9"/>
      <c r="B1225" s="8"/>
      <c r="C1225" s="8"/>
      <c r="D1225" s="8"/>
      <c r="E1225" s="8"/>
      <c r="F1225" s="8"/>
      <c r="G1225" s="8"/>
      <c r="H1225" s="8"/>
      <c r="I1225" s="10"/>
      <c r="J1225" s="10"/>
      <c r="K1225" s="18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ht="14.25" customHeight="1">
      <c r="A1226" s="9"/>
      <c r="B1226" s="8"/>
      <c r="C1226" s="8"/>
      <c r="D1226" s="8"/>
      <c r="E1226" s="8"/>
      <c r="F1226" s="8"/>
      <c r="G1226" s="8"/>
      <c r="H1226" s="8"/>
      <c r="I1226" s="10"/>
      <c r="J1226" s="10"/>
      <c r="K1226" s="18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ht="14.25" customHeight="1">
      <c r="A1227" s="9"/>
      <c r="B1227" s="8"/>
      <c r="C1227" s="8"/>
      <c r="D1227" s="8"/>
      <c r="E1227" s="8"/>
      <c r="F1227" s="8"/>
      <c r="G1227" s="8"/>
      <c r="H1227" s="8"/>
      <c r="I1227" s="10"/>
      <c r="J1227" s="10"/>
      <c r="K1227" s="18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ht="14.25" customHeight="1">
      <c r="A1228" s="9"/>
      <c r="B1228" s="8"/>
      <c r="C1228" s="8"/>
      <c r="D1228" s="8"/>
      <c r="E1228" s="8"/>
      <c r="F1228" s="8"/>
      <c r="G1228" s="8"/>
      <c r="H1228" s="8"/>
      <c r="I1228" s="10"/>
      <c r="J1228" s="10"/>
      <c r="K1228" s="18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ht="14.25" customHeight="1">
      <c r="A1229" s="9"/>
      <c r="B1229" s="8"/>
      <c r="C1229" s="8"/>
      <c r="D1229" s="8"/>
      <c r="E1229" s="8"/>
      <c r="F1229" s="8"/>
      <c r="G1229" s="8"/>
      <c r="H1229" s="8"/>
      <c r="I1229" s="10"/>
      <c r="J1229" s="10"/>
      <c r="K1229" s="18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ht="14.25" customHeight="1">
      <c r="A1230" s="9"/>
      <c r="B1230" s="8"/>
      <c r="C1230" s="8"/>
      <c r="D1230" s="8"/>
      <c r="E1230" s="8"/>
      <c r="F1230" s="8"/>
      <c r="G1230" s="8"/>
      <c r="H1230" s="8"/>
      <c r="I1230" s="10"/>
      <c r="J1230" s="10"/>
      <c r="K1230" s="18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ht="14.25" customHeight="1">
      <c r="A1231" s="9"/>
      <c r="B1231" s="8"/>
      <c r="C1231" s="8"/>
      <c r="D1231" s="8"/>
      <c r="E1231" s="8"/>
      <c r="F1231" s="8"/>
      <c r="G1231" s="8"/>
      <c r="H1231" s="8"/>
      <c r="I1231" s="10"/>
      <c r="J1231" s="10"/>
      <c r="K1231" s="18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ht="14.25" customHeight="1">
      <c r="A1232" s="9"/>
      <c r="B1232" s="8"/>
      <c r="C1232" s="8"/>
      <c r="D1232" s="8"/>
      <c r="E1232" s="8"/>
      <c r="F1232" s="8"/>
      <c r="G1232" s="8"/>
      <c r="H1232" s="8"/>
      <c r="I1232" s="10"/>
      <c r="J1232" s="10"/>
      <c r="K1232" s="18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ht="14.25" customHeight="1">
      <c r="A1233" s="9"/>
      <c r="B1233" s="8"/>
      <c r="C1233" s="8"/>
      <c r="D1233" s="8"/>
      <c r="E1233" s="8"/>
      <c r="F1233" s="8"/>
      <c r="G1233" s="8"/>
      <c r="H1233" s="8"/>
      <c r="I1233" s="10"/>
      <c r="J1233" s="10"/>
      <c r="K1233" s="18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ht="14.25" customHeight="1">
      <c r="A1234" s="9"/>
      <c r="B1234" s="8"/>
      <c r="C1234" s="8"/>
      <c r="D1234" s="8"/>
      <c r="E1234" s="8"/>
      <c r="F1234" s="8"/>
      <c r="G1234" s="8"/>
      <c r="H1234" s="8"/>
      <c r="I1234" s="10"/>
      <c r="J1234" s="10"/>
      <c r="K1234" s="18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ht="14.25" customHeight="1">
      <c r="A1235" s="9"/>
      <c r="B1235" s="8"/>
      <c r="C1235" s="8"/>
      <c r="D1235" s="8"/>
      <c r="E1235" s="8"/>
      <c r="F1235" s="8"/>
      <c r="G1235" s="8"/>
      <c r="H1235" s="8"/>
      <c r="I1235" s="10"/>
      <c r="J1235" s="10"/>
      <c r="K1235" s="18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ht="14.25" customHeight="1">
      <c r="A1236" s="9"/>
      <c r="B1236" s="8"/>
      <c r="C1236" s="8"/>
      <c r="D1236" s="8"/>
      <c r="E1236" s="8"/>
      <c r="F1236" s="8"/>
      <c r="G1236" s="8"/>
      <c r="H1236" s="8"/>
      <c r="I1236" s="10"/>
      <c r="J1236" s="10"/>
      <c r="K1236" s="18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ht="14.25" customHeight="1">
      <c r="A1237" s="9"/>
      <c r="B1237" s="8"/>
      <c r="C1237" s="8"/>
      <c r="D1237" s="8"/>
      <c r="E1237" s="8"/>
      <c r="F1237" s="8"/>
      <c r="G1237" s="8"/>
      <c r="H1237" s="8"/>
      <c r="I1237" s="10"/>
      <c r="J1237" s="10"/>
      <c r="K1237" s="18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ht="14.25" customHeight="1">
      <c r="A1238" s="9"/>
      <c r="B1238" s="8"/>
      <c r="C1238" s="8"/>
      <c r="D1238" s="8"/>
      <c r="E1238" s="8"/>
      <c r="F1238" s="8"/>
      <c r="G1238" s="8"/>
      <c r="H1238" s="8"/>
      <c r="I1238" s="10"/>
      <c r="J1238" s="10"/>
      <c r="K1238" s="18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ht="14.25" customHeight="1">
      <c r="A1239" s="9"/>
      <c r="B1239" s="8"/>
      <c r="C1239" s="8"/>
      <c r="D1239" s="8"/>
      <c r="E1239" s="8"/>
      <c r="F1239" s="8"/>
      <c r="G1239" s="8"/>
      <c r="H1239" s="8"/>
      <c r="I1239" s="10"/>
      <c r="J1239" s="10"/>
      <c r="K1239" s="18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ht="14.25" customHeight="1">
      <c r="A1240" s="9"/>
      <c r="B1240" s="8"/>
      <c r="C1240" s="8"/>
      <c r="D1240" s="8"/>
      <c r="E1240" s="8"/>
      <c r="F1240" s="8"/>
      <c r="G1240" s="8"/>
      <c r="H1240" s="8"/>
      <c r="I1240" s="10"/>
      <c r="J1240" s="10"/>
      <c r="K1240" s="18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ht="14.25" customHeight="1">
      <c r="A1241" s="9"/>
      <c r="B1241" s="8"/>
      <c r="C1241" s="8"/>
      <c r="D1241" s="8"/>
      <c r="E1241" s="8"/>
      <c r="F1241" s="8"/>
      <c r="G1241" s="8"/>
      <c r="H1241" s="8"/>
      <c r="I1241" s="10"/>
      <c r="J1241" s="10"/>
      <c r="K1241" s="18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ht="14.25" customHeight="1">
      <c r="A1242" s="9"/>
      <c r="B1242" s="8"/>
      <c r="C1242" s="8"/>
      <c r="D1242" s="8"/>
      <c r="E1242" s="8"/>
      <c r="F1242" s="8"/>
      <c r="G1242" s="8"/>
      <c r="H1242" s="8"/>
      <c r="I1242" s="10"/>
      <c r="J1242" s="10"/>
      <c r="K1242" s="18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ht="14.25" customHeight="1">
      <c r="A1243" s="9"/>
      <c r="B1243" s="8"/>
      <c r="C1243" s="8"/>
      <c r="D1243" s="8"/>
      <c r="E1243" s="8"/>
      <c r="F1243" s="8"/>
      <c r="G1243" s="8"/>
      <c r="H1243" s="8"/>
      <c r="I1243" s="10"/>
      <c r="J1243" s="10"/>
      <c r="K1243" s="18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ht="14.25" customHeight="1">
      <c r="A1244" s="9"/>
      <c r="B1244" s="8"/>
      <c r="C1244" s="8"/>
      <c r="D1244" s="8"/>
      <c r="E1244" s="8"/>
      <c r="F1244" s="8"/>
      <c r="G1244" s="8"/>
      <c r="H1244" s="8"/>
      <c r="I1244" s="10"/>
      <c r="J1244" s="10"/>
      <c r="K1244" s="18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ht="14.25" customHeight="1">
      <c r="A1245" s="9"/>
      <c r="B1245" s="8"/>
      <c r="C1245" s="8"/>
      <c r="D1245" s="8"/>
      <c r="E1245" s="8"/>
      <c r="F1245" s="8"/>
      <c r="G1245" s="8"/>
      <c r="H1245" s="8"/>
      <c r="I1245" s="10"/>
      <c r="J1245" s="10"/>
      <c r="K1245" s="18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ht="14.25" customHeight="1">
      <c r="A1246" s="9"/>
      <c r="B1246" s="8"/>
      <c r="C1246" s="8"/>
      <c r="D1246" s="8"/>
      <c r="E1246" s="8"/>
      <c r="F1246" s="8"/>
      <c r="G1246" s="8"/>
      <c r="H1246" s="8"/>
      <c r="I1246" s="10"/>
      <c r="J1246" s="10"/>
      <c r="K1246" s="18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ht="14.25" customHeight="1">
      <c r="A1247" s="9"/>
      <c r="B1247" s="8"/>
      <c r="C1247" s="8"/>
      <c r="D1247" s="8"/>
      <c r="E1247" s="8"/>
      <c r="F1247" s="8"/>
      <c r="G1247" s="8"/>
      <c r="H1247" s="8"/>
      <c r="I1247" s="10"/>
      <c r="J1247" s="10"/>
      <c r="K1247" s="18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ht="14.25" customHeight="1">
      <c r="A1248" s="9"/>
      <c r="B1248" s="8"/>
      <c r="C1248" s="8"/>
      <c r="D1248" s="8"/>
      <c r="E1248" s="8"/>
      <c r="F1248" s="8"/>
      <c r="G1248" s="8"/>
      <c r="H1248" s="8"/>
      <c r="I1248" s="10"/>
      <c r="J1248" s="10"/>
      <c r="K1248" s="18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ht="14.25" customHeight="1">
      <c r="A1249" s="9"/>
      <c r="B1249" s="8"/>
      <c r="C1249" s="8"/>
      <c r="D1249" s="8"/>
      <c r="E1249" s="8"/>
      <c r="F1249" s="8"/>
      <c r="G1249" s="8"/>
      <c r="H1249" s="8"/>
      <c r="I1249" s="10"/>
      <c r="J1249" s="10"/>
      <c r="K1249" s="18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ht="14.25" customHeight="1">
      <c r="A1250" s="9"/>
      <c r="B1250" s="8"/>
      <c r="C1250" s="8"/>
      <c r="D1250" s="8"/>
      <c r="E1250" s="8"/>
      <c r="F1250" s="8"/>
      <c r="G1250" s="8"/>
      <c r="H1250" s="8"/>
      <c r="I1250" s="10"/>
      <c r="J1250" s="10"/>
      <c r="K1250" s="18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ht="14.25" customHeight="1">
      <c r="A1251" s="9"/>
      <c r="B1251" s="8"/>
      <c r="C1251" s="8"/>
      <c r="D1251" s="8"/>
      <c r="E1251" s="8"/>
      <c r="F1251" s="8"/>
      <c r="G1251" s="8"/>
      <c r="H1251" s="8"/>
      <c r="I1251" s="10"/>
      <c r="J1251" s="10"/>
      <c r="K1251" s="18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ht="14.25" customHeight="1">
      <c r="A1252" s="9"/>
      <c r="B1252" s="8"/>
      <c r="C1252" s="8"/>
      <c r="D1252" s="8"/>
      <c r="E1252" s="8"/>
      <c r="F1252" s="8"/>
      <c r="G1252" s="8"/>
      <c r="H1252" s="8"/>
      <c r="I1252" s="10"/>
      <c r="J1252" s="10"/>
      <c r="K1252" s="18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ht="14.25" customHeight="1">
      <c r="A1253" s="9"/>
      <c r="B1253" s="8"/>
      <c r="C1253" s="8"/>
      <c r="D1253" s="8"/>
      <c r="E1253" s="8"/>
      <c r="F1253" s="8"/>
      <c r="G1253" s="8"/>
      <c r="H1253" s="8"/>
      <c r="I1253" s="10"/>
      <c r="J1253" s="10"/>
      <c r="K1253" s="18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ht="14.25" customHeight="1">
      <c r="A1254" s="9"/>
      <c r="B1254" s="8"/>
      <c r="C1254" s="8"/>
      <c r="D1254" s="8"/>
      <c r="E1254" s="8"/>
      <c r="F1254" s="8"/>
      <c r="G1254" s="8"/>
      <c r="H1254" s="8"/>
      <c r="I1254" s="10"/>
      <c r="J1254" s="10"/>
      <c r="K1254" s="18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ht="14.25" customHeight="1">
      <c r="A1255" s="9"/>
      <c r="B1255" s="8"/>
      <c r="C1255" s="8"/>
      <c r="D1255" s="8"/>
      <c r="E1255" s="8"/>
      <c r="F1255" s="8"/>
      <c r="G1255" s="8"/>
      <c r="H1255" s="8"/>
      <c r="I1255" s="10"/>
      <c r="J1255" s="10"/>
      <c r="K1255" s="18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ht="14.25" customHeight="1">
      <c r="A1256" s="9"/>
      <c r="B1256" s="8"/>
      <c r="C1256" s="8"/>
      <c r="D1256" s="8"/>
      <c r="E1256" s="8"/>
      <c r="F1256" s="8"/>
      <c r="G1256" s="8"/>
      <c r="H1256" s="8"/>
      <c r="I1256" s="10"/>
      <c r="J1256" s="10"/>
      <c r="K1256" s="18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ht="14.25" customHeight="1">
      <c r="A1257" s="9"/>
      <c r="B1257" s="8"/>
      <c r="C1257" s="8"/>
      <c r="D1257" s="8"/>
      <c r="E1257" s="8"/>
      <c r="F1257" s="8"/>
      <c r="G1257" s="8"/>
      <c r="H1257" s="8"/>
      <c r="I1257" s="10"/>
      <c r="J1257" s="10"/>
      <c r="K1257" s="18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ht="14.25" customHeight="1">
      <c r="A1258" s="12"/>
      <c r="B1258" s="12"/>
      <c r="C1258" s="12"/>
      <c r="D1258" s="12"/>
      <c r="E1258" s="12"/>
      <c r="F1258" s="12"/>
      <c r="G1258" s="12"/>
      <c r="H1258" s="12"/>
      <c r="I1258" s="20"/>
      <c r="J1258" s="20"/>
      <c r="K1258" s="21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ht="14.25" customHeight="1">
      <c r="A1259" s="12"/>
      <c r="B1259" s="12"/>
      <c r="C1259" s="12"/>
      <c r="D1259" s="12"/>
      <c r="E1259" s="12"/>
      <c r="F1259" s="12"/>
      <c r="G1259" s="12"/>
      <c r="H1259" s="12"/>
      <c r="I1259" s="20"/>
      <c r="J1259" s="20"/>
      <c r="K1259" s="21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ht="14.25" customHeight="1">
      <c r="A1260" s="12"/>
      <c r="B1260" s="12"/>
      <c r="C1260" s="12"/>
      <c r="D1260" s="12"/>
      <c r="E1260" s="12"/>
      <c r="F1260" s="12"/>
      <c r="G1260" s="12"/>
      <c r="H1260" s="12"/>
      <c r="I1260" s="20"/>
      <c r="J1260" s="20"/>
      <c r="K1260" s="21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ht="14.25" customHeight="1">
      <c r="A1261" s="12"/>
      <c r="B1261" s="12"/>
      <c r="C1261" s="12"/>
      <c r="D1261" s="12"/>
      <c r="E1261" s="12"/>
      <c r="F1261" s="12"/>
      <c r="G1261" s="12"/>
      <c r="H1261" s="12"/>
      <c r="I1261" s="20"/>
      <c r="J1261" s="20"/>
      <c r="K1261" s="21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ht="14.25" customHeight="1">
      <c r="A1262" s="12"/>
      <c r="B1262" s="12"/>
      <c r="C1262" s="12"/>
      <c r="D1262" s="12"/>
      <c r="E1262" s="12"/>
      <c r="F1262" s="12"/>
      <c r="G1262" s="12"/>
      <c r="H1262" s="12"/>
      <c r="I1262" s="20"/>
      <c r="J1262" s="20"/>
      <c r="K1262" s="21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ht="14.25" customHeight="1">
      <c r="A1263" s="12"/>
      <c r="B1263" s="12"/>
      <c r="C1263" s="12"/>
      <c r="D1263" s="12"/>
      <c r="E1263" s="12"/>
      <c r="F1263" s="12"/>
      <c r="G1263" s="12"/>
      <c r="H1263" s="12"/>
      <c r="I1263" s="20"/>
      <c r="J1263" s="20"/>
      <c r="K1263" s="21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ht="14.25" customHeight="1">
      <c r="A1264" s="12"/>
      <c r="B1264" s="12"/>
      <c r="C1264" s="12"/>
      <c r="D1264" s="12"/>
      <c r="E1264" s="12"/>
      <c r="F1264" s="12"/>
      <c r="G1264" s="12"/>
      <c r="H1264" s="12"/>
      <c r="I1264" s="20"/>
      <c r="J1264" s="20"/>
      <c r="K1264" s="21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ht="14.25" customHeight="1">
      <c r="A1265" s="12"/>
      <c r="B1265" s="12"/>
      <c r="C1265" s="12"/>
      <c r="D1265" s="12"/>
      <c r="E1265" s="12"/>
      <c r="F1265" s="12"/>
      <c r="G1265" s="12"/>
      <c r="H1265" s="12"/>
      <c r="I1265" s="20"/>
      <c r="J1265" s="20"/>
      <c r="K1265" s="21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ht="14.25" customHeight="1">
      <c r="A1266" s="22"/>
      <c r="B1266" s="3"/>
      <c r="C1266" s="3"/>
      <c r="D1266" s="3"/>
      <c r="E1266" s="3"/>
      <c r="F1266" s="3"/>
      <c r="G1266" s="3"/>
      <c r="H1266" s="3"/>
      <c r="I1266" s="2"/>
      <c r="J1266" s="2"/>
      <c r="K1266" s="2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ht="14.25" customHeight="1">
      <c r="A1267" s="22"/>
      <c r="B1267" s="3"/>
      <c r="C1267" s="3"/>
      <c r="D1267" s="3"/>
      <c r="E1267" s="3"/>
      <c r="F1267" s="3"/>
      <c r="G1267" s="3"/>
      <c r="H1267" s="3"/>
      <c r="I1267" s="2"/>
      <c r="J1267" s="2"/>
      <c r="K1267" s="2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ht="14.25" customHeight="1">
      <c r="A1268" s="22"/>
      <c r="B1268" s="3"/>
      <c r="C1268" s="3"/>
      <c r="D1268" s="3"/>
      <c r="E1268" s="3"/>
      <c r="F1268" s="3"/>
      <c r="G1268" s="3"/>
      <c r="H1268" s="3"/>
      <c r="I1268" s="2"/>
      <c r="J1268" s="2"/>
      <c r="K1268" s="2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ht="14.25" customHeight="1">
      <c r="A1269" s="22"/>
      <c r="B1269" s="3"/>
      <c r="C1269" s="3"/>
      <c r="D1269" s="3"/>
      <c r="E1269" s="3"/>
      <c r="F1269" s="3"/>
      <c r="G1269" s="3"/>
      <c r="H1269" s="3"/>
      <c r="I1269" s="2"/>
      <c r="J1269" s="2"/>
      <c r="K1269" s="2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ht="14.25" customHeight="1">
      <c r="A1270" s="22"/>
      <c r="B1270" s="3"/>
      <c r="C1270" s="3"/>
      <c r="D1270" s="3"/>
      <c r="E1270" s="3"/>
      <c r="F1270" s="3"/>
      <c r="G1270" s="3"/>
      <c r="H1270" s="3"/>
      <c r="I1270" s="2"/>
      <c r="J1270" s="2"/>
      <c r="K1270" s="2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ht="14.25" customHeight="1">
      <c r="A1271" s="22"/>
      <c r="B1271" s="3"/>
      <c r="C1271" s="3"/>
      <c r="D1271" s="3"/>
      <c r="E1271" s="3"/>
      <c r="F1271" s="3"/>
      <c r="G1271" s="3"/>
      <c r="H1271" s="3"/>
      <c r="I1271" s="2"/>
      <c r="J1271" s="2"/>
      <c r="K1271" s="2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ht="14.25" customHeight="1">
      <c r="A1272" s="22"/>
      <c r="B1272" s="3"/>
      <c r="C1272" s="3"/>
      <c r="D1272" s="3"/>
      <c r="E1272" s="3"/>
      <c r="F1272" s="3"/>
      <c r="G1272" s="3"/>
      <c r="H1272" s="3"/>
      <c r="I1272" s="2"/>
      <c r="J1272" s="2"/>
      <c r="K1272" s="2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ht="14.25" customHeight="1">
      <c r="A1273" s="9"/>
      <c r="B1273" s="8"/>
      <c r="C1273" s="8"/>
      <c r="D1273" s="8"/>
      <c r="E1273" s="8"/>
      <c r="F1273" s="8"/>
      <c r="G1273" s="8"/>
      <c r="H1273" s="8"/>
      <c r="I1273" s="10"/>
      <c r="J1273" s="10"/>
      <c r="K1273" s="18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ht="14.25" customHeight="1">
      <c r="A1274" s="9"/>
      <c r="B1274" s="8"/>
      <c r="C1274" s="8"/>
      <c r="D1274" s="8"/>
      <c r="E1274" s="8"/>
      <c r="F1274" s="8"/>
      <c r="G1274" s="8"/>
      <c r="H1274" s="8"/>
      <c r="I1274" s="10"/>
      <c r="J1274" s="10"/>
      <c r="K1274" s="18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ht="14.25" customHeight="1">
      <c r="A1275" s="9"/>
      <c r="B1275" s="8"/>
      <c r="C1275" s="8"/>
      <c r="D1275" s="8"/>
      <c r="E1275" s="8"/>
      <c r="F1275" s="8"/>
      <c r="G1275" s="8"/>
      <c r="H1275" s="8"/>
      <c r="I1275" s="10"/>
      <c r="J1275" s="10"/>
      <c r="K1275" s="18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ht="14.25" customHeight="1">
      <c r="A1276" s="9"/>
      <c r="B1276" s="8"/>
      <c r="C1276" s="8"/>
      <c r="D1276" s="8"/>
      <c r="E1276" s="8"/>
      <c r="F1276" s="8"/>
      <c r="G1276" s="8"/>
      <c r="H1276" s="8"/>
      <c r="I1276" s="10"/>
      <c r="J1276" s="10"/>
      <c r="K1276" s="18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ht="14.25" customHeight="1">
      <c r="A1277" s="9"/>
      <c r="B1277" s="8"/>
      <c r="C1277" s="8"/>
      <c r="D1277" s="8"/>
      <c r="E1277" s="8"/>
      <c r="F1277" s="8"/>
      <c r="G1277" s="8"/>
      <c r="H1277" s="8"/>
      <c r="I1277" s="10"/>
      <c r="J1277" s="10"/>
      <c r="K1277" s="18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ht="14.25" customHeight="1">
      <c r="A1278" s="9"/>
      <c r="B1278" s="8"/>
      <c r="C1278" s="8"/>
      <c r="D1278" s="8"/>
      <c r="E1278" s="8"/>
      <c r="F1278" s="8"/>
      <c r="G1278" s="8"/>
      <c r="H1278" s="8"/>
      <c r="I1278" s="10"/>
      <c r="J1278" s="10"/>
      <c r="K1278" s="18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ht="14.25" customHeight="1">
      <c r="A1279" s="9"/>
      <c r="B1279" s="8"/>
      <c r="C1279" s="8"/>
      <c r="D1279" s="8"/>
      <c r="E1279" s="8"/>
      <c r="F1279" s="8"/>
      <c r="G1279" s="8"/>
      <c r="H1279" s="8"/>
      <c r="I1279" s="10"/>
      <c r="J1279" s="10"/>
      <c r="K1279" s="18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ht="14.25" customHeight="1">
      <c r="A1280" s="9"/>
      <c r="B1280" s="8"/>
      <c r="C1280" s="8"/>
      <c r="D1280" s="8"/>
      <c r="E1280" s="8"/>
      <c r="F1280" s="8"/>
      <c r="G1280" s="8"/>
      <c r="H1280" s="8"/>
      <c r="I1280" s="10"/>
      <c r="J1280" s="10"/>
      <c r="K1280" s="18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ht="14.25" customHeight="1">
      <c r="A1281" s="9"/>
      <c r="B1281" s="8"/>
      <c r="C1281" s="8"/>
      <c r="D1281" s="8"/>
      <c r="E1281" s="8"/>
      <c r="F1281" s="8"/>
      <c r="G1281" s="8"/>
      <c r="H1281" s="8"/>
      <c r="I1281" s="10"/>
      <c r="J1281" s="10"/>
      <c r="K1281" s="18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ht="14.25" customHeight="1">
      <c r="A1282" s="9"/>
      <c r="B1282" s="8"/>
      <c r="C1282" s="8"/>
      <c r="D1282" s="8"/>
      <c r="E1282" s="8"/>
      <c r="F1282" s="8"/>
      <c r="G1282" s="8"/>
      <c r="H1282" s="8"/>
      <c r="I1282" s="10"/>
      <c r="J1282" s="10"/>
      <c r="K1282" s="18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ht="14.25" customHeight="1">
      <c r="A1283" s="9"/>
      <c r="B1283" s="8"/>
      <c r="C1283" s="8"/>
      <c r="D1283" s="8"/>
      <c r="E1283" s="8"/>
      <c r="F1283" s="8"/>
      <c r="G1283" s="8"/>
      <c r="H1283" s="8"/>
      <c r="I1283" s="10"/>
      <c r="J1283" s="10"/>
      <c r="K1283" s="18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ht="14.25" customHeight="1">
      <c r="A1284" s="9"/>
      <c r="B1284" s="8"/>
      <c r="C1284" s="8"/>
      <c r="D1284" s="8"/>
      <c r="E1284" s="8"/>
      <c r="F1284" s="8"/>
      <c r="G1284" s="8"/>
      <c r="H1284" s="8"/>
      <c r="I1284" s="10"/>
      <c r="J1284" s="10"/>
      <c r="K1284" s="18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ht="14.25" customHeight="1">
      <c r="A1285" s="9"/>
      <c r="B1285" s="8"/>
      <c r="C1285" s="8"/>
      <c r="D1285" s="8"/>
      <c r="E1285" s="8"/>
      <c r="F1285" s="8"/>
      <c r="G1285" s="8"/>
      <c r="H1285" s="8"/>
      <c r="I1285" s="10"/>
      <c r="J1285" s="10"/>
      <c r="K1285" s="18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ht="14.25" customHeight="1">
      <c r="A1286" s="9"/>
      <c r="B1286" s="8"/>
      <c r="C1286" s="8"/>
      <c r="D1286" s="8"/>
      <c r="E1286" s="8"/>
      <c r="F1286" s="8"/>
      <c r="G1286" s="8"/>
      <c r="H1286" s="8"/>
      <c r="I1286" s="10"/>
      <c r="J1286" s="10"/>
      <c r="K1286" s="18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ht="14.25" customHeight="1">
      <c r="A1287" s="9"/>
      <c r="B1287" s="8"/>
      <c r="C1287" s="8"/>
      <c r="D1287" s="8"/>
      <c r="E1287" s="8"/>
      <c r="F1287" s="8"/>
      <c r="G1287" s="8"/>
      <c r="H1287" s="8"/>
      <c r="I1287" s="10"/>
      <c r="J1287" s="10"/>
      <c r="K1287" s="18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ht="14.25" customHeight="1">
      <c r="A1288" s="9"/>
      <c r="B1288" s="8"/>
      <c r="C1288" s="8"/>
      <c r="D1288" s="8"/>
      <c r="E1288" s="8"/>
      <c r="F1288" s="8"/>
      <c r="G1288" s="8"/>
      <c r="H1288" s="8"/>
      <c r="I1288" s="10"/>
      <c r="J1288" s="10"/>
      <c r="K1288" s="18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 ht="14.25" customHeight="1">
      <c r="A1289" s="9"/>
      <c r="B1289" s="8"/>
      <c r="C1289" s="8"/>
      <c r="D1289" s="8"/>
      <c r="E1289" s="8"/>
      <c r="F1289" s="8"/>
      <c r="G1289" s="8"/>
      <c r="H1289" s="8"/>
      <c r="I1289" s="10"/>
      <c r="J1289" s="10"/>
      <c r="K1289" s="18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 ht="14.25" customHeight="1">
      <c r="A1290" s="9"/>
      <c r="B1290" s="8"/>
      <c r="C1290" s="8"/>
      <c r="D1290" s="8"/>
      <c r="E1290" s="8"/>
      <c r="F1290" s="8"/>
      <c r="G1290" s="8"/>
      <c r="H1290" s="8"/>
      <c r="I1290" s="10"/>
      <c r="J1290" s="10"/>
      <c r="K1290" s="18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</row>
    <row r="1291" ht="14.25" customHeight="1">
      <c r="A1291" s="9"/>
      <c r="B1291" s="8"/>
      <c r="C1291" s="8"/>
      <c r="D1291" s="8"/>
      <c r="E1291" s="8"/>
      <c r="F1291" s="8"/>
      <c r="G1291" s="8"/>
      <c r="H1291" s="8"/>
      <c r="I1291" s="10"/>
      <c r="J1291" s="10"/>
      <c r="K1291" s="18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 ht="14.25" customHeight="1">
      <c r="A1292" s="9"/>
      <c r="B1292" s="8"/>
      <c r="C1292" s="8"/>
      <c r="D1292" s="8"/>
      <c r="E1292" s="8"/>
      <c r="F1292" s="8"/>
      <c r="G1292" s="8"/>
      <c r="H1292" s="8"/>
      <c r="I1292" s="10"/>
      <c r="J1292" s="10"/>
      <c r="K1292" s="18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</row>
    <row r="1293" ht="14.25" customHeight="1">
      <c r="A1293" s="9"/>
      <c r="B1293" s="8"/>
      <c r="C1293" s="8"/>
      <c r="D1293" s="8"/>
      <c r="E1293" s="8"/>
      <c r="F1293" s="8"/>
      <c r="G1293" s="8"/>
      <c r="H1293" s="8"/>
      <c r="I1293" s="10"/>
      <c r="J1293" s="10"/>
      <c r="K1293" s="18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ht="14.25" customHeight="1">
      <c r="A1294" s="9"/>
      <c r="B1294" s="8"/>
      <c r="C1294" s="8"/>
      <c r="D1294" s="8"/>
      <c r="E1294" s="8"/>
      <c r="F1294" s="8"/>
      <c r="G1294" s="8"/>
      <c r="H1294" s="8"/>
      <c r="I1294" s="10"/>
      <c r="J1294" s="10"/>
      <c r="K1294" s="18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 ht="14.25" customHeight="1">
      <c r="A1295" s="9"/>
      <c r="B1295" s="8"/>
      <c r="C1295" s="8"/>
      <c r="D1295" s="8"/>
      <c r="E1295" s="8"/>
      <c r="F1295" s="8"/>
      <c r="G1295" s="8"/>
      <c r="H1295" s="8"/>
      <c r="I1295" s="10"/>
      <c r="J1295" s="10"/>
      <c r="K1295" s="18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 ht="14.25" customHeight="1">
      <c r="A1296" s="9"/>
      <c r="B1296" s="8"/>
      <c r="C1296" s="8"/>
      <c r="D1296" s="8"/>
      <c r="E1296" s="8"/>
      <c r="F1296" s="8"/>
      <c r="G1296" s="8"/>
      <c r="H1296" s="8"/>
      <c r="I1296" s="10"/>
      <c r="J1296" s="10"/>
      <c r="K1296" s="18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 ht="14.25" customHeight="1">
      <c r="A1297" s="9"/>
      <c r="B1297" s="8"/>
      <c r="C1297" s="8"/>
      <c r="D1297" s="8"/>
      <c r="E1297" s="8"/>
      <c r="F1297" s="8"/>
      <c r="G1297" s="8"/>
      <c r="H1297" s="8"/>
      <c r="I1297" s="10"/>
      <c r="J1297" s="10"/>
      <c r="K1297" s="18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</row>
    <row r="1298" ht="14.25" customHeight="1">
      <c r="A1298" s="9"/>
      <c r="B1298" s="8"/>
      <c r="C1298" s="8"/>
      <c r="D1298" s="8"/>
      <c r="E1298" s="8"/>
      <c r="F1298" s="8"/>
      <c r="G1298" s="8"/>
      <c r="H1298" s="8"/>
      <c r="I1298" s="10"/>
      <c r="J1298" s="10"/>
      <c r="K1298" s="18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ht="14.25" customHeight="1">
      <c r="A1299" s="9"/>
      <c r="B1299" s="8"/>
      <c r="C1299" s="8"/>
      <c r="D1299" s="8"/>
      <c r="E1299" s="8"/>
      <c r="F1299" s="8"/>
      <c r="G1299" s="8"/>
      <c r="H1299" s="8"/>
      <c r="I1299" s="10"/>
      <c r="J1299" s="10"/>
      <c r="K1299" s="18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</row>
    <row r="1300" ht="14.25" customHeight="1">
      <c r="A1300" s="9"/>
      <c r="B1300" s="8"/>
      <c r="C1300" s="8"/>
      <c r="D1300" s="8"/>
      <c r="E1300" s="8"/>
      <c r="F1300" s="8"/>
      <c r="G1300" s="8"/>
      <c r="H1300" s="8"/>
      <c r="I1300" s="10"/>
      <c r="J1300" s="10"/>
      <c r="K1300" s="18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 ht="14.25" customHeight="1">
      <c r="A1301" s="9"/>
      <c r="B1301" s="8"/>
      <c r="C1301" s="8"/>
      <c r="D1301" s="8"/>
      <c r="E1301" s="8"/>
      <c r="F1301" s="8"/>
      <c r="G1301" s="8"/>
      <c r="H1301" s="8"/>
      <c r="I1301" s="10"/>
      <c r="J1301" s="10"/>
      <c r="K1301" s="18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 ht="14.25" customHeight="1">
      <c r="A1302" s="9"/>
      <c r="B1302" s="8"/>
      <c r="C1302" s="8"/>
      <c r="D1302" s="8"/>
      <c r="E1302" s="8"/>
      <c r="F1302" s="8"/>
      <c r="G1302" s="8"/>
      <c r="H1302" s="8"/>
      <c r="I1302" s="10"/>
      <c r="J1302" s="10"/>
      <c r="K1302" s="18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</row>
    <row r="1303" ht="14.25" customHeight="1">
      <c r="A1303" s="9"/>
      <c r="B1303" s="8"/>
      <c r="C1303" s="8"/>
      <c r="D1303" s="8"/>
      <c r="E1303" s="8"/>
      <c r="F1303" s="8"/>
      <c r="G1303" s="8"/>
      <c r="H1303" s="8"/>
      <c r="I1303" s="10"/>
      <c r="J1303" s="10"/>
      <c r="K1303" s="18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</row>
    <row r="1304" ht="14.25" customHeight="1">
      <c r="A1304" s="9"/>
      <c r="B1304" s="8"/>
      <c r="C1304" s="8"/>
      <c r="D1304" s="8"/>
      <c r="E1304" s="8"/>
      <c r="F1304" s="8"/>
      <c r="G1304" s="8"/>
      <c r="H1304" s="8"/>
      <c r="I1304" s="10"/>
      <c r="J1304" s="10"/>
      <c r="K1304" s="18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</row>
    <row r="1305" ht="14.25" customHeight="1">
      <c r="A1305" s="9"/>
      <c r="B1305" s="8"/>
      <c r="C1305" s="8"/>
      <c r="D1305" s="8"/>
      <c r="E1305" s="8"/>
      <c r="F1305" s="8"/>
      <c r="G1305" s="8"/>
      <c r="H1305" s="8"/>
      <c r="I1305" s="10"/>
      <c r="J1305" s="10"/>
      <c r="K1305" s="18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 ht="14.25" customHeight="1">
      <c r="A1306" s="9"/>
      <c r="B1306" s="8"/>
      <c r="C1306" s="8"/>
      <c r="D1306" s="8"/>
      <c r="E1306" s="8"/>
      <c r="F1306" s="8"/>
      <c r="G1306" s="8"/>
      <c r="H1306" s="8"/>
      <c r="I1306" s="10"/>
      <c r="J1306" s="10"/>
      <c r="K1306" s="18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 ht="14.25" customHeight="1">
      <c r="A1307" s="9"/>
      <c r="B1307" s="8"/>
      <c r="C1307" s="8"/>
      <c r="D1307" s="8"/>
      <c r="E1307" s="8"/>
      <c r="F1307" s="8"/>
      <c r="G1307" s="8"/>
      <c r="H1307" s="8"/>
      <c r="I1307" s="10"/>
      <c r="J1307" s="10"/>
      <c r="K1307" s="18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 ht="14.25" customHeight="1">
      <c r="A1308" s="9"/>
      <c r="B1308" s="8"/>
      <c r="C1308" s="8"/>
      <c r="D1308" s="8"/>
      <c r="E1308" s="8"/>
      <c r="F1308" s="8"/>
      <c r="G1308" s="8"/>
      <c r="H1308" s="8"/>
      <c r="I1308" s="10"/>
      <c r="J1308" s="10"/>
      <c r="K1308" s="18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</row>
    <row r="1309" ht="14.25" customHeight="1">
      <c r="A1309" s="9"/>
      <c r="B1309" s="8"/>
      <c r="C1309" s="8"/>
      <c r="D1309" s="8"/>
      <c r="E1309" s="8"/>
      <c r="F1309" s="8"/>
      <c r="G1309" s="8"/>
      <c r="H1309" s="8"/>
      <c r="I1309" s="10"/>
      <c r="J1309" s="10"/>
      <c r="K1309" s="18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</row>
    <row r="1310" ht="14.25" customHeight="1">
      <c r="A1310" s="9"/>
      <c r="B1310" s="8"/>
      <c r="C1310" s="8"/>
      <c r="D1310" s="8"/>
      <c r="E1310" s="8"/>
      <c r="F1310" s="8"/>
      <c r="G1310" s="8"/>
      <c r="H1310" s="8"/>
      <c r="I1310" s="10"/>
      <c r="J1310" s="10"/>
      <c r="K1310" s="18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 ht="14.25" customHeight="1">
      <c r="A1311" s="9"/>
      <c r="B1311" s="8"/>
      <c r="C1311" s="8"/>
      <c r="D1311" s="8"/>
      <c r="E1311" s="8"/>
      <c r="F1311" s="8"/>
      <c r="G1311" s="8"/>
      <c r="H1311" s="8"/>
      <c r="I1311" s="10"/>
      <c r="J1311" s="10"/>
      <c r="K1311" s="18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</row>
    <row r="1312" ht="14.25" customHeight="1">
      <c r="A1312" s="9"/>
      <c r="B1312" s="8"/>
      <c r="C1312" s="8"/>
      <c r="D1312" s="8"/>
      <c r="E1312" s="8"/>
      <c r="F1312" s="8"/>
      <c r="G1312" s="8"/>
      <c r="H1312" s="8"/>
      <c r="I1312" s="10"/>
      <c r="J1312" s="10"/>
      <c r="K1312" s="18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</row>
    <row r="1313" ht="14.25" customHeight="1">
      <c r="A1313" s="9"/>
      <c r="B1313" s="8"/>
      <c r="C1313" s="8"/>
      <c r="D1313" s="8"/>
      <c r="E1313" s="8"/>
      <c r="F1313" s="8"/>
      <c r="G1313" s="8"/>
      <c r="H1313" s="8"/>
      <c r="I1313" s="10"/>
      <c r="J1313" s="10"/>
      <c r="K1313" s="18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 ht="14.25" customHeight="1">
      <c r="A1314" s="9"/>
      <c r="B1314" s="8"/>
      <c r="C1314" s="8"/>
      <c r="D1314" s="8"/>
      <c r="E1314" s="8"/>
      <c r="F1314" s="8"/>
      <c r="G1314" s="8"/>
      <c r="H1314" s="8"/>
      <c r="I1314" s="10"/>
      <c r="J1314" s="10"/>
      <c r="K1314" s="18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</row>
    <row r="1315" ht="14.25" customHeight="1">
      <c r="A1315" s="9"/>
      <c r="B1315" s="8"/>
      <c r="C1315" s="8"/>
      <c r="D1315" s="8"/>
      <c r="E1315" s="8"/>
      <c r="F1315" s="8"/>
      <c r="G1315" s="8"/>
      <c r="H1315" s="8"/>
      <c r="I1315" s="10"/>
      <c r="J1315" s="10"/>
      <c r="K1315" s="18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</row>
    <row r="1316" ht="14.25" customHeight="1">
      <c r="A1316" s="9"/>
      <c r="B1316" s="8"/>
      <c r="C1316" s="8"/>
      <c r="D1316" s="8"/>
      <c r="E1316" s="8"/>
      <c r="F1316" s="8"/>
      <c r="G1316" s="8"/>
      <c r="H1316" s="8"/>
      <c r="I1316" s="10"/>
      <c r="J1316" s="10"/>
      <c r="K1316" s="18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</row>
    <row r="1317" ht="14.25" customHeight="1">
      <c r="A1317" s="9"/>
      <c r="B1317" s="8"/>
      <c r="C1317" s="8"/>
      <c r="D1317" s="8"/>
      <c r="E1317" s="8"/>
      <c r="F1317" s="8"/>
      <c r="G1317" s="8"/>
      <c r="H1317" s="8"/>
      <c r="I1317" s="10"/>
      <c r="J1317" s="10"/>
      <c r="K1317" s="18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</row>
    <row r="1318" ht="14.25" customHeight="1">
      <c r="A1318" s="9"/>
      <c r="B1318" s="8"/>
      <c r="C1318" s="8"/>
      <c r="D1318" s="8"/>
      <c r="E1318" s="8"/>
      <c r="F1318" s="8"/>
      <c r="G1318" s="8"/>
      <c r="H1318" s="8"/>
      <c r="I1318" s="10"/>
      <c r="J1318" s="10"/>
      <c r="K1318" s="18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</row>
    <row r="1319" ht="14.25" customHeight="1">
      <c r="A1319" s="9"/>
      <c r="B1319" s="8"/>
      <c r="C1319" s="8"/>
      <c r="D1319" s="8"/>
      <c r="E1319" s="8"/>
      <c r="F1319" s="8"/>
      <c r="G1319" s="8"/>
      <c r="H1319" s="8"/>
      <c r="I1319" s="10"/>
      <c r="J1319" s="10"/>
      <c r="K1319" s="18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</row>
    <row r="1320" ht="14.25" customHeight="1">
      <c r="A1320" s="9"/>
      <c r="B1320" s="8"/>
      <c r="C1320" s="8"/>
      <c r="D1320" s="8"/>
      <c r="E1320" s="8"/>
      <c r="F1320" s="8"/>
      <c r="G1320" s="8"/>
      <c r="H1320" s="8"/>
      <c r="I1320" s="10"/>
      <c r="J1320" s="10"/>
      <c r="K1320" s="18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</row>
    <row r="1321" ht="14.25" customHeight="1">
      <c r="A1321" s="9"/>
      <c r="B1321" s="8"/>
      <c r="C1321" s="8"/>
      <c r="D1321" s="8"/>
      <c r="E1321" s="8"/>
      <c r="F1321" s="8"/>
      <c r="G1321" s="8"/>
      <c r="H1321" s="8"/>
      <c r="I1321" s="10"/>
      <c r="J1321" s="10"/>
      <c r="K1321" s="18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</row>
    <row r="1322" ht="14.25" customHeight="1">
      <c r="A1322" s="9"/>
      <c r="B1322" s="8"/>
      <c r="C1322" s="8"/>
      <c r="D1322" s="8"/>
      <c r="E1322" s="8"/>
      <c r="F1322" s="8"/>
      <c r="G1322" s="8"/>
      <c r="H1322" s="8"/>
      <c r="I1322" s="10"/>
      <c r="J1322" s="10"/>
      <c r="K1322" s="18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</row>
    <row r="1323" ht="14.25" customHeight="1">
      <c r="A1323" s="9"/>
      <c r="B1323" s="8"/>
      <c r="C1323" s="8"/>
      <c r="D1323" s="8"/>
      <c r="E1323" s="8"/>
      <c r="F1323" s="8"/>
      <c r="G1323" s="8"/>
      <c r="H1323" s="8"/>
      <c r="I1323" s="10"/>
      <c r="J1323" s="10"/>
      <c r="K1323" s="18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</row>
    <row r="1324" ht="14.25" customHeight="1">
      <c r="A1324" s="9"/>
      <c r="B1324" s="8"/>
      <c r="C1324" s="8"/>
      <c r="D1324" s="8"/>
      <c r="E1324" s="8"/>
      <c r="F1324" s="8"/>
      <c r="G1324" s="8"/>
      <c r="H1324" s="8"/>
      <c r="I1324" s="10"/>
      <c r="J1324" s="10"/>
      <c r="K1324" s="18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</row>
    <row r="1325" ht="14.25" customHeight="1">
      <c r="A1325" s="9"/>
      <c r="B1325" s="8"/>
      <c r="C1325" s="8"/>
      <c r="D1325" s="8"/>
      <c r="E1325" s="8"/>
      <c r="F1325" s="8"/>
      <c r="G1325" s="8"/>
      <c r="H1325" s="8"/>
      <c r="I1325" s="10"/>
      <c r="J1325" s="10"/>
      <c r="K1325" s="18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</row>
    <row r="1326" ht="14.25" customHeight="1">
      <c r="A1326" s="9"/>
      <c r="B1326" s="8"/>
      <c r="C1326" s="8"/>
      <c r="D1326" s="8"/>
      <c r="E1326" s="8"/>
      <c r="F1326" s="8"/>
      <c r="G1326" s="8"/>
      <c r="H1326" s="8"/>
      <c r="I1326" s="10"/>
      <c r="J1326" s="10"/>
      <c r="K1326" s="18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</row>
    <row r="1327" ht="14.25" customHeight="1">
      <c r="A1327" s="9"/>
      <c r="B1327" s="8"/>
      <c r="C1327" s="8"/>
      <c r="D1327" s="8"/>
      <c r="E1327" s="8"/>
      <c r="F1327" s="8"/>
      <c r="G1327" s="8"/>
      <c r="H1327" s="8"/>
      <c r="I1327" s="10"/>
      <c r="J1327" s="10"/>
      <c r="K1327" s="18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</row>
    <row r="1328" ht="14.25" customHeight="1">
      <c r="A1328" s="9"/>
      <c r="B1328" s="8"/>
      <c r="C1328" s="8"/>
      <c r="D1328" s="8"/>
      <c r="E1328" s="8"/>
      <c r="F1328" s="8"/>
      <c r="G1328" s="8"/>
      <c r="H1328" s="8"/>
      <c r="I1328" s="10"/>
      <c r="J1328" s="10"/>
      <c r="K1328" s="18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</row>
    <row r="1329" ht="14.25" customHeight="1">
      <c r="A1329" s="9"/>
      <c r="B1329" s="8"/>
      <c r="C1329" s="8"/>
      <c r="D1329" s="8"/>
      <c r="E1329" s="8"/>
      <c r="F1329" s="8"/>
      <c r="G1329" s="8"/>
      <c r="H1329" s="8"/>
      <c r="I1329" s="10"/>
      <c r="J1329" s="10"/>
      <c r="K1329" s="18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</row>
    <row r="1330" ht="14.25" customHeight="1">
      <c r="A1330" s="9"/>
      <c r="B1330" s="8"/>
      <c r="C1330" s="8"/>
      <c r="D1330" s="8"/>
      <c r="E1330" s="8"/>
      <c r="F1330" s="8"/>
      <c r="G1330" s="8"/>
      <c r="H1330" s="8"/>
      <c r="I1330" s="10"/>
      <c r="J1330" s="10"/>
      <c r="K1330" s="18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</row>
    <row r="1331" ht="14.25" customHeight="1">
      <c r="A1331" s="9"/>
      <c r="B1331" s="8"/>
      <c r="C1331" s="8"/>
      <c r="D1331" s="8"/>
      <c r="E1331" s="8"/>
      <c r="F1331" s="8"/>
      <c r="G1331" s="8"/>
      <c r="H1331" s="8"/>
      <c r="I1331" s="10"/>
      <c r="J1331" s="10"/>
      <c r="K1331" s="18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</row>
    <row r="1332" ht="14.25" customHeight="1">
      <c r="A1332" s="9"/>
      <c r="B1332" s="8"/>
      <c r="C1332" s="8"/>
      <c r="D1332" s="8"/>
      <c r="E1332" s="8"/>
      <c r="F1332" s="8"/>
      <c r="G1332" s="8"/>
      <c r="H1332" s="8"/>
      <c r="I1332" s="10"/>
      <c r="J1332" s="10"/>
      <c r="K1332" s="18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</row>
    <row r="1333" ht="14.25" customHeight="1">
      <c r="A1333" s="9"/>
      <c r="B1333" s="8"/>
      <c r="C1333" s="8"/>
      <c r="D1333" s="8"/>
      <c r="E1333" s="8"/>
      <c r="F1333" s="8"/>
      <c r="G1333" s="8"/>
      <c r="H1333" s="8"/>
      <c r="I1333" s="10"/>
      <c r="J1333" s="10"/>
      <c r="K1333" s="18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</row>
    <row r="1334" ht="14.25" customHeight="1">
      <c r="A1334" s="9"/>
      <c r="B1334" s="8"/>
      <c r="C1334" s="8"/>
      <c r="D1334" s="8"/>
      <c r="E1334" s="8"/>
      <c r="F1334" s="8"/>
      <c r="G1334" s="8"/>
      <c r="H1334" s="8"/>
      <c r="I1334" s="10"/>
      <c r="J1334" s="10"/>
      <c r="K1334" s="18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</row>
    <row r="1335" ht="14.25" customHeight="1">
      <c r="A1335" s="9"/>
      <c r="B1335" s="8"/>
      <c r="C1335" s="8"/>
      <c r="D1335" s="8"/>
      <c r="E1335" s="8"/>
      <c r="F1335" s="8"/>
      <c r="G1335" s="8"/>
      <c r="H1335" s="8"/>
      <c r="I1335" s="10"/>
      <c r="J1335" s="10"/>
      <c r="K1335" s="18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</row>
    <row r="1336" ht="14.25" customHeight="1">
      <c r="A1336" s="9"/>
      <c r="B1336" s="8"/>
      <c r="C1336" s="8"/>
      <c r="D1336" s="8"/>
      <c r="E1336" s="8"/>
      <c r="F1336" s="8"/>
      <c r="G1336" s="8"/>
      <c r="H1336" s="8"/>
      <c r="I1336" s="10"/>
      <c r="J1336" s="10"/>
      <c r="K1336" s="18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</row>
    <row r="1337" ht="14.25" customHeight="1">
      <c r="A1337" s="9"/>
      <c r="B1337" s="8"/>
      <c r="C1337" s="8"/>
      <c r="D1337" s="8"/>
      <c r="E1337" s="8"/>
      <c r="F1337" s="8"/>
      <c r="G1337" s="8"/>
      <c r="H1337" s="8"/>
      <c r="I1337" s="10"/>
      <c r="J1337" s="10"/>
      <c r="K1337" s="18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</row>
    <row r="1338" ht="14.25" customHeight="1">
      <c r="A1338" s="9"/>
      <c r="B1338" s="8"/>
      <c r="C1338" s="8"/>
      <c r="D1338" s="8"/>
      <c r="E1338" s="8"/>
      <c r="F1338" s="8"/>
      <c r="G1338" s="8"/>
      <c r="H1338" s="8"/>
      <c r="I1338" s="10"/>
      <c r="J1338" s="10"/>
      <c r="K1338" s="18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</row>
    <row r="1339" ht="14.25" customHeight="1">
      <c r="A1339" s="9"/>
      <c r="B1339" s="8"/>
      <c r="C1339" s="8"/>
      <c r="D1339" s="8"/>
      <c r="E1339" s="8"/>
      <c r="F1339" s="8"/>
      <c r="G1339" s="8"/>
      <c r="H1339" s="8"/>
      <c r="I1339" s="10"/>
      <c r="J1339" s="10"/>
      <c r="K1339" s="18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</row>
    <row r="1340" ht="14.25" customHeight="1">
      <c r="A1340" s="9"/>
      <c r="B1340" s="8"/>
      <c r="C1340" s="8"/>
      <c r="D1340" s="8"/>
      <c r="E1340" s="8"/>
      <c r="F1340" s="8"/>
      <c r="G1340" s="8"/>
      <c r="H1340" s="8"/>
      <c r="I1340" s="10"/>
      <c r="J1340" s="10"/>
      <c r="K1340" s="18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</row>
    <row r="1341" ht="14.25" customHeight="1">
      <c r="A1341" s="9"/>
      <c r="B1341" s="8"/>
      <c r="C1341" s="8"/>
      <c r="D1341" s="8"/>
      <c r="E1341" s="8"/>
      <c r="F1341" s="8"/>
      <c r="G1341" s="8"/>
      <c r="H1341" s="8"/>
      <c r="I1341" s="10"/>
      <c r="J1341" s="10"/>
      <c r="K1341" s="18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</row>
    <row r="1342" ht="14.25" customHeight="1">
      <c r="A1342" s="9"/>
      <c r="B1342" s="8"/>
      <c r="C1342" s="8"/>
      <c r="D1342" s="8"/>
      <c r="E1342" s="8"/>
      <c r="F1342" s="8"/>
      <c r="G1342" s="8"/>
      <c r="H1342" s="8"/>
      <c r="I1342" s="10"/>
      <c r="J1342" s="10"/>
      <c r="K1342" s="18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</row>
    <row r="1343" ht="14.25" customHeight="1">
      <c r="A1343" s="9"/>
      <c r="B1343" s="8"/>
      <c r="C1343" s="8"/>
      <c r="D1343" s="8"/>
      <c r="E1343" s="8"/>
      <c r="F1343" s="8"/>
      <c r="G1343" s="8"/>
      <c r="H1343" s="8"/>
      <c r="I1343" s="10"/>
      <c r="J1343" s="10"/>
      <c r="K1343" s="18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</row>
    <row r="1344" ht="14.25" customHeight="1">
      <c r="A1344" s="9"/>
      <c r="B1344" s="8"/>
      <c r="C1344" s="8"/>
      <c r="D1344" s="8"/>
      <c r="E1344" s="8"/>
      <c r="F1344" s="8"/>
      <c r="G1344" s="8"/>
      <c r="H1344" s="8"/>
      <c r="I1344" s="10"/>
      <c r="J1344" s="10"/>
      <c r="K1344" s="18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</row>
    <row r="1345" ht="14.25" customHeight="1">
      <c r="A1345" s="9"/>
      <c r="B1345" s="8"/>
      <c r="C1345" s="8"/>
      <c r="D1345" s="8"/>
      <c r="E1345" s="8"/>
      <c r="F1345" s="8"/>
      <c r="G1345" s="8"/>
      <c r="H1345" s="8"/>
      <c r="I1345" s="10"/>
      <c r="J1345" s="10"/>
      <c r="K1345" s="18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</row>
    <row r="1346" ht="14.25" customHeight="1">
      <c r="A1346" s="9"/>
      <c r="B1346" s="8"/>
      <c r="C1346" s="8"/>
      <c r="D1346" s="8"/>
      <c r="E1346" s="8"/>
      <c r="F1346" s="8"/>
      <c r="G1346" s="8"/>
      <c r="H1346" s="8"/>
      <c r="I1346" s="10"/>
      <c r="J1346" s="10"/>
      <c r="K1346" s="18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</row>
    <row r="1347" ht="14.25" customHeight="1">
      <c r="A1347" s="9"/>
      <c r="B1347" s="8"/>
      <c r="C1347" s="8"/>
      <c r="D1347" s="8"/>
      <c r="E1347" s="8"/>
      <c r="F1347" s="8"/>
      <c r="G1347" s="8"/>
      <c r="H1347" s="8"/>
      <c r="I1347" s="10"/>
      <c r="J1347" s="10"/>
      <c r="K1347" s="18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</row>
    <row r="1348" ht="14.25" customHeight="1">
      <c r="A1348" s="9"/>
      <c r="B1348" s="8"/>
      <c r="C1348" s="8"/>
      <c r="D1348" s="8"/>
      <c r="E1348" s="8"/>
      <c r="F1348" s="8"/>
      <c r="G1348" s="8"/>
      <c r="H1348" s="8"/>
      <c r="I1348" s="10"/>
      <c r="J1348" s="10"/>
      <c r="K1348" s="18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</row>
    <row r="1349" ht="14.25" customHeight="1">
      <c r="A1349" s="9"/>
      <c r="B1349" s="8"/>
      <c r="C1349" s="8"/>
      <c r="D1349" s="8"/>
      <c r="E1349" s="8"/>
      <c r="F1349" s="8"/>
      <c r="G1349" s="8"/>
      <c r="H1349" s="8"/>
      <c r="I1349" s="10"/>
      <c r="J1349" s="10"/>
      <c r="K1349" s="18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</row>
    <row r="1350" ht="14.25" customHeight="1">
      <c r="A1350" s="9"/>
      <c r="B1350" s="8"/>
      <c r="C1350" s="8"/>
      <c r="D1350" s="8"/>
      <c r="E1350" s="8"/>
      <c r="F1350" s="8"/>
      <c r="G1350" s="8"/>
      <c r="H1350" s="8"/>
      <c r="I1350" s="10"/>
      <c r="J1350" s="10"/>
      <c r="K1350" s="18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</row>
    <row r="1351" ht="14.25" customHeight="1">
      <c r="A1351" s="9"/>
      <c r="B1351" s="8"/>
      <c r="C1351" s="8"/>
      <c r="D1351" s="8"/>
      <c r="E1351" s="8"/>
      <c r="F1351" s="8"/>
      <c r="G1351" s="8"/>
      <c r="H1351" s="8"/>
      <c r="I1351" s="10"/>
      <c r="J1351" s="10"/>
      <c r="K1351" s="18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</row>
    <row r="1352" ht="14.25" customHeight="1">
      <c r="A1352" s="9"/>
      <c r="B1352" s="8"/>
      <c r="C1352" s="8"/>
      <c r="D1352" s="8"/>
      <c r="E1352" s="8"/>
      <c r="F1352" s="8"/>
      <c r="G1352" s="8"/>
      <c r="H1352" s="8"/>
      <c r="I1352" s="10"/>
      <c r="J1352" s="10"/>
      <c r="K1352" s="18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</row>
    <row r="1353" ht="14.25" customHeight="1">
      <c r="A1353" s="9"/>
      <c r="B1353" s="8"/>
      <c r="C1353" s="8"/>
      <c r="D1353" s="8"/>
      <c r="E1353" s="8"/>
      <c r="F1353" s="8"/>
      <c r="G1353" s="8"/>
      <c r="H1353" s="8"/>
      <c r="I1353" s="10"/>
      <c r="J1353" s="10"/>
      <c r="K1353" s="18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</row>
    <row r="1354" ht="14.25" customHeight="1">
      <c r="A1354" s="9"/>
      <c r="B1354" s="8"/>
      <c r="C1354" s="8"/>
      <c r="D1354" s="8"/>
      <c r="E1354" s="8"/>
      <c r="F1354" s="8"/>
      <c r="G1354" s="8"/>
      <c r="H1354" s="8"/>
      <c r="I1354" s="10"/>
      <c r="J1354" s="10"/>
      <c r="K1354" s="18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</row>
    <row r="1355" ht="14.25" customHeight="1">
      <c r="A1355" s="9"/>
      <c r="B1355" s="8"/>
      <c r="C1355" s="8"/>
      <c r="D1355" s="8"/>
      <c r="E1355" s="8"/>
      <c r="F1355" s="8"/>
      <c r="G1355" s="8"/>
      <c r="H1355" s="8"/>
      <c r="I1355" s="10"/>
      <c r="J1355" s="10"/>
      <c r="K1355" s="18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</row>
    <row r="1356" ht="14.25" customHeight="1">
      <c r="A1356" s="9"/>
      <c r="B1356" s="8"/>
      <c r="C1356" s="8"/>
      <c r="D1356" s="8"/>
      <c r="E1356" s="8"/>
      <c r="F1356" s="8"/>
      <c r="G1356" s="8"/>
      <c r="H1356" s="8"/>
      <c r="I1356" s="10"/>
      <c r="J1356" s="10"/>
      <c r="K1356" s="18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</row>
    <row r="1357" ht="14.25" customHeight="1">
      <c r="A1357" s="9"/>
      <c r="B1357" s="8"/>
      <c r="C1357" s="8"/>
      <c r="D1357" s="8"/>
      <c r="E1357" s="8"/>
      <c r="F1357" s="8"/>
      <c r="G1357" s="8"/>
      <c r="H1357" s="8"/>
      <c r="I1357" s="10"/>
      <c r="J1357" s="10"/>
      <c r="K1357" s="18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</row>
    <row r="1358" ht="14.25" customHeight="1">
      <c r="A1358" s="9"/>
      <c r="B1358" s="8"/>
      <c r="C1358" s="8"/>
      <c r="D1358" s="8"/>
      <c r="E1358" s="8"/>
      <c r="F1358" s="8"/>
      <c r="G1358" s="8"/>
      <c r="H1358" s="8"/>
      <c r="I1358" s="10"/>
      <c r="J1358" s="10"/>
      <c r="K1358" s="18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</row>
    <row r="1359" ht="14.25" customHeight="1">
      <c r="A1359" s="9"/>
      <c r="B1359" s="8"/>
      <c r="C1359" s="8"/>
      <c r="D1359" s="8"/>
      <c r="E1359" s="8"/>
      <c r="F1359" s="8"/>
      <c r="G1359" s="8"/>
      <c r="H1359" s="8"/>
      <c r="I1359" s="10"/>
      <c r="J1359" s="10"/>
      <c r="K1359" s="18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</row>
    <row r="1360" ht="14.25" customHeight="1">
      <c r="A1360" s="9"/>
      <c r="B1360" s="8"/>
      <c r="C1360" s="8"/>
      <c r="D1360" s="8"/>
      <c r="E1360" s="8"/>
      <c r="F1360" s="8"/>
      <c r="G1360" s="8"/>
      <c r="H1360" s="8"/>
      <c r="I1360" s="10"/>
      <c r="J1360" s="10"/>
      <c r="K1360" s="18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</row>
    <row r="1361" ht="14.25" customHeight="1">
      <c r="A1361" s="9"/>
      <c r="B1361" s="8"/>
      <c r="C1361" s="8"/>
      <c r="D1361" s="8"/>
      <c r="E1361" s="8"/>
      <c r="F1361" s="8"/>
      <c r="G1361" s="8"/>
      <c r="H1361" s="8"/>
      <c r="I1361" s="10"/>
      <c r="J1361" s="10"/>
      <c r="K1361" s="18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</row>
    <row r="1362" ht="14.25" customHeight="1">
      <c r="A1362" s="9"/>
      <c r="B1362" s="8"/>
      <c r="C1362" s="8"/>
      <c r="D1362" s="8"/>
      <c r="E1362" s="8"/>
      <c r="F1362" s="8"/>
      <c r="G1362" s="8"/>
      <c r="H1362" s="8"/>
      <c r="I1362" s="10"/>
      <c r="J1362" s="10"/>
      <c r="K1362" s="18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</row>
    <row r="1363" ht="14.25" customHeight="1">
      <c r="A1363" s="9"/>
      <c r="B1363" s="8"/>
      <c r="C1363" s="8"/>
      <c r="D1363" s="8"/>
      <c r="E1363" s="8"/>
      <c r="F1363" s="8"/>
      <c r="G1363" s="8"/>
      <c r="H1363" s="8"/>
      <c r="I1363" s="10"/>
      <c r="J1363" s="10"/>
      <c r="K1363" s="18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</row>
    <row r="1364" ht="14.25" customHeight="1">
      <c r="A1364" s="9"/>
      <c r="B1364" s="8"/>
      <c r="C1364" s="8"/>
      <c r="D1364" s="8"/>
      <c r="E1364" s="8"/>
      <c r="F1364" s="8"/>
      <c r="G1364" s="8"/>
      <c r="H1364" s="8"/>
      <c r="I1364" s="10"/>
      <c r="J1364" s="10"/>
      <c r="K1364" s="18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</row>
    <row r="1365" ht="14.25" customHeight="1">
      <c r="A1365" s="9"/>
      <c r="B1365" s="8"/>
      <c r="C1365" s="8"/>
      <c r="D1365" s="8"/>
      <c r="E1365" s="8"/>
      <c r="F1365" s="8"/>
      <c r="G1365" s="8"/>
      <c r="H1365" s="8"/>
      <c r="I1365" s="10"/>
      <c r="J1365" s="10"/>
      <c r="K1365" s="18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</row>
    <row r="1366" ht="14.25" customHeight="1">
      <c r="A1366" s="9"/>
      <c r="B1366" s="8"/>
      <c r="C1366" s="8"/>
      <c r="D1366" s="8"/>
      <c r="E1366" s="8"/>
      <c r="F1366" s="8"/>
      <c r="G1366" s="8"/>
      <c r="H1366" s="8"/>
      <c r="I1366" s="10"/>
      <c r="J1366" s="10"/>
      <c r="K1366" s="18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</row>
    <row r="1367" ht="14.25" customHeight="1">
      <c r="A1367" s="9"/>
      <c r="B1367" s="8"/>
      <c r="C1367" s="8"/>
      <c r="D1367" s="8"/>
      <c r="E1367" s="8"/>
      <c r="F1367" s="8"/>
      <c r="G1367" s="8"/>
      <c r="H1367" s="8"/>
      <c r="I1367" s="10"/>
      <c r="J1367" s="10"/>
      <c r="K1367" s="18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</row>
    <row r="1368" ht="14.25" customHeight="1">
      <c r="A1368" s="9"/>
      <c r="B1368" s="8"/>
      <c r="C1368" s="8"/>
      <c r="D1368" s="8"/>
      <c r="E1368" s="8"/>
      <c r="F1368" s="8"/>
      <c r="G1368" s="8"/>
      <c r="H1368" s="8"/>
      <c r="I1368" s="10"/>
      <c r="J1368" s="10"/>
      <c r="K1368" s="18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</row>
    <row r="1369" ht="14.25" customHeight="1">
      <c r="A1369" s="9"/>
      <c r="B1369" s="8"/>
      <c r="C1369" s="8"/>
      <c r="D1369" s="8"/>
      <c r="E1369" s="8"/>
      <c r="F1369" s="8"/>
      <c r="G1369" s="8"/>
      <c r="H1369" s="8"/>
      <c r="I1369" s="10"/>
      <c r="J1369" s="10"/>
      <c r="K1369" s="18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</row>
    <row r="1370" ht="14.25" customHeight="1">
      <c r="A1370" s="9"/>
      <c r="B1370" s="8"/>
      <c r="C1370" s="8"/>
      <c r="D1370" s="8"/>
      <c r="E1370" s="8"/>
      <c r="F1370" s="8"/>
      <c r="G1370" s="8"/>
      <c r="H1370" s="8"/>
      <c r="I1370" s="10"/>
      <c r="J1370" s="10"/>
      <c r="K1370" s="18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</row>
    <row r="1371" ht="14.25" customHeight="1">
      <c r="A1371" s="9"/>
      <c r="B1371" s="8"/>
      <c r="C1371" s="8"/>
      <c r="D1371" s="8"/>
      <c r="E1371" s="8"/>
      <c r="F1371" s="8"/>
      <c r="G1371" s="8"/>
      <c r="H1371" s="8"/>
      <c r="I1371" s="10"/>
      <c r="J1371" s="10"/>
      <c r="K1371" s="18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</row>
    <row r="1372" ht="14.25" customHeight="1">
      <c r="A1372" s="9"/>
      <c r="B1372" s="8"/>
      <c r="C1372" s="8"/>
      <c r="D1372" s="8"/>
      <c r="E1372" s="8"/>
      <c r="F1372" s="8"/>
      <c r="G1372" s="8"/>
      <c r="H1372" s="8"/>
      <c r="I1372" s="10"/>
      <c r="J1372" s="10"/>
      <c r="K1372" s="18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</row>
    <row r="1373" ht="14.25" customHeight="1">
      <c r="A1373" s="9"/>
      <c r="B1373" s="8"/>
      <c r="C1373" s="8"/>
      <c r="D1373" s="8"/>
      <c r="E1373" s="8"/>
      <c r="F1373" s="8"/>
      <c r="G1373" s="8"/>
      <c r="H1373" s="8"/>
      <c r="I1373" s="10"/>
      <c r="J1373" s="10"/>
      <c r="K1373" s="18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</row>
    <row r="1374" ht="14.25" customHeight="1">
      <c r="A1374" s="9"/>
      <c r="B1374" s="8"/>
      <c r="C1374" s="8"/>
      <c r="D1374" s="8"/>
      <c r="E1374" s="8"/>
      <c r="F1374" s="8"/>
      <c r="G1374" s="8"/>
      <c r="H1374" s="8"/>
      <c r="I1374" s="10"/>
      <c r="J1374" s="10"/>
      <c r="K1374" s="18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</row>
    <row r="1375" ht="14.25" customHeight="1">
      <c r="A1375" s="9"/>
      <c r="B1375" s="8"/>
      <c r="C1375" s="8"/>
      <c r="D1375" s="8"/>
      <c r="E1375" s="8"/>
      <c r="F1375" s="8"/>
      <c r="G1375" s="8"/>
      <c r="H1375" s="8"/>
      <c r="I1375" s="10"/>
      <c r="J1375" s="10"/>
      <c r="K1375" s="18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</row>
    <row r="1376" ht="14.25" customHeight="1">
      <c r="A1376" s="9"/>
      <c r="B1376" s="8"/>
      <c r="C1376" s="8"/>
      <c r="D1376" s="8"/>
      <c r="E1376" s="8"/>
      <c r="F1376" s="8"/>
      <c r="G1376" s="8"/>
      <c r="H1376" s="8"/>
      <c r="I1376" s="10"/>
      <c r="J1376" s="10"/>
      <c r="K1376" s="18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</row>
    <row r="1377" ht="14.25" customHeight="1">
      <c r="A1377" s="9"/>
      <c r="B1377" s="8"/>
      <c r="C1377" s="8"/>
      <c r="D1377" s="8"/>
      <c r="E1377" s="8"/>
      <c r="F1377" s="8"/>
      <c r="G1377" s="8"/>
      <c r="H1377" s="8"/>
      <c r="I1377" s="10"/>
      <c r="J1377" s="10"/>
      <c r="K1377" s="18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</row>
    <row r="1378" ht="14.25" customHeight="1">
      <c r="A1378" s="9"/>
      <c r="B1378" s="8"/>
      <c r="C1378" s="8"/>
      <c r="D1378" s="8"/>
      <c r="E1378" s="8"/>
      <c r="F1378" s="8"/>
      <c r="G1378" s="8"/>
      <c r="H1378" s="8"/>
      <c r="I1378" s="10"/>
      <c r="J1378" s="10"/>
      <c r="K1378" s="18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</row>
    <row r="1379" ht="14.25" customHeight="1">
      <c r="A1379" s="9"/>
      <c r="B1379" s="8"/>
      <c r="C1379" s="8"/>
      <c r="D1379" s="8"/>
      <c r="E1379" s="8"/>
      <c r="F1379" s="8"/>
      <c r="G1379" s="8"/>
      <c r="H1379" s="8"/>
      <c r="I1379" s="10"/>
      <c r="J1379" s="10"/>
      <c r="K1379" s="18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</row>
    <row r="1380" ht="14.25" customHeight="1">
      <c r="A1380" s="9"/>
      <c r="B1380" s="8"/>
      <c r="C1380" s="8"/>
      <c r="D1380" s="8"/>
      <c r="E1380" s="8"/>
      <c r="F1380" s="8"/>
      <c r="G1380" s="8"/>
      <c r="H1380" s="8"/>
      <c r="I1380" s="10"/>
      <c r="J1380" s="10"/>
      <c r="K1380" s="18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</row>
    <row r="1381" ht="14.25" customHeight="1">
      <c r="A1381" s="9"/>
      <c r="B1381" s="8"/>
      <c r="C1381" s="8"/>
      <c r="D1381" s="8"/>
      <c r="E1381" s="8"/>
      <c r="F1381" s="8"/>
      <c r="G1381" s="8"/>
      <c r="H1381" s="8"/>
      <c r="I1381" s="10"/>
      <c r="J1381" s="10"/>
      <c r="K1381" s="18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</row>
    <row r="1382" ht="14.25" customHeight="1">
      <c r="A1382" s="9"/>
      <c r="B1382" s="8"/>
      <c r="C1382" s="8"/>
      <c r="D1382" s="8"/>
      <c r="E1382" s="8"/>
      <c r="F1382" s="8"/>
      <c r="G1382" s="8"/>
      <c r="H1382" s="8"/>
      <c r="I1382" s="10"/>
      <c r="J1382" s="10"/>
      <c r="K1382" s="18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</row>
    <row r="1383" ht="14.25" customHeight="1">
      <c r="A1383" s="9"/>
      <c r="B1383" s="8"/>
      <c r="C1383" s="8"/>
      <c r="D1383" s="8"/>
      <c r="E1383" s="8"/>
      <c r="F1383" s="8"/>
      <c r="G1383" s="8"/>
      <c r="H1383" s="8"/>
      <c r="I1383" s="10"/>
      <c r="J1383" s="10"/>
      <c r="K1383" s="18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</row>
    <row r="1384" ht="14.25" customHeight="1">
      <c r="A1384" s="9"/>
      <c r="B1384" s="8"/>
      <c r="C1384" s="8"/>
      <c r="D1384" s="8"/>
      <c r="E1384" s="8"/>
      <c r="F1384" s="8"/>
      <c r="G1384" s="8"/>
      <c r="H1384" s="8"/>
      <c r="I1384" s="10"/>
      <c r="J1384" s="10"/>
      <c r="K1384" s="18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</row>
    <row r="1385" ht="14.25" customHeight="1">
      <c r="A1385" s="9"/>
      <c r="B1385" s="8"/>
      <c r="C1385" s="8"/>
      <c r="D1385" s="8"/>
      <c r="E1385" s="8"/>
      <c r="F1385" s="8"/>
      <c r="G1385" s="8"/>
      <c r="H1385" s="8"/>
      <c r="I1385" s="10"/>
      <c r="J1385" s="10"/>
      <c r="K1385" s="18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</row>
    <row r="1386" ht="14.25" customHeight="1">
      <c r="A1386" s="9"/>
      <c r="B1386" s="8"/>
      <c r="C1386" s="8"/>
      <c r="D1386" s="8"/>
      <c r="E1386" s="8"/>
      <c r="F1386" s="8"/>
      <c r="G1386" s="8"/>
      <c r="H1386" s="8"/>
      <c r="I1386" s="10"/>
      <c r="J1386" s="10"/>
      <c r="K1386" s="18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</row>
    <row r="1387" ht="14.25" customHeight="1">
      <c r="A1387" s="9"/>
      <c r="B1387" s="8"/>
      <c r="C1387" s="8"/>
      <c r="D1387" s="8"/>
      <c r="E1387" s="8"/>
      <c r="F1387" s="8"/>
      <c r="G1387" s="8"/>
      <c r="H1387" s="8"/>
      <c r="I1387" s="10"/>
      <c r="J1387" s="10"/>
      <c r="K1387" s="18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</row>
    <row r="1388" ht="14.25" customHeight="1">
      <c r="A1388" s="9"/>
      <c r="B1388" s="8"/>
      <c r="C1388" s="8"/>
      <c r="D1388" s="8"/>
      <c r="E1388" s="8"/>
      <c r="F1388" s="8"/>
      <c r="G1388" s="8"/>
      <c r="H1388" s="8"/>
      <c r="I1388" s="10"/>
      <c r="J1388" s="10"/>
      <c r="K1388" s="18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</row>
    <row r="1389" ht="14.25" customHeight="1">
      <c r="A1389" s="9"/>
      <c r="B1389" s="8"/>
      <c r="C1389" s="8"/>
      <c r="D1389" s="8"/>
      <c r="E1389" s="8"/>
      <c r="F1389" s="8"/>
      <c r="G1389" s="8"/>
      <c r="H1389" s="8"/>
      <c r="I1389" s="10"/>
      <c r="J1389" s="10"/>
      <c r="K1389" s="18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</row>
    <row r="1390" ht="14.25" customHeight="1">
      <c r="A1390" s="9"/>
      <c r="B1390" s="8"/>
      <c r="C1390" s="8"/>
      <c r="D1390" s="8"/>
      <c r="E1390" s="8"/>
      <c r="F1390" s="8"/>
      <c r="G1390" s="8"/>
      <c r="H1390" s="8"/>
      <c r="I1390" s="10"/>
      <c r="J1390" s="10"/>
      <c r="K1390" s="18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</row>
    <row r="1391" ht="14.25" customHeight="1">
      <c r="A1391" s="9"/>
      <c r="B1391" s="8"/>
      <c r="C1391" s="8"/>
      <c r="D1391" s="8"/>
      <c r="E1391" s="8"/>
      <c r="F1391" s="8"/>
      <c r="G1391" s="8"/>
      <c r="H1391" s="8"/>
      <c r="I1391" s="10"/>
      <c r="J1391" s="10"/>
      <c r="K1391" s="18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</row>
    <row r="1392" ht="14.25" customHeight="1">
      <c r="A1392" s="9"/>
      <c r="B1392" s="8"/>
      <c r="C1392" s="8"/>
      <c r="D1392" s="8"/>
      <c r="E1392" s="8"/>
      <c r="F1392" s="8"/>
      <c r="G1392" s="8"/>
      <c r="H1392" s="8"/>
      <c r="I1392" s="10"/>
      <c r="J1392" s="10"/>
      <c r="K1392" s="18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</row>
    <row r="1393" ht="14.25" customHeight="1">
      <c r="A1393" s="9"/>
      <c r="B1393" s="8"/>
      <c r="C1393" s="8"/>
      <c r="D1393" s="8"/>
      <c r="E1393" s="8"/>
      <c r="F1393" s="8"/>
      <c r="G1393" s="8"/>
      <c r="H1393" s="8"/>
      <c r="I1393" s="10"/>
      <c r="J1393" s="10"/>
      <c r="K1393" s="18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</row>
    <row r="1394" ht="14.25" customHeight="1">
      <c r="A1394" s="9"/>
      <c r="B1394" s="8"/>
      <c r="C1394" s="8"/>
      <c r="D1394" s="8"/>
      <c r="E1394" s="8"/>
      <c r="F1394" s="8"/>
      <c r="G1394" s="8"/>
      <c r="H1394" s="8"/>
      <c r="I1394" s="10"/>
      <c r="J1394" s="10"/>
      <c r="K1394" s="18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</row>
    <row r="1395" ht="14.25" customHeight="1">
      <c r="A1395" s="9"/>
      <c r="B1395" s="8"/>
      <c r="C1395" s="8"/>
      <c r="D1395" s="8"/>
      <c r="E1395" s="8"/>
      <c r="F1395" s="8"/>
      <c r="G1395" s="8"/>
      <c r="H1395" s="8"/>
      <c r="I1395" s="10"/>
      <c r="J1395" s="10"/>
      <c r="K1395" s="18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</row>
    <row r="1396" ht="14.25" customHeight="1">
      <c r="A1396" s="9"/>
      <c r="B1396" s="8"/>
      <c r="C1396" s="8"/>
      <c r="D1396" s="8"/>
      <c r="E1396" s="8"/>
      <c r="F1396" s="8"/>
      <c r="G1396" s="8"/>
      <c r="H1396" s="8"/>
      <c r="I1396" s="10"/>
      <c r="J1396" s="10"/>
      <c r="K1396" s="18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</row>
    <row r="1397" ht="14.25" customHeight="1">
      <c r="A1397" s="9"/>
      <c r="B1397" s="8"/>
      <c r="C1397" s="8"/>
      <c r="D1397" s="8"/>
      <c r="E1397" s="8"/>
      <c r="F1397" s="8"/>
      <c r="G1397" s="8"/>
      <c r="H1397" s="8"/>
      <c r="I1397" s="10"/>
      <c r="J1397" s="10"/>
      <c r="K1397" s="18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</row>
    <row r="1398" ht="14.25" customHeight="1">
      <c r="A1398" s="9"/>
      <c r="B1398" s="8"/>
      <c r="C1398" s="8"/>
      <c r="D1398" s="8"/>
      <c r="E1398" s="8"/>
      <c r="F1398" s="8"/>
      <c r="G1398" s="8"/>
      <c r="H1398" s="8"/>
      <c r="I1398" s="10"/>
      <c r="J1398" s="10"/>
      <c r="K1398" s="18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</row>
    <row r="1399" ht="14.25" customHeight="1">
      <c r="A1399" s="9"/>
      <c r="B1399" s="8"/>
      <c r="C1399" s="8"/>
      <c r="D1399" s="8"/>
      <c r="E1399" s="8"/>
      <c r="F1399" s="8"/>
      <c r="G1399" s="8"/>
      <c r="H1399" s="8"/>
      <c r="I1399" s="10"/>
      <c r="J1399" s="10"/>
      <c r="K1399" s="18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</row>
    <row r="1400" ht="14.25" customHeight="1">
      <c r="A1400" s="9"/>
      <c r="B1400" s="8"/>
      <c r="C1400" s="8"/>
      <c r="D1400" s="8"/>
      <c r="E1400" s="8"/>
      <c r="F1400" s="8"/>
      <c r="G1400" s="8"/>
      <c r="H1400" s="8"/>
      <c r="I1400" s="10"/>
      <c r="J1400" s="10"/>
      <c r="K1400" s="18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</row>
    <row r="1401" ht="14.25" customHeight="1">
      <c r="A1401" s="9"/>
      <c r="B1401" s="8"/>
      <c r="C1401" s="8"/>
      <c r="D1401" s="8"/>
      <c r="E1401" s="8"/>
      <c r="F1401" s="8"/>
      <c r="G1401" s="8"/>
      <c r="H1401" s="8"/>
      <c r="I1401" s="10"/>
      <c r="J1401" s="10"/>
      <c r="K1401" s="18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</row>
    <row r="1402" ht="14.25" customHeight="1">
      <c r="A1402" s="9"/>
      <c r="B1402" s="8"/>
      <c r="C1402" s="8"/>
      <c r="D1402" s="8"/>
      <c r="E1402" s="8"/>
      <c r="F1402" s="8"/>
      <c r="G1402" s="8"/>
      <c r="H1402" s="8"/>
      <c r="I1402" s="10"/>
      <c r="J1402" s="10"/>
      <c r="K1402" s="18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</row>
    <row r="1403" ht="14.25" customHeight="1">
      <c r="A1403" s="9"/>
      <c r="B1403" s="8"/>
      <c r="C1403" s="8"/>
      <c r="D1403" s="8"/>
      <c r="E1403" s="8"/>
      <c r="F1403" s="8"/>
      <c r="G1403" s="8"/>
      <c r="H1403" s="8"/>
      <c r="I1403" s="10"/>
      <c r="J1403" s="10"/>
      <c r="K1403" s="18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</row>
    <row r="1404" ht="14.25" customHeight="1">
      <c r="A1404" s="9"/>
      <c r="B1404" s="8"/>
      <c r="C1404" s="8"/>
      <c r="D1404" s="8"/>
      <c r="E1404" s="8"/>
      <c r="F1404" s="8"/>
      <c r="G1404" s="8"/>
      <c r="H1404" s="8"/>
      <c r="I1404" s="10"/>
      <c r="J1404" s="10"/>
      <c r="K1404" s="18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</row>
    <row r="1405" ht="14.25" customHeight="1">
      <c r="A1405" s="9"/>
      <c r="B1405" s="8"/>
      <c r="C1405" s="8"/>
      <c r="D1405" s="8"/>
      <c r="E1405" s="8"/>
      <c r="F1405" s="8"/>
      <c r="G1405" s="8"/>
      <c r="H1405" s="8"/>
      <c r="I1405" s="10"/>
      <c r="J1405" s="10"/>
      <c r="K1405" s="18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</row>
    <row r="1406" ht="14.25" customHeight="1">
      <c r="A1406" s="9"/>
      <c r="B1406" s="8"/>
      <c r="C1406" s="8"/>
      <c r="D1406" s="8"/>
      <c r="E1406" s="8"/>
      <c r="F1406" s="8"/>
      <c r="G1406" s="8"/>
      <c r="H1406" s="8"/>
      <c r="I1406" s="10"/>
      <c r="J1406" s="10"/>
      <c r="K1406" s="18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</row>
    <row r="1407" ht="14.25" customHeight="1">
      <c r="A1407" s="9"/>
      <c r="B1407" s="8"/>
      <c r="C1407" s="8"/>
      <c r="D1407" s="8"/>
      <c r="E1407" s="8"/>
      <c r="F1407" s="8"/>
      <c r="G1407" s="8"/>
      <c r="H1407" s="8"/>
      <c r="I1407" s="10"/>
      <c r="J1407" s="10"/>
      <c r="K1407" s="18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</row>
    <row r="1408" ht="14.25" customHeight="1">
      <c r="A1408" s="9"/>
      <c r="B1408" s="8"/>
      <c r="C1408" s="8"/>
      <c r="D1408" s="8"/>
      <c r="E1408" s="8"/>
      <c r="F1408" s="8"/>
      <c r="G1408" s="8"/>
      <c r="H1408" s="8"/>
      <c r="I1408" s="10"/>
      <c r="J1408" s="10"/>
      <c r="K1408" s="18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</row>
    <row r="1409" ht="14.25" customHeight="1">
      <c r="A1409" s="9"/>
      <c r="B1409" s="8"/>
      <c r="C1409" s="8"/>
      <c r="D1409" s="8"/>
      <c r="E1409" s="8"/>
      <c r="F1409" s="8"/>
      <c r="G1409" s="8"/>
      <c r="H1409" s="8"/>
      <c r="I1409" s="10"/>
      <c r="J1409" s="10"/>
      <c r="K1409" s="18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</row>
    <row r="1410" ht="14.25" customHeight="1">
      <c r="A1410" s="9"/>
      <c r="B1410" s="8"/>
      <c r="C1410" s="8"/>
      <c r="D1410" s="8"/>
      <c r="E1410" s="8"/>
      <c r="F1410" s="8"/>
      <c r="G1410" s="8"/>
      <c r="H1410" s="8"/>
      <c r="I1410" s="10"/>
      <c r="J1410" s="10"/>
      <c r="K1410" s="18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</row>
    <row r="1411" ht="14.25" customHeight="1">
      <c r="A1411" s="9"/>
      <c r="B1411" s="8"/>
      <c r="C1411" s="8"/>
      <c r="D1411" s="8"/>
      <c r="E1411" s="8"/>
      <c r="F1411" s="8"/>
      <c r="G1411" s="8"/>
      <c r="H1411" s="8"/>
      <c r="I1411" s="10"/>
      <c r="J1411" s="10"/>
      <c r="K1411" s="18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</row>
    <row r="1412" ht="14.25" customHeight="1">
      <c r="A1412" s="9"/>
      <c r="B1412" s="8"/>
      <c r="C1412" s="8"/>
      <c r="D1412" s="8"/>
      <c r="E1412" s="8"/>
      <c r="F1412" s="8"/>
      <c r="G1412" s="8"/>
      <c r="H1412" s="8"/>
      <c r="I1412" s="10"/>
      <c r="J1412" s="10"/>
      <c r="K1412" s="18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</row>
    <row r="1413" ht="14.25" customHeight="1">
      <c r="A1413" s="9"/>
      <c r="B1413" s="8"/>
      <c r="C1413" s="8"/>
      <c r="D1413" s="8"/>
      <c r="E1413" s="8"/>
      <c r="F1413" s="8"/>
      <c r="G1413" s="8"/>
      <c r="H1413" s="8"/>
      <c r="I1413" s="10"/>
      <c r="J1413" s="10"/>
      <c r="K1413" s="18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</row>
    <row r="1414" ht="14.25" customHeight="1">
      <c r="A1414" s="9"/>
      <c r="B1414" s="8"/>
      <c r="C1414" s="8"/>
      <c r="D1414" s="8"/>
      <c r="E1414" s="8"/>
      <c r="F1414" s="8"/>
      <c r="G1414" s="8"/>
      <c r="H1414" s="8"/>
      <c r="I1414" s="10"/>
      <c r="J1414" s="10"/>
      <c r="K1414" s="18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</row>
    <row r="1415" ht="14.25" customHeight="1">
      <c r="A1415" s="9"/>
      <c r="B1415" s="8"/>
      <c r="C1415" s="8"/>
      <c r="D1415" s="8"/>
      <c r="E1415" s="8"/>
      <c r="F1415" s="8"/>
      <c r="G1415" s="8"/>
      <c r="H1415" s="8"/>
      <c r="I1415" s="10"/>
      <c r="J1415" s="10"/>
      <c r="K1415" s="18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</row>
    <row r="1416" ht="14.25" customHeight="1">
      <c r="A1416" s="9"/>
      <c r="B1416" s="8"/>
      <c r="C1416" s="8"/>
      <c r="D1416" s="8"/>
      <c r="E1416" s="8"/>
      <c r="F1416" s="8"/>
      <c r="G1416" s="8"/>
      <c r="H1416" s="8"/>
      <c r="I1416" s="10"/>
      <c r="J1416" s="10"/>
      <c r="K1416" s="18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</row>
    <row r="1417" ht="14.25" customHeight="1">
      <c r="A1417" s="9"/>
      <c r="B1417" s="8"/>
      <c r="C1417" s="8"/>
      <c r="D1417" s="8"/>
      <c r="E1417" s="8"/>
      <c r="F1417" s="8"/>
      <c r="G1417" s="8"/>
      <c r="H1417" s="8"/>
      <c r="I1417" s="10"/>
      <c r="J1417" s="10"/>
      <c r="K1417" s="18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</row>
    <row r="1418" ht="14.25" customHeight="1">
      <c r="A1418" s="9"/>
      <c r="B1418" s="8"/>
      <c r="C1418" s="8"/>
      <c r="D1418" s="8"/>
      <c r="E1418" s="8"/>
      <c r="F1418" s="8"/>
      <c r="G1418" s="8"/>
      <c r="H1418" s="8"/>
      <c r="I1418" s="10"/>
      <c r="J1418" s="10"/>
      <c r="K1418" s="18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</row>
    <row r="1419" ht="14.25" customHeight="1">
      <c r="A1419" s="9"/>
      <c r="B1419" s="8"/>
      <c r="C1419" s="8"/>
      <c r="D1419" s="8"/>
      <c r="E1419" s="8"/>
      <c r="F1419" s="8"/>
      <c r="G1419" s="8"/>
      <c r="H1419" s="8"/>
      <c r="I1419" s="10"/>
      <c r="J1419" s="10"/>
      <c r="K1419" s="18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</row>
    <row r="1420" ht="14.25" customHeight="1">
      <c r="A1420" s="9"/>
      <c r="B1420" s="8"/>
      <c r="C1420" s="8"/>
      <c r="D1420" s="8"/>
      <c r="E1420" s="8"/>
      <c r="F1420" s="8"/>
      <c r="G1420" s="8"/>
      <c r="H1420" s="8"/>
      <c r="I1420" s="10"/>
      <c r="J1420" s="10"/>
      <c r="K1420" s="18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</row>
    <row r="1421" ht="14.25" customHeight="1">
      <c r="A1421" s="9"/>
      <c r="B1421" s="8"/>
      <c r="C1421" s="8"/>
      <c r="D1421" s="8"/>
      <c r="E1421" s="8"/>
      <c r="F1421" s="8"/>
      <c r="G1421" s="8"/>
      <c r="H1421" s="8"/>
      <c r="I1421" s="10"/>
      <c r="J1421" s="10"/>
      <c r="K1421" s="18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</row>
    <row r="1422" ht="14.25" customHeight="1">
      <c r="A1422" s="9"/>
      <c r="B1422" s="8"/>
      <c r="C1422" s="8"/>
      <c r="D1422" s="8"/>
      <c r="E1422" s="8"/>
      <c r="F1422" s="8"/>
      <c r="G1422" s="8"/>
      <c r="H1422" s="8"/>
      <c r="I1422" s="10"/>
      <c r="J1422" s="10"/>
      <c r="K1422" s="18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</row>
    <row r="1423" ht="14.25" customHeight="1">
      <c r="A1423" s="9"/>
      <c r="B1423" s="8"/>
      <c r="C1423" s="8"/>
      <c r="D1423" s="8"/>
      <c r="E1423" s="8"/>
      <c r="F1423" s="8"/>
      <c r="G1423" s="8"/>
      <c r="H1423" s="8"/>
      <c r="I1423" s="10"/>
      <c r="J1423" s="10"/>
      <c r="K1423" s="18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</row>
    <row r="1424" ht="14.25" customHeight="1">
      <c r="A1424" s="9"/>
      <c r="B1424" s="8"/>
      <c r="C1424" s="8"/>
      <c r="D1424" s="8"/>
      <c r="E1424" s="8"/>
      <c r="F1424" s="8"/>
      <c r="G1424" s="8"/>
      <c r="H1424" s="8"/>
      <c r="I1424" s="10"/>
      <c r="J1424" s="10"/>
      <c r="K1424" s="18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</row>
    <row r="1425" ht="14.25" customHeight="1">
      <c r="A1425" s="9"/>
      <c r="B1425" s="8"/>
      <c r="C1425" s="8"/>
      <c r="D1425" s="8"/>
      <c r="E1425" s="8"/>
      <c r="F1425" s="8"/>
      <c r="G1425" s="8"/>
      <c r="H1425" s="8"/>
      <c r="I1425" s="10"/>
      <c r="J1425" s="10"/>
      <c r="K1425" s="18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</row>
    <row r="1426" ht="14.25" customHeight="1">
      <c r="A1426" s="9"/>
      <c r="B1426" s="8"/>
      <c r="C1426" s="8"/>
      <c r="D1426" s="8"/>
      <c r="E1426" s="8"/>
      <c r="F1426" s="8"/>
      <c r="G1426" s="8"/>
      <c r="H1426" s="8"/>
      <c r="I1426" s="10"/>
      <c r="J1426" s="10"/>
      <c r="K1426" s="18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</row>
    <row r="1427" ht="14.25" customHeight="1">
      <c r="A1427" s="9"/>
      <c r="B1427" s="8"/>
      <c r="C1427" s="8"/>
      <c r="D1427" s="8"/>
      <c r="E1427" s="8"/>
      <c r="F1427" s="8"/>
      <c r="G1427" s="8"/>
      <c r="H1427" s="8"/>
      <c r="I1427" s="10"/>
      <c r="J1427" s="10"/>
      <c r="K1427" s="18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</row>
    <row r="1428" ht="14.25" customHeight="1">
      <c r="A1428" s="9"/>
      <c r="B1428" s="8"/>
      <c r="C1428" s="8"/>
      <c r="D1428" s="8"/>
      <c r="E1428" s="8"/>
      <c r="F1428" s="8"/>
      <c r="G1428" s="8"/>
      <c r="H1428" s="8"/>
      <c r="I1428" s="10"/>
      <c r="J1428" s="10"/>
      <c r="K1428" s="18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</row>
    <row r="1429" ht="14.25" customHeight="1">
      <c r="A1429" s="9"/>
      <c r="B1429" s="8"/>
      <c r="C1429" s="8"/>
      <c r="D1429" s="8"/>
      <c r="E1429" s="8"/>
      <c r="F1429" s="8"/>
      <c r="G1429" s="8"/>
      <c r="H1429" s="8"/>
      <c r="I1429" s="10"/>
      <c r="J1429" s="10"/>
      <c r="K1429" s="18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</row>
    <row r="1430" ht="14.25" customHeight="1">
      <c r="A1430" s="9"/>
      <c r="B1430" s="8"/>
      <c r="C1430" s="8"/>
      <c r="D1430" s="8"/>
      <c r="E1430" s="8"/>
      <c r="F1430" s="8"/>
      <c r="G1430" s="8"/>
      <c r="H1430" s="8"/>
      <c r="I1430" s="10"/>
      <c r="J1430" s="10"/>
      <c r="K1430" s="18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</row>
    <row r="1431" ht="14.25" customHeight="1">
      <c r="A1431" s="9"/>
      <c r="B1431" s="8"/>
      <c r="C1431" s="8"/>
      <c r="D1431" s="8"/>
      <c r="E1431" s="8"/>
      <c r="F1431" s="8"/>
      <c r="G1431" s="8"/>
      <c r="H1431" s="8"/>
      <c r="I1431" s="10"/>
      <c r="J1431" s="10"/>
      <c r="K1431" s="18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</row>
    <row r="1432" ht="14.25" customHeight="1">
      <c r="A1432" s="9"/>
      <c r="B1432" s="8"/>
      <c r="C1432" s="8"/>
      <c r="D1432" s="8"/>
      <c r="E1432" s="8"/>
      <c r="F1432" s="8"/>
      <c r="G1432" s="8"/>
      <c r="H1432" s="8"/>
      <c r="I1432" s="10"/>
      <c r="J1432" s="10"/>
      <c r="K1432" s="18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</row>
    <row r="1433" ht="14.25" customHeight="1">
      <c r="A1433" s="9"/>
      <c r="B1433" s="8"/>
      <c r="C1433" s="8"/>
      <c r="D1433" s="8"/>
      <c r="E1433" s="8"/>
      <c r="F1433" s="8"/>
      <c r="G1433" s="8"/>
      <c r="H1433" s="8"/>
      <c r="I1433" s="10"/>
      <c r="J1433" s="10"/>
      <c r="K1433" s="18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</row>
    <row r="1434" ht="14.25" customHeight="1">
      <c r="A1434" s="9"/>
      <c r="B1434" s="8"/>
      <c r="C1434" s="8"/>
      <c r="D1434" s="8"/>
      <c r="E1434" s="8"/>
      <c r="F1434" s="8"/>
      <c r="G1434" s="8"/>
      <c r="H1434" s="8"/>
      <c r="I1434" s="10"/>
      <c r="J1434" s="10"/>
      <c r="K1434" s="18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</row>
    <row r="1435" ht="14.25" customHeight="1">
      <c r="A1435" s="9"/>
      <c r="B1435" s="8"/>
      <c r="C1435" s="8"/>
      <c r="D1435" s="8"/>
      <c r="E1435" s="8"/>
      <c r="F1435" s="8"/>
      <c r="G1435" s="8"/>
      <c r="H1435" s="8"/>
      <c r="I1435" s="10"/>
      <c r="J1435" s="10"/>
      <c r="K1435" s="18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</row>
    <row r="1436" ht="14.25" customHeight="1">
      <c r="A1436" s="9"/>
      <c r="B1436" s="8"/>
      <c r="C1436" s="8"/>
      <c r="D1436" s="8"/>
      <c r="E1436" s="8"/>
      <c r="F1436" s="8"/>
      <c r="G1436" s="8"/>
      <c r="H1436" s="8"/>
      <c r="I1436" s="10"/>
      <c r="J1436" s="10"/>
      <c r="K1436" s="18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</row>
    <row r="1437" ht="14.25" customHeight="1">
      <c r="A1437" s="9"/>
      <c r="B1437" s="8"/>
      <c r="C1437" s="8"/>
      <c r="D1437" s="8"/>
      <c r="E1437" s="8"/>
      <c r="F1437" s="8"/>
      <c r="G1437" s="8"/>
      <c r="H1437" s="8"/>
      <c r="I1437" s="10"/>
      <c r="J1437" s="10"/>
      <c r="K1437" s="18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</row>
    <row r="1438" ht="14.25" customHeight="1">
      <c r="A1438" s="9"/>
      <c r="B1438" s="8"/>
      <c r="C1438" s="8"/>
      <c r="D1438" s="8"/>
      <c r="E1438" s="8"/>
      <c r="F1438" s="8"/>
      <c r="G1438" s="8"/>
      <c r="H1438" s="8"/>
      <c r="I1438" s="10"/>
      <c r="J1438" s="10"/>
      <c r="K1438" s="18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</row>
    <row r="1439" ht="14.25" customHeight="1">
      <c r="A1439" s="9"/>
      <c r="B1439" s="8"/>
      <c r="C1439" s="8"/>
      <c r="D1439" s="8"/>
      <c r="E1439" s="8"/>
      <c r="F1439" s="8"/>
      <c r="G1439" s="8"/>
      <c r="H1439" s="8"/>
      <c r="I1439" s="10"/>
      <c r="J1439" s="10"/>
      <c r="K1439" s="18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</row>
    <row r="1440" ht="14.25" customHeight="1">
      <c r="A1440" s="9"/>
      <c r="B1440" s="8"/>
      <c r="C1440" s="8"/>
      <c r="D1440" s="8"/>
      <c r="E1440" s="8"/>
      <c r="F1440" s="8"/>
      <c r="G1440" s="8"/>
      <c r="H1440" s="8"/>
      <c r="I1440" s="10"/>
      <c r="J1440" s="10"/>
      <c r="K1440" s="18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</row>
    <row r="1441" ht="14.25" customHeight="1">
      <c r="A1441" s="9"/>
      <c r="B1441" s="8"/>
      <c r="C1441" s="8"/>
      <c r="D1441" s="8"/>
      <c r="E1441" s="8"/>
      <c r="F1441" s="8"/>
      <c r="G1441" s="8"/>
      <c r="H1441" s="8"/>
      <c r="I1441" s="10"/>
      <c r="J1441" s="10"/>
      <c r="K1441" s="18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</row>
    <row r="1442" ht="14.25" customHeight="1">
      <c r="A1442" s="9"/>
      <c r="B1442" s="8"/>
      <c r="C1442" s="8"/>
      <c r="D1442" s="8"/>
      <c r="E1442" s="8"/>
      <c r="F1442" s="8"/>
      <c r="G1442" s="8"/>
      <c r="H1442" s="8"/>
      <c r="I1442" s="10"/>
      <c r="J1442" s="10"/>
      <c r="K1442" s="18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</row>
    <row r="1443" ht="14.25" customHeight="1">
      <c r="A1443" s="9"/>
      <c r="B1443" s="8"/>
      <c r="C1443" s="8"/>
      <c r="D1443" s="8"/>
      <c r="E1443" s="8"/>
      <c r="F1443" s="8"/>
      <c r="G1443" s="8"/>
      <c r="H1443" s="8"/>
      <c r="I1443" s="10"/>
      <c r="J1443" s="10"/>
      <c r="K1443" s="18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</row>
    <row r="1444" ht="14.25" customHeight="1">
      <c r="A1444" s="9"/>
      <c r="B1444" s="8"/>
      <c r="C1444" s="8"/>
      <c r="D1444" s="8"/>
      <c r="E1444" s="8"/>
      <c r="F1444" s="8"/>
      <c r="G1444" s="8"/>
      <c r="H1444" s="8"/>
      <c r="I1444" s="10"/>
      <c r="J1444" s="10"/>
      <c r="K1444" s="18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</row>
    <row r="1445" ht="14.25" customHeight="1">
      <c r="A1445" s="9"/>
      <c r="B1445" s="8"/>
      <c r="C1445" s="8"/>
      <c r="D1445" s="8"/>
      <c r="E1445" s="8"/>
      <c r="F1445" s="8"/>
      <c r="G1445" s="8"/>
      <c r="H1445" s="8"/>
      <c r="I1445" s="10"/>
      <c r="J1445" s="10"/>
      <c r="K1445" s="18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</row>
    <row r="1446" ht="14.25" customHeight="1">
      <c r="A1446" s="9"/>
      <c r="B1446" s="8"/>
      <c r="C1446" s="8"/>
      <c r="D1446" s="8"/>
      <c r="E1446" s="8"/>
      <c r="F1446" s="8"/>
      <c r="G1446" s="8"/>
      <c r="H1446" s="8"/>
      <c r="I1446" s="10"/>
      <c r="J1446" s="10"/>
      <c r="K1446" s="18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</row>
    <row r="1447" ht="14.25" customHeight="1">
      <c r="A1447" s="9"/>
      <c r="B1447" s="8"/>
      <c r="C1447" s="8"/>
      <c r="D1447" s="8"/>
      <c r="E1447" s="8"/>
      <c r="F1447" s="8"/>
      <c r="G1447" s="8"/>
      <c r="H1447" s="8"/>
      <c r="I1447" s="10"/>
      <c r="J1447" s="10"/>
      <c r="K1447" s="18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</row>
    <row r="1448" ht="14.25" customHeight="1">
      <c r="A1448" s="9"/>
      <c r="B1448" s="8"/>
      <c r="C1448" s="8"/>
      <c r="D1448" s="8"/>
      <c r="E1448" s="8"/>
      <c r="F1448" s="8"/>
      <c r="G1448" s="8"/>
      <c r="H1448" s="8"/>
      <c r="I1448" s="10"/>
      <c r="J1448" s="10"/>
      <c r="K1448" s="18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</row>
    <row r="1449" ht="14.25" customHeight="1">
      <c r="A1449" s="9"/>
      <c r="B1449" s="8"/>
      <c r="C1449" s="8"/>
      <c r="D1449" s="8"/>
      <c r="E1449" s="8"/>
      <c r="F1449" s="8"/>
      <c r="G1449" s="8"/>
      <c r="H1449" s="8"/>
      <c r="I1449" s="10"/>
      <c r="J1449" s="10"/>
      <c r="K1449" s="18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</row>
    <row r="1450" ht="14.25" customHeight="1">
      <c r="A1450" s="9"/>
      <c r="B1450" s="8"/>
      <c r="C1450" s="8"/>
      <c r="D1450" s="8"/>
      <c r="E1450" s="8"/>
      <c r="F1450" s="8"/>
      <c r="G1450" s="8"/>
      <c r="H1450" s="8"/>
      <c r="I1450" s="10"/>
      <c r="J1450" s="10"/>
      <c r="K1450" s="18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</row>
    <row r="1451" ht="14.25" customHeight="1">
      <c r="A1451" s="9"/>
      <c r="B1451" s="8"/>
      <c r="C1451" s="8"/>
      <c r="D1451" s="8"/>
      <c r="E1451" s="8"/>
      <c r="F1451" s="8"/>
      <c r="G1451" s="8"/>
      <c r="H1451" s="8"/>
      <c r="I1451" s="10"/>
      <c r="J1451" s="10"/>
      <c r="K1451" s="18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</row>
    <row r="1452" ht="14.25" customHeight="1">
      <c r="A1452" s="9"/>
      <c r="B1452" s="8"/>
      <c r="C1452" s="8"/>
      <c r="D1452" s="8"/>
      <c r="E1452" s="8"/>
      <c r="F1452" s="8"/>
      <c r="G1452" s="8"/>
      <c r="H1452" s="8"/>
      <c r="I1452" s="10"/>
      <c r="J1452" s="10"/>
      <c r="K1452" s="18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</row>
    <row r="1453" ht="14.25" customHeight="1">
      <c r="A1453" s="9"/>
      <c r="B1453" s="8"/>
      <c r="C1453" s="8"/>
      <c r="D1453" s="8"/>
      <c r="E1453" s="8"/>
      <c r="F1453" s="8"/>
      <c r="G1453" s="8"/>
      <c r="H1453" s="8"/>
      <c r="I1453" s="10"/>
      <c r="J1453" s="10"/>
      <c r="K1453" s="18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</row>
    <row r="1454" ht="14.25" customHeight="1">
      <c r="A1454" s="9"/>
      <c r="B1454" s="8"/>
      <c r="C1454" s="8"/>
      <c r="D1454" s="8"/>
      <c r="E1454" s="8"/>
      <c r="F1454" s="8"/>
      <c r="G1454" s="8"/>
      <c r="H1454" s="8"/>
      <c r="I1454" s="10"/>
      <c r="J1454" s="10"/>
      <c r="K1454" s="18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</row>
    <row r="1455" ht="14.25" customHeight="1">
      <c r="A1455" s="9"/>
      <c r="B1455" s="8"/>
      <c r="C1455" s="8"/>
      <c r="D1455" s="8"/>
      <c r="E1455" s="8"/>
      <c r="F1455" s="8"/>
      <c r="G1455" s="8"/>
      <c r="H1455" s="8"/>
      <c r="I1455" s="10"/>
      <c r="J1455" s="10"/>
      <c r="K1455" s="18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</row>
    <row r="1456" ht="14.25" customHeight="1">
      <c r="A1456" s="9"/>
      <c r="B1456" s="8"/>
      <c r="C1456" s="8"/>
      <c r="D1456" s="8"/>
      <c r="E1456" s="8"/>
      <c r="F1456" s="8"/>
      <c r="G1456" s="8"/>
      <c r="H1456" s="8"/>
      <c r="I1456" s="10"/>
      <c r="J1456" s="10"/>
      <c r="K1456" s="18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</row>
    <row r="1457" ht="14.25" customHeight="1">
      <c r="A1457" s="9"/>
      <c r="B1457" s="8"/>
      <c r="C1457" s="8"/>
      <c r="D1457" s="8"/>
      <c r="E1457" s="8"/>
      <c r="F1457" s="8"/>
      <c r="G1457" s="8"/>
      <c r="H1457" s="8"/>
      <c r="I1457" s="10"/>
      <c r="J1457" s="10"/>
      <c r="K1457" s="18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</row>
    <row r="1458" ht="14.25" customHeight="1">
      <c r="A1458" s="9"/>
      <c r="B1458" s="8"/>
      <c r="C1458" s="8"/>
      <c r="D1458" s="8"/>
      <c r="E1458" s="8"/>
      <c r="F1458" s="8"/>
      <c r="G1458" s="8"/>
      <c r="H1458" s="8"/>
      <c r="I1458" s="10"/>
      <c r="J1458" s="10"/>
      <c r="K1458" s="18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</row>
    <row r="1459" ht="14.25" customHeight="1">
      <c r="A1459" s="9"/>
      <c r="B1459" s="8"/>
      <c r="C1459" s="8"/>
      <c r="D1459" s="8"/>
      <c r="E1459" s="8"/>
      <c r="F1459" s="8"/>
      <c r="G1459" s="8"/>
      <c r="H1459" s="8"/>
      <c r="I1459" s="10"/>
      <c r="J1459" s="10"/>
      <c r="K1459" s="18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</row>
    <row r="1460" ht="14.25" customHeight="1">
      <c r="A1460" s="9"/>
      <c r="B1460" s="8"/>
      <c r="C1460" s="8"/>
      <c r="D1460" s="8"/>
      <c r="E1460" s="8"/>
      <c r="F1460" s="8"/>
      <c r="G1460" s="8"/>
      <c r="H1460" s="8"/>
      <c r="I1460" s="10"/>
      <c r="J1460" s="10"/>
      <c r="K1460" s="18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</row>
    <row r="1461" ht="14.25" customHeight="1">
      <c r="A1461" s="9"/>
      <c r="B1461" s="8"/>
      <c r="C1461" s="8"/>
      <c r="D1461" s="8"/>
      <c r="E1461" s="8"/>
      <c r="F1461" s="8"/>
      <c r="G1461" s="8"/>
      <c r="H1461" s="8"/>
      <c r="I1461" s="10"/>
      <c r="J1461" s="10"/>
      <c r="K1461" s="18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</row>
    <row r="1462" ht="14.25" customHeight="1">
      <c r="A1462" s="9"/>
      <c r="B1462" s="8"/>
      <c r="C1462" s="8"/>
      <c r="D1462" s="8"/>
      <c r="E1462" s="8"/>
      <c r="F1462" s="8"/>
      <c r="G1462" s="8"/>
      <c r="H1462" s="8"/>
      <c r="I1462" s="10"/>
      <c r="J1462" s="10"/>
      <c r="K1462" s="18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</row>
    <row r="1463" ht="14.25" customHeight="1">
      <c r="A1463" s="9"/>
      <c r="B1463" s="8"/>
      <c r="C1463" s="8"/>
      <c r="D1463" s="8"/>
      <c r="E1463" s="8"/>
      <c r="F1463" s="8"/>
      <c r="G1463" s="8"/>
      <c r="H1463" s="8"/>
      <c r="I1463" s="10"/>
      <c r="J1463" s="10"/>
      <c r="K1463" s="18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</row>
    <row r="1464" ht="14.25" customHeight="1">
      <c r="A1464" s="9"/>
      <c r="B1464" s="8"/>
      <c r="C1464" s="8"/>
      <c r="D1464" s="8"/>
      <c r="E1464" s="8"/>
      <c r="F1464" s="8"/>
      <c r="G1464" s="8"/>
      <c r="H1464" s="8"/>
      <c r="I1464" s="10"/>
      <c r="J1464" s="10"/>
      <c r="K1464" s="18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</row>
    <row r="1465" ht="14.25" customHeight="1">
      <c r="A1465" s="9"/>
      <c r="B1465" s="8"/>
      <c r="C1465" s="8"/>
      <c r="D1465" s="8"/>
      <c r="E1465" s="8"/>
      <c r="F1465" s="8"/>
      <c r="G1465" s="8"/>
      <c r="H1465" s="8"/>
      <c r="I1465" s="10"/>
      <c r="J1465" s="10"/>
      <c r="K1465" s="18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</row>
    <row r="1466" ht="14.25" customHeight="1">
      <c r="A1466" s="9"/>
      <c r="B1466" s="8"/>
      <c r="C1466" s="8"/>
      <c r="D1466" s="8"/>
      <c r="E1466" s="8"/>
      <c r="F1466" s="8"/>
      <c r="G1466" s="8"/>
      <c r="H1466" s="8"/>
      <c r="I1466" s="10"/>
      <c r="J1466" s="10"/>
      <c r="K1466" s="18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</row>
    <row r="1467" ht="14.25" customHeight="1">
      <c r="A1467" s="9"/>
      <c r="B1467" s="8"/>
      <c r="C1467" s="8"/>
      <c r="D1467" s="8"/>
      <c r="E1467" s="8"/>
      <c r="F1467" s="8"/>
      <c r="G1467" s="8"/>
      <c r="H1467" s="8"/>
      <c r="I1467" s="10"/>
      <c r="J1467" s="10"/>
      <c r="K1467" s="18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</row>
    <row r="1468" ht="14.25" customHeight="1">
      <c r="A1468" s="9"/>
      <c r="B1468" s="8"/>
      <c r="C1468" s="8"/>
      <c r="D1468" s="8"/>
      <c r="E1468" s="8"/>
      <c r="F1468" s="8"/>
      <c r="G1468" s="8"/>
      <c r="H1468" s="8"/>
      <c r="I1468" s="10"/>
      <c r="J1468" s="10"/>
      <c r="K1468" s="18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</row>
    <row r="1469" ht="14.25" customHeight="1">
      <c r="A1469" s="9"/>
      <c r="B1469" s="8"/>
      <c r="C1469" s="8"/>
      <c r="D1469" s="8"/>
      <c r="E1469" s="8"/>
      <c r="F1469" s="8"/>
      <c r="G1469" s="8"/>
      <c r="H1469" s="8"/>
      <c r="I1469" s="10"/>
      <c r="J1469" s="10"/>
      <c r="K1469" s="18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</row>
    <row r="1470" ht="14.25" customHeight="1">
      <c r="A1470" s="9"/>
      <c r="B1470" s="8"/>
      <c r="C1470" s="8"/>
      <c r="D1470" s="8"/>
      <c r="E1470" s="8"/>
      <c r="F1470" s="8"/>
      <c r="G1470" s="8"/>
      <c r="H1470" s="8"/>
      <c r="I1470" s="10"/>
      <c r="J1470" s="10"/>
      <c r="K1470" s="18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</row>
    <row r="1471" ht="14.25" customHeight="1">
      <c r="A1471" s="9"/>
      <c r="B1471" s="8"/>
      <c r="C1471" s="8"/>
      <c r="D1471" s="8"/>
      <c r="E1471" s="8"/>
      <c r="F1471" s="8"/>
      <c r="G1471" s="8"/>
      <c r="H1471" s="8"/>
      <c r="I1471" s="10"/>
      <c r="J1471" s="10"/>
      <c r="K1471" s="18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</row>
    <row r="1472" ht="14.25" customHeight="1">
      <c r="A1472" s="9"/>
      <c r="B1472" s="8"/>
      <c r="C1472" s="8"/>
      <c r="D1472" s="8"/>
      <c r="E1472" s="8"/>
      <c r="F1472" s="8"/>
      <c r="G1472" s="8"/>
      <c r="H1472" s="8"/>
      <c r="I1472" s="10"/>
      <c r="J1472" s="10"/>
      <c r="K1472" s="18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</row>
    <row r="1473" ht="14.25" customHeight="1">
      <c r="A1473" s="9"/>
      <c r="B1473" s="8"/>
      <c r="C1473" s="8"/>
      <c r="D1473" s="8"/>
      <c r="E1473" s="8"/>
      <c r="F1473" s="8"/>
      <c r="G1473" s="8"/>
      <c r="H1473" s="8"/>
      <c r="I1473" s="10"/>
      <c r="J1473" s="10"/>
      <c r="K1473" s="18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</row>
    <row r="1474" ht="14.25" customHeight="1">
      <c r="A1474" s="9"/>
      <c r="B1474" s="8"/>
      <c r="C1474" s="8"/>
      <c r="D1474" s="8"/>
      <c r="E1474" s="8"/>
      <c r="F1474" s="8"/>
      <c r="G1474" s="8"/>
      <c r="H1474" s="8"/>
      <c r="I1474" s="10"/>
      <c r="J1474" s="10"/>
      <c r="K1474" s="18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</row>
    <row r="1475" ht="14.25" customHeight="1">
      <c r="A1475" s="9"/>
      <c r="B1475" s="8"/>
      <c r="C1475" s="8"/>
      <c r="D1475" s="8"/>
      <c r="E1475" s="8"/>
      <c r="F1475" s="8"/>
      <c r="G1475" s="8"/>
      <c r="H1475" s="8"/>
      <c r="I1475" s="10"/>
      <c r="J1475" s="10"/>
      <c r="K1475" s="18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</row>
    <row r="1476" ht="14.25" customHeight="1">
      <c r="A1476" s="9"/>
      <c r="B1476" s="8"/>
      <c r="C1476" s="8"/>
      <c r="D1476" s="8"/>
      <c r="E1476" s="8"/>
      <c r="F1476" s="8"/>
      <c r="G1476" s="8"/>
      <c r="H1476" s="8"/>
      <c r="I1476" s="10"/>
      <c r="J1476" s="10"/>
      <c r="K1476" s="18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</row>
    <row r="1477" ht="14.25" customHeight="1">
      <c r="A1477" s="9"/>
      <c r="B1477" s="8"/>
      <c r="C1477" s="8"/>
      <c r="D1477" s="8"/>
      <c r="E1477" s="8"/>
      <c r="F1477" s="8"/>
      <c r="G1477" s="8"/>
      <c r="H1477" s="8"/>
      <c r="I1477" s="10"/>
      <c r="J1477" s="10"/>
      <c r="K1477" s="18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</row>
    <row r="1478" ht="14.25" customHeight="1">
      <c r="A1478" s="9"/>
      <c r="B1478" s="8"/>
      <c r="C1478" s="8"/>
      <c r="D1478" s="8"/>
      <c r="E1478" s="8"/>
      <c r="F1478" s="8"/>
      <c r="G1478" s="8"/>
      <c r="H1478" s="8"/>
      <c r="I1478" s="10"/>
      <c r="J1478" s="10"/>
      <c r="K1478" s="18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</row>
    <row r="1479" ht="14.25" customHeight="1">
      <c r="A1479" s="9"/>
      <c r="B1479" s="8"/>
      <c r="C1479" s="8"/>
      <c r="D1479" s="8"/>
      <c r="E1479" s="8"/>
      <c r="F1479" s="8"/>
      <c r="G1479" s="8"/>
      <c r="H1479" s="8"/>
      <c r="I1479" s="10"/>
      <c r="J1479" s="10"/>
      <c r="K1479" s="18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</row>
    <row r="1480" ht="14.25" customHeight="1">
      <c r="A1480" s="9"/>
      <c r="B1480" s="8"/>
      <c r="C1480" s="8"/>
      <c r="D1480" s="8"/>
      <c r="E1480" s="8"/>
      <c r="F1480" s="8"/>
      <c r="G1480" s="8"/>
      <c r="H1480" s="8"/>
      <c r="I1480" s="10"/>
      <c r="J1480" s="10"/>
      <c r="K1480" s="18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</row>
    <row r="1481" ht="14.25" customHeight="1">
      <c r="A1481" s="9"/>
      <c r="B1481" s="8"/>
      <c r="C1481" s="8"/>
      <c r="D1481" s="8"/>
      <c r="E1481" s="8"/>
      <c r="F1481" s="8"/>
      <c r="G1481" s="8"/>
      <c r="H1481" s="8"/>
      <c r="I1481" s="10"/>
      <c r="J1481" s="10"/>
      <c r="K1481" s="18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</row>
    <row r="1482" ht="14.25" customHeight="1">
      <c r="A1482" s="9"/>
      <c r="B1482" s="8"/>
      <c r="C1482" s="8"/>
      <c r="D1482" s="8"/>
      <c r="E1482" s="8"/>
      <c r="F1482" s="8"/>
      <c r="G1482" s="8"/>
      <c r="H1482" s="8"/>
      <c r="I1482" s="10"/>
      <c r="J1482" s="10"/>
      <c r="K1482" s="18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</row>
    <row r="1483" ht="14.25" customHeight="1">
      <c r="A1483" s="9"/>
      <c r="B1483" s="8"/>
      <c r="C1483" s="8"/>
      <c r="D1483" s="8"/>
      <c r="E1483" s="8"/>
      <c r="F1483" s="8"/>
      <c r="G1483" s="8"/>
      <c r="H1483" s="8"/>
      <c r="I1483" s="10"/>
      <c r="J1483" s="10"/>
      <c r="K1483" s="18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</row>
    <row r="1484" ht="14.25" customHeight="1">
      <c r="A1484" s="9"/>
      <c r="B1484" s="8"/>
      <c r="C1484" s="8"/>
      <c r="D1484" s="8"/>
      <c r="E1484" s="8"/>
      <c r="F1484" s="8"/>
      <c r="G1484" s="8"/>
      <c r="H1484" s="8"/>
      <c r="I1484" s="10"/>
      <c r="J1484" s="10"/>
      <c r="K1484" s="18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</row>
    <row r="1485" ht="14.25" customHeight="1">
      <c r="A1485" s="9"/>
      <c r="B1485" s="8"/>
      <c r="C1485" s="8"/>
      <c r="D1485" s="8"/>
      <c r="E1485" s="8"/>
      <c r="F1485" s="8"/>
      <c r="G1485" s="8"/>
      <c r="H1485" s="8"/>
      <c r="I1485" s="10"/>
      <c r="J1485" s="10"/>
      <c r="K1485" s="18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</row>
    <row r="1486" ht="14.25" customHeight="1">
      <c r="A1486" s="9"/>
      <c r="B1486" s="8"/>
      <c r="C1486" s="8"/>
      <c r="D1486" s="8"/>
      <c r="E1486" s="8"/>
      <c r="F1486" s="8"/>
      <c r="G1486" s="8"/>
      <c r="H1486" s="8"/>
      <c r="I1486" s="10"/>
      <c r="J1486" s="10"/>
      <c r="K1486" s="18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</row>
    <row r="1487" ht="14.25" customHeight="1">
      <c r="A1487" s="9"/>
      <c r="B1487" s="8"/>
      <c r="C1487" s="8"/>
      <c r="D1487" s="8"/>
      <c r="E1487" s="8"/>
      <c r="F1487" s="8"/>
      <c r="G1487" s="8"/>
      <c r="H1487" s="8"/>
      <c r="I1487" s="10"/>
      <c r="J1487" s="10"/>
      <c r="K1487" s="18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</row>
    <row r="1488" ht="14.25" customHeight="1">
      <c r="A1488" s="9"/>
      <c r="B1488" s="8"/>
      <c r="C1488" s="8"/>
      <c r="D1488" s="8"/>
      <c r="E1488" s="8"/>
      <c r="F1488" s="8"/>
      <c r="G1488" s="8"/>
      <c r="H1488" s="8"/>
      <c r="I1488" s="10"/>
      <c r="J1488" s="10"/>
      <c r="K1488" s="18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</row>
    <row r="1489" ht="14.25" customHeight="1">
      <c r="A1489" s="9"/>
      <c r="B1489" s="8"/>
      <c r="C1489" s="8"/>
      <c r="D1489" s="8"/>
      <c r="E1489" s="8"/>
      <c r="F1489" s="8"/>
      <c r="G1489" s="8"/>
      <c r="H1489" s="8"/>
      <c r="I1489" s="10"/>
      <c r="J1489" s="10"/>
      <c r="K1489" s="18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</row>
    <row r="1490" ht="14.25" customHeight="1">
      <c r="A1490" s="9"/>
      <c r="B1490" s="8"/>
      <c r="C1490" s="8"/>
      <c r="D1490" s="8"/>
      <c r="E1490" s="8"/>
      <c r="F1490" s="8"/>
      <c r="G1490" s="8"/>
      <c r="H1490" s="8"/>
      <c r="I1490" s="10"/>
      <c r="J1490" s="10"/>
      <c r="K1490" s="18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</row>
    <row r="1491" ht="14.25" customHeight="1">
      <c r="A1491" s="9"/>
      <c r="B1491" s="8"/>
      <c r="C1491" s="8"/>
      <c r="D1491" s="8"/>
      <c r="E1491" s="8"/>
      <c r="F1491" s="8"/>
      <c r="G1491" s="8"/>
      <c r="H1491" s="8"/>
      <c r="I1491" s="10"/>
      <c r="J1491" s="10"/>
      <c r="K1491" s="18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</row>
    <row r="1492" ht="14.25" customHeight="1">
      <c r="A1492" s="9"/>
      <c r="B1492" s="8"/>
      <c r="C1492" s="8"/>
      <c r="D1492" s="8"/>
      <c r="E1492" s="8"/>
      <c r="F1492" s="8"/>
      <c r="G1492" s="8"/>
      <c r="H1492" s="8"/>
      <c r="I1492" s="10"/>
      <c r="J1492" s="10"/>
      <c r="K1492" s="18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</row>
    <row r="1493" ht="14.25" customHeight="1">
      <c r="A1493" s="9"/>
      <c r="B1493" s="8"/>
      <c r="C1493" s="8"/>
      <c r="D1493" s="8"/>
      <c r="E1493" s="8"/>
      <c r="F1493" s="8"/>
      <c r="G1493" s="8"/>
      <c r="H1493" s="8"/>
      <c r="I1493" s="10"/>
      <c r="J1493" s="10"/>
      <c r="K1493" s="18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</row>
    <row r="1494" ht="14.25" customHeight="1">
      <c r="A1494" s="9"/>
      <c r="B1494" s="8"/>
      <c r="C1494" s="8"/>
      <c r="D1494" s="8"/>
      <c r="E1494" s="8"/>
      <c r="F1494" s="8"/>
      <c r="G1494" s="8"/>
      <c r="H1494" s="8"/>
      <c r="I1494" s="10"/>
      <c r="J1494" s="10"/>
      <c r="K1494" s="18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</row>
    <row r="1495" ht="14.25" customHeight="1">
      <c r="A1495" s="9"/>
      <c r="B1495" s="8"/>
      <c r="C1495" s="8"/>
      <c r="D1495" s="8"/>
      <c r="E1495" s="8"/>
      <c r="F1495" s="8"/>
      <c r="G1495" s="8"/>
      <c r="H1495" s="8"/>
      <c r="I1495" s="10"/>
      <c r="J1495" s="10"/>
      <c r="K1495" s="18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</row>
    <row r="1496" ht="14.25" customHeight="1">
      <c r="A1496" s="9"/>
      <c r="B1496" s="8"/>
      <c r="C1496" s="8"/>
      <c r="D1496" s="8"/>
      <c r="E1496" s="8"/>
      <c r="F1496" s="8"/>
      <c r="G1496" s="8"/>
      <c r="H1496" s="8"/>
      <c r="I1496" s="10"/>
      <c r="J1496" s="10"/>
      <c r="K1496" s="18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</row>
    <row r="1497" ht="14.25" customHeight="1">
      <c r="A1497" s="9"/>
      <c r="B1497" s="8"/>
      <c r="C1497" s="8"/>
      <c r="D1497" s="8"/>
      <c r="E1497" s="8"/>
      <c r="F1497" s="8"/>
      <c r="G1497" s="8"/>
      <c r="H1497" s="8"/>
      <c r="I1497" s="10"/>
      <c r="J1497" s="10"/>
      <c r="K1497" s="18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</row>
    <row r="1498" ht="14.25" customHeight="1">
      <c r="A1498" s="9"/>
      <c r="B1498" s="8"/>
      <c r="C1498" s="8"/>
      <c r="D1498" s="8"/>
      <c r="E1498" s="8"/>
      <c r="F1498" s="8"/>
      <c r="G1498" s="8"/>
      <c r="H1498" s="8"/>
      <c r="I1498" s="10"/>
      <c r="J1498" s="10"/>
      <c r="K1498" s="18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</row>
    <row r="1499" ht="14.25" customHeight="1">
      <c r="A1499" s="9"/>
      <c r="B1499" s="8"/>
      <c r="C1499" s="8"/>
      <c r="D1499" s="8"/>
      <c r="E1499" s="8"/>
      <c r="F1499" s="8"/>
      <c r="G1499" s="8"/>
      <c r="H1499" s="8"/>
      <c r="I1499" s="10"/>
      <c r="J1499" s="10"/>
      <c r="K1499" s="18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</row>
    <row r="1500" ht="14.25" customHeight="1">
      <c r="A1500" s="9"/>
      <c r="B1500" s="8"/>
      <c r="C1500" s="8"/>
      <c r="D1500" s="8"/>
      <c r="E1500" s="8"/>
      <c r="F1500" s="8"/>
      <c r="G1500" s="8"/>
      <c r="H1500" s="8"/>
      <c r="I1500" s="10"/>
      <c r="J1500" s="10"/>
      <c r="K1500" s="18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</row>
    <row r="1501" ht="14.25" customHeight="1">
      <c r="A1501" s="9"/>
      <c r="B1501" s="8"/>
      <c r="C1501" s="8"/>
      <c r="D1501" s="8"/>
      <c r="E1501" s="8"/>
      <c r="F1501" s="8"/>
      <c r="G1501" s="8"/>
      <c r="H1501" s="8"/>
      <c r="I1501" s="10"/>
      <c r="J1501" s="10"/>
      <c r="K1501" s="18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</row>
    <row r="1502" ht="14.25" customHeight="1">
      <c r="A1502" s="9"/>
      <c r="B1502" s="8"/>
      <c r="C1502" s="8"/>
      <c r="D1502" s="8"/>
      <c r="E1502" s="8"/>
      <c r="F1502" s="8"/>
      <c r="G1502" s="8"/>
      <c r="H1502" s="8"/>
      <c r="I1502" s="10"/>
      <c r="J1502" s="10"/>
      <c r="K1502" s="18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</row>
    <row r="1503" ht="14.25" customHeight="1">
      <c r="A1503" s="9"/>
      <c r="B1503" s="8"/>
      <c r="C1503" s="8"/>
      <c r="D1503" s="8"/>
      <c r="E1503" s="8"/>
      <c r="F1503" s="8"/>
      <c r="G1503" s="8"/>
      <c r="H1503" s="8"/>
      <c r="I1503" s="10"/>
      <c r="J1503" s="10"/>
      <c r="K1503" s="18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</row>
    <row r="1504" ht="14.25" customHeight="1">
      <c r="A1504" s="9"/>
      <c r="B1504" s="8"/>
      <c r="C1504" s="8"/>
      <c r="D1504" s="8"/>
      <c r="E1504" s="8"/>
      <c r="F1504" s="8"/>
      <c r="G1504" s="8"/>
      <c r="H1504" s="8"/>
      <c r="I1504" s="10"/>
      <c r="J1504" s="10"/>
      <c r="K1504" s="18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</row>
    <row r="1505" ht="14.25" customHeight="1">
      <c r="A1505" s="9"/>
      <c r="B1505" s="8"/>
      <c r="C1505" s="8"/>
      <c r="D1505" s="8"/>
      <c r="E1505" s="8"/>
      <c r="F1505" s="8"/>
      <c r="G1505" s="8"/>
      <c r="H1505" s="8"/>
      <c r="I1505" s="10"/>
      <c r="J1505" s="10"/>
      <c r="K1505" s="18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</row>
    <row r="1506" ht="14.25" customHeight="1">
      <c r="A1506" s="9"/>
      <c r="B1506" s="8"/>
      <c r="C1506" s="8"/>
      <c r="D1506" s="8"/>
      <c r="E1506" s="8"/>
      <c r="F1506" s="8"/>
      <c r="G1506" s="8"/>
      <c r="H1506" s="8"/>
      <c r="I1506" s="10"/>
      <c r="J1506" s="10"/>
      <c r="K1506" s="18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</row>
    <row r="1507" ht="14.25" customHeight="1">
      <c r="A1507" s="9"/>
      <c r="B1507" s="8"/>
      <c r="C1507" s="8"/>
      <c r="D1507" s="8"/>
      <c r="E1507" s="8"/>
      <c r="F1507" s="8"/>
      <c r="G1507" s="8"/>
      <c r="H1507" s="8"/>
      <c r="I1507" s="10"/>
      <c r="J1507" s="10"/>
      <c r="K1507" s="18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</row>
    <row r="1508" ht="14.25" customHeight="1">
      <c r="A1508" s="9"/>
      <c r="B1508" s="8"/>
      <c r="C1508" s="8"/>
      <c r="D1508" s="8"/>
      <c r="E1508" s="8"/>
      <c r="F1508" s="8"/>
      <c r="G1508" s="8"/>
      <c r="H1508" s="8"/>
      <c r="I1508" s="10"/>
      <c r="J1508" s="10"/>
      <c r="K1508" s="18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</row>
    <row r="1509" ht="14.25" customHeight="1">
      <c r="A1509" s="9"/>
      <c r="B1509" s="8"/>
      <c r="C1509" s="8"/>
      <c r="D1509" s="8"/>
      <c r="E1509" s="8"/>
      <c r="F1509" s="8"/>
      <c r="G1509" s="8"/>
      <c r="H1509" s="8"/>
      <c r="I1509" s="10"/>
      <c r="J1509" s="10"/>
      <c r="K1509" s="18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</row>
    <row r="1510" ht="14.25" customHeight="1">
      <c r="A1510" s="9"/>
      <c r="B1510" s="8"/>
      <c r="C1510" s="8"/>
      <c r="D1510" s="8"/>
      <c r="E1510" s="8"/>
      <c r="F1510" s="8"/>
      <c r="G1510" s="8"/>
      <c r="H1510" s="8"/>
      <c r="I1510" s="10"/>
      <c r="J1510" s="10"/>
      <c r="K1510" s="18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</row>
    <row r="1511" ht="14.25" customHeight="1">
      <c r="A1511" s="9"/>
      <c r="B1511" s="8"/>
      <c r="C1511" s="8"/>
      <c r="D1511" s="8"/>
      <c r="E1511" s="8"/>
      <c r="F1511" s="8"/>
      <c r="G1511" s="8"/>
      <c r="H1511" s="8"/>
      <c r="I1511" s="10"/>
      <c r="J1511" s="10"/>
      <c r="K1511" s="18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</row>
    <row r="1512" ht="14.25" customHeight="1">
      <c r="A1512" s="9"/>
      <c r="B1512" s="8"/>
      <c r="C1512" s="8"/>
      <c r="D1512" s="8"/>
      <c r="E1512" s="8"/>
      <c r="F1512" s="8"/>
      <c r="G1512" s="8"/>
      <c r="H1512" s="8"/>
      <c r="I1512" s="10"/>
      <c r="J1512" s="10"/>
      <c r="K1512" s="18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</row>
    <row r="1513" ht="14.25" customHeight="1">
      <c r="A1513" s="9"/>
      <c r="B1513" s="8"/>
      <c r="C1513" s="8"/>
      <c r="D1513" s="8"/>
      <c r="E1513" s="8"/>
      <c r="F1513" s="8"/>
      <c r="G1513" s="8"/>
      <c r="H1513" s="8"/>
      <c r="I1513" s="10"/>
      <c r="J1513" s="10"/>
      <c r="K1513" s="18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</row>
    <row r="1514" ht="14.25" customHeight="1">
      <c r="A1514" s="9"/>
      <c r="B1514" s="8"/>
      <c r="C1514" s="8"/>
      <c r="D1514" s="8"/>
      <c r="E1514" s="8"/>
      <c r="F1514" s="8"/>
      <c r="G1514" s="8"/>
      <c r="H1514" s="8"/>
      <c r="I1514" s="10"/>
      <c r="J1514" s="10"/>
      <c r="K1514" s="18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</row>
    <row r="1515" ht="14.25" customHeight="1">
      <c r="A1515" s="9"/>
      <c r="B1515" s="8"/>
      <c r="C1515" s="8"/>
      <c r="D1515" s="8"/>
      <c r="E1515" s="8"/>
      <c r="F1515" s="8"/>
      <c r="G1515" s="8"/>
      <c r="H1515" s="8"/>
      <c r="I1515" s="10"/>
      <c r="J1515" s="10"/>
      <c r="K1515" s="18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</row>
    <row r="1516" ht="14.25" customHeight="1">
      <c r="A1516" s="9"/>
      <c r="B1516" s="8"/>
      <c r="C1516" s="8"/>
      <c r="D1516" s="8"/>
      <c r="E1516" s="8"/>
      <c r="F1516" s="8"/>
      <c r="G1516" s="8"/>
      <c r="H1516" s="8"/>
      <c r="I1516" s="10"/>
      <c r="J1516" s="10"/>
      <c r="K1516" s="18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</row>
    <row r="1517" ht="14.25" customHeight="1">
      <c r="A1517" s="9"/>
      <c r="B1517" s="8"/>
      <c r="C1517" s="8"/>
      <c r="D1517" s="8"/>
      <c r="E1517" s="8"/>
      <c r="F1517" s="8"/>
      <c r="G1517" s="8"/>
      <c r="H1517" s="8"/>
      <c r="I1517" s="10"/>
      <c r="J1517" s="10"/>
      <c r="K1517" s="18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</row>
    <row r="1518" ht="14.25" customHeight="1">
      <c r="A1518" s="9"/>
      <c r="B1518" s="8"/>
      <c r="C1518" s="8"/>
      <c r="D1518" s="8"/>
      <c r="E1518" s="8"/>
      <c r="F1518" s="8"/>
      <c r="G1518" s="8"/>
      <c r="H1518" s="8"/>
      <c r="I1518" s="10"/>
      <c r="J1518" s="10"/>
      <c r="K1518" s="18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</row>
    <row r="1519" ht="14.25" customHeight="1">
      <c r="A1519" s="9"/>
      <c r="B1519" s="8"/>
      <c r="C1519" s="8"/>
      <c r="D1519" s="8"/>
      <c r="E1519" s="8"/>
      <c r="F1519" s="8"/>
      <c r="G1519" s="8"/>
      <c r="H1519" s="8"/>
      <c r="I1519" s="10"/>
      <c r="J1519" s="10"/>
      <c r="K1519" s="18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</row>
    <row r="1520" ht="14.25" customHeight="1">
      <c r="A1520" s="9"/>
      <c r="B1520" s="8"/>
      <c r="C1520" s="8"/>
      <c r="D1520" s="8"/>
      <c r="E1520" s="8"/>
      <c r="F1520" s="8"/>
      <c r="G1520" s="8"/>
      <c r="H1520" s="8"/>
      <c r="I1520" s="10"/>
      <c r="J1520" s="10"/>
      <c r="K1520" s="18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</row>
    <row r="1521" ht="14.25" customHeight="1">
      <c r="A1521" s="9"/>
      <c r="B1521" s="8"/>
      <c r="C1521" s="8"/>
      <c r="D1521" s="8"/>
      <c r="E1521" s="8"/>
      <c r="F1521" s="8"/>
      <c r="G1521" s="8"/>
      <c r="H1521" s="8"/>
      <c r="I1521" s="10"/>
      <c r="J1521" s="10"/>
      <c r="K1521" s="18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</row>
    <row r="1522" ht="14.25" customHeight="1">
      <c r="A1522" s="9"/>
      <c r="B1522" s="8"/>
      <c r="C1522" s="8"/>
      <c r="D1522" s="8"/>
      <c r="E1522" s="8"/>
      <c r="F1522" s="8"/>
      <c r="G1522" s="8"/>
      <c r="H1522" s="8"/>
      <c r="I1522" s="10"/>
      <c r="J1522" s="10"/>
      <c r="K1522" s="18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</row>
    <row r="1523" ht="14.25" customHeight="1">
      <c r="A1523" s="9"/>
      <c r="B1523" s="8"/>
      <c r="C1523" s="8"/>
      <c r="D1523" s="8"/>
      <c r="E1523" s="8"/>
      <c r="F1523" s="8"/>
      <c r="G1523" s="8"/>
      <c r="H1523" s="8"/>
      <c r="I1523" s="10"/>
      <c r="J1523" s="10"/>
      <c r="K1523" s="18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</row>
    <row r="1524" ht="14.25" customHeight="1">
      <c r="A1524" s="9"/>
      <c r="B1524" s="8"/>
      <c r="C1524" s="8"/>
      <c r="D1524" s="8"/>
      <c r="E1524" s="8"/>
      <c r="F1524" s="8"/>
      <c r="G1524" s="8"/>
      <c r="H1524" s="8"/>
      <c r="I1524" s="10"/>
      <c r="J1524" s="10"/>
      <c r="K1524" s="18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</row>
    <row r="1525" ht="14.25" customHeight="1">
      <c r="A1525" s="9"/>
      <c r="B1525" s="8"/>
      <c r="C1525" s="8"/>
      <c r="D1525" s="8"/>
      <c r="E1525" s="8"/>
      <c r="F1525" s="8"/>
      <c r="G1525" s="8"/>
      <c r="H1525" s="8"/>
      <c r="I1525" s="10"/>
      <c r="J1525" s="10"/>
      <c r="K1525" s="18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</row>
    <row r="1526" ht="14.25" customHeight="1">
      <c r="A1526" s="9"/>
      <c r="B1526" s="8"/>
      <c r="C1526" s="8"/>
      <c r="D1526" s="8"/>
      <c r="E1526" s="8"/>
      <c r="F1526" s="8"/>
      <c r="G1526" s="8"/>
      <c r="H1526" s="8"/>
      <c r="I1526" s="10"/>
      <c r="J1526" s="10"/>
      <c r="K1526" s="18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</row>
    <row r="1527" ht="14.25" customHeight="1">
      <c r="A1527" s="9"/>
      <c r="B1527" s="8"/>
      <c r="C1527" s="8"/>
      <c r="D1527" s="8"/>
      <c r="E1527" s="8"/>
      <c r="F1527" s="8"/>
      <c r="G1527" s="8"/>
      <c r="H1527" s="8"/>
      <c r="I1527" s="10"/>
      <c r="J1527" s="10"/>
      <c r="K1527" s="18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</row>
    <row r="1528" ht="14.25" customHeight="1">
      <c r="A1528" s="9"/>
      <c r="B1528" s="8"/>
      <c r="C1528" s="8"/>
      <c r="D1528" s="8"/>
      <c r="E1528" s="8"/>
      <c r="F1528" s="8"/>
      <c r="G1528" s="8"/>
      <c r="H1528" s="8"/>
      <c r="I1528" s="10"/>
      <c r="J1528" s="10"/>
      <c r="K1528" s="18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</row>
    <row r="1529" ht="14.25" customHeight="1">
      <c r="A1529" s="9"/>
      <c r="B1529" s="8"/>
      <c r="C1529" s="8"/>
      <c r="D1529" s="8"/>
      <c r="E1529" s="8"/>
      <c r="F1529" s="8"/>
      <c r="G1529" s="8"/>
      <c r="H1529" s="8"/>
      <c r="I1529" s="10"/>
      <c r="J1529" s="10"/>
      <c r="K1529" s="18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</row>
    <row r="1530" ht="14.25" customHeight="1">
      <c r="A1530" s="9"/>
      <c r="B1530" s="8"/>
      <c r="C1530" s="8"/>
      <c r="D1530" s="8"/>
      <c r="E1530" s="8"/>
      <c r="F1530" s="8"/>
      <c r="G1530" s="8"/>
      <c r="H1530" s="8"/>
      <c r="I1530" s="10"/>
      <c r="J1530" s="10"/>
      <c r="K1530" s="18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</row>
    <row r="1531" ht="14.25" customHeight="1">
      <c r="A1531" s="9"/>
      <c r="B1531" s="8"/>
      <c r="C1531" s="8"/>
      <c r="D1531" s="8"/>
      <c r="E1531" s="8"/>
      <c r="F1531" s="8"/>
      <c r="G1531" s="8"/>
      <c r="H1531" s="8"/>
      <c r="I1531" s="10"/>
      <c r="J1531" s="10"/>
      <c r="K1531" s="18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</row>
    <row r="1532" ht="14.25" customHeight="1">
      <c r="A1532" s="9"/>
      <c r="B1532" s="8"/>
      <c r="C1532" s="8"/>
      <c r="D1532" s="8"/>
      <c r="E1532" s="8"/>
      <c r="F1532" s="8"/>
      <c r="G1532" s="8"/>
      <c r="H1532" s="8"/>
      <c r="I1532" s="10"/>
      <c r="J1532" s="10"/>
      <c r="K1532" s="18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</row>
    <row r="1533" ht="14.25" customHeight="1">
      <c r="A1533" s="9"/>
      <c r="B1533" s="8"/>
      <c r="C1533" s="8"/>
      <c r="D1533" s="8"/>
      <c r="E1533" s="8"/>
      <c r="F1533" s="8"/>
      <c r="G1533" s="8"/>
      <c r="H1533" s="8"/>
      <c r="I1533" s="10"/>
      <c r="J1533" s="10"/>
      <c r="K1533" s="18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</row>
    <row r="1534" ht="14.25" customHeight="1">
      <c r="A1534" s="9"/>
      <c r="B1534" s="8"/>
      <c r="C1534" s="8"/>
      <c r="D1534" s="8"/>
      <c r="E1534" s="8"/>
      <c r="F1534" s="8"/>
      <c r="G1534" s="8"/>
      <c r="H1534" s="8"/>
      <c r="I1534" s="10"/>
      <c r="J1534" s="10"/>
      <c r="K1534" s="18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</row>
    <row r="1535" ht="14.25" customHeight="1">
      <c r="A1535" s="9"/>
      <c r="B1535" s="8"/>
      <c r="C1535" s="8"/>
      <c r="D1535" s="8"/>
      <c r="E1535" s="8"/>
      <c r="F1535" s="8"/>
      <c r="G1535" s="8"/>
      <c r="H1535" s="8"/>
      <c r="I1535" s="10"/>
      <c r="J1535" s="10"/>
      <c r="K1535" s="18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</row>
    <row r="1536" ht="14.25" customHeight="1">
      <c r="A1536" s="9"/>
      <c r="B1536" s="8"/>
      <c r="C1536" s="8"/>
      <c r="D1536" s="8"/>
      <c r="E1536" s="8"/>
      <c r="F1536" s="8"/>
      <c r="G1536" s="8"/>
      <c r="H1536" s="8"/>
      <c r="I1536" s="10"/>
      <c r="J1536" s="10"/>
      <c r="K1536" s="18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</row>
    <row r="1537" ht="14.25" customHeight="1">
      <c r="A1537" s="9"/>
      <c r="B1537" s="8"/>
      <c r="C1537" s="8"/>
      <c r="D1537" s="8"/>
      <c r="E1537" s="8"/>
      <c r="F1537" s="8"/>
      <c r="G1537" s="8"/>
      <c r="H1537" s="8"/>
      <c r="I1537" s="10"/>
      <c r="J1537" s="10"/>
      <c r="K1537" s="18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</row>
    <row r="1538" ht="14.25" customHeight="1">
      <c r="A1538" s="9"/>
      <c r="B1538" s="8"/>
      <c r="C1538" s="8"/>
      <c r="D1538" s="8"/>
      <c r="E1538" s="8"/>
      <c r="F1538" s="8"/>
      <c r="G1538" s="8"/>
      <c r="H1538" s="8"/>
      <c r="I1538" s="10"/>
      <c r="J1538" s="10"/>
      <c r="K1538" s="18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</row>
    <row r="1539" ht="14.25" customHeight="1">
      <c r="A1539" s="9"/>
      <c r="B1539" s="8"/>
      <c r="C1539" s="8"/>
      <c r="D1539" s="8"/>
      <c r="E1539" s="8"/>
      <c r="F1539" s="8"/>
      <c r="G1539" s="8"/>
      <c r="H1539" s="8"/>
      <c r="I1539" s="10"/>
      <c r="J1539" s="10"/>
      <c r="K1539" s="18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</row>
    <row r="1540" ht="14.25" customHeight="1">
      <c r="A1540" s="9"/>
      <c r="B1540" s="8"/>
      <c r="C1540" s="8"/>
      <c r="D1540" s="8"/>
      <c r="E1540" s="8"/>
      <c r="F1540" s="8"/>
      <c r="G1540" s="8"/>
      <c r="H1540" s="8"/>
      <c r="I1540" s="10"/>
      <c r="J1540" s="10"/>
      <c r="K1540" s="18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</row>
    <row r="1541" ht="14.25" customHeight="1">
      <c r="A1541" s="9"/>
      <c r="B1541" s="8"/>
      <c r="C1541" s="8"/>
      <c r="D1541" s="8"/>
      <c r="E1541" s="8"/>
      <c r="F1541" s="8"/>
      <c r="G1541" s="8"/>
      <c r="H1541" s="8"/>
      <c r="I1541" s="10"/>
      <c r="J1541" s="10"/>
      <c r="K1541" s="18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</row>
    <row r="1542" ht="14.25" customHeight="1">
      <c r="A1542" s="9"/>
      <c r="B1542" s="8"/>
      <c r="C1542" s="8"/>
      <c r="D1542" s="8"/>
      <c r="E1542" s="8"/>
      <c r="F1542" s="8"/>
      <c r="G1542" s="8"/>
      <c r="H1542" s="8"/>
      <c r="I1542" s="10"/>
      <c r="J1542" s="10"/>
      <c r="K1542" s="18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</row>
    <row r="1543" ht="14.25" customHeight="1">
      <c r="A1543" s="9"/>
      <c r="B1543" s="8"/>
      <c r="C1543" s="8"/>
      <c r="D1543" s="8"/>
      <c r="E1543" s="8"/>
      <c r="F1543" s="8"/>
      <c r="G1543" s="8"/>
      <c r="H1543" s="8"/>
      <c r="I1543" s="10"/>
      <c r="J1543" s="10"/>
      <c r="K1543" s="18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</row>
    <row r="1544" ht="14.25" customHeight="1">
      <c r="A1544" s="9"/>
      <c r="B1544" s="8"/>
      <c r="C1544" s="8"/>
      <c r="D1544" s="8"/>
      <c r="E1544" s="8"/>
      <c r="F1544" s="8"/>
      <c r="G1544" s="8"/>
      <c r="H1544" s="8"/>
      <c r="I1544" s="10"/>
      <c r="J1544" s="10"/>
      <c r="K1544" s="18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</row>
    <row r="1545" ht="14.25" customHeight="1">
      <c r="A1545" s="9"/>
      <c r="B1545" s="8"/>
      <c r="C1545" s="8"/>
      <c r="D1545" s="8"/>
      <c r="E1545" s="8"/>
      <c r="F1545" s="8"/>
      <c r="G1545" s="8"/>
      <c r="H1545" s="8"/>
      <c r="I1545" s="10"/>
      <c r="J1545" s="10"/>
      <c r="K1545" s="18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</row>
    <row r="1546" ht="14.25" customHeight="1">
      <c r="A1546" s="9"/>
      <c r="B1546" s="8"/>
      <c r="C1546" s="8"/>
      <c r="D1546" s="8"/>
      <c r="E1546" s="8"/>
      <c r="F1546" s="8"/>
      <c r="G1546" s="8"/>
      <c r="H1546" s="8"/>
      <c r="I1546" s="10"/>
      <c r="J1546" s="10"/>
      <c r="K1546" s="18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</row>
    <row r="1547" ht="14.25" customHeight="1">
      <c r="A1547" s="9"/>
      <c r="B1547" s="8"/>
      <c r="C1547" s="8"/>
      <c r="D1547" s="8"/>
      <c r="E1547" s="8"/>
      <c r="F1547" s="8"/>
      <c r="G1547" s="8"/>
      <c r="H1547" s="8"/>
      <c r="I1547" s="10"/>
      <c r="J1547" s="10"/>
      <c r="K1547" s="18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</row>
    <row r="1548" ht="14.25" customHeight="1">
      <c r="A1548" s="9"/>
      <c r="B1548" s="8"/>
      <c r="C1548" s="8"/>
      <c r="D1548" s="8"/>
      <c r="E1548" s="8"/>
      <c r="F1548" s="8"/>
      <c r="G1548" s="8"/>
      <c r="H1548" s="8"/>
      <c r="I1548" s="10"/>
      <c r="J1548" s="10"/>
      <c r="K1548" s="18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</row>
    <row r="1549" ht="14.25" customHeight="1">
      <c r="A1549" s="9"/>
      <c r="B1549" s="8"/>
      <c r="C1549" s="8"/>
      <c r="D1549" s="8"/>
      <c r="E1549" s="8"/>
      <c r="F1549" s="8"/>
      <c r="G1549" s="8"/>
      <c r="H1549" s="8"/>
      <c r="I1549" s="10"/>
      <c r="J1549" s="10"/>
      <c r="K1549" s="18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</row>
    <row r="1550" ht="14.25" customHeight="1">
      <c r="A1550" s="9"/>
      <c r="B1550" s="8"/>
      <c r="C1550" s="8"/>
      <c r="D1550" s="8"/>
      <c r="E1550" s="8"/>
      <c r="F1550" s="8"/>
      <c r="G1550" s="8"/>
      <c r="H1550" s="8"/>
      <c r="I1550" s="10"/>
      <c r="J1550" s="10"/>
      <c r="K1550" s="18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</row>
    <row r="1551" ht="14.25" customHeight="1">
      <c r="A1551" s="9"/>
      <c r="B1551" s="8"/>
      <c r="C1551" s="8"/>
      <c r="D1551" s="8"/>
      <c r="E1551" s="8"/>
      <c r="F1551" s="8"/>
      <c r="G1551" s="8"/>
      <c r="H1551" s="8"/>
      <c r="I1551" s="10"/>
      <c r="J1551" s="10"/>
      <c r="K1551" s="18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</row>
    <row r="1552" ht="14.25" customHeight="1">
      <c r="A1552" s="9"/>
      <c r="B1552" s="8"/>
      <c r="C1552" s="8"/>
      <c r="D1552" s="8"/>
      <c r="E1552" s="8"/>
      <c r="F1552" s="8"/>
      <c r="G1552" s="8"/>
      <c r="H1552" s="8"/>
      <c r="I1552" s="10"/>
      <c r="J1552" s="10"/>
      <c r="K1552" s="18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</row>
    <row r="1553" ht="14.25" customHeight="1">
      <c r="A1553" s="9"/>
      <c r="B1553" s="8"/>
      <c r="C1553" s="8"/>
      <c r="D1553" s="8"/>
      <c r="E1553" s="8"/>
      <c r="F1553" s="8"/>
      <c r="G1553" s="8"/>
      <c r="H1553" s="8"/>
      <c r="I1553" s="10"/>
      <c r="J1553" s="10"/>
      <c r="K1553" s="18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</row>
    <row r="1554" ht="14.25" customHeight="1">
      <c r="A1554" s="9"/>
      <c r="B1554" s="8"/>
      <c r="C1554" s="8"/>
      <c r="D1554" s="8"/>
      <c r="E1554" s="8"/>
      <c r="F1554" s="8"/>
      <c r="G1554" s="8"/>
      <c r="H1554" s="8"/>
      <c r="I1554" s="10"/>
      <c r="J1554" s="10"/>
      <c r="K1554" s="18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</row>
    <row r="1555" ht="14.25" customHeight="1">
      <c r="A1555" s="9"/>
      <c r="B1555" s="8"/>
      <c r="C1555" s="8"/>
      <c r="D1555" s="8"/>
      <c r="E1555" s="8"/>
      <c r="F1555" s="8"/>
      <c r="G1555" s="8"/>
      <c r="H1555" s="8"/>
      <c r="I1555" s="10"/>
      <c r="J1555" s="10"/>
      <c r="K1555" s="18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</row>
    <row r="1556" ht="14.25" customHeight="1">
      <c r="A1556" s="9"/>
      <c r="B1556" s="8"/>
      <c r="C1556" s="8"/>
      <c r="D1556" s="8"/>
      <c r="E1556" s="8"/>
      <c r="F1556" s="8"/>
      <c r="G1556" s="8"/>
      <c r="H1556" s="8"/>
      <c r="I1556" s="10"/>
      <c r="J1556" s="10"/>
      <c r="K1556" s="18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</row>
    <row r="1557" ht="14.25" customHeight="1">
      <c r="A1557" s="9"/>
      <c r="B1557" s="8"/>
      <c r="C1557" s="8"/>
      <c r="D1557" s="8"/>
      <c r="E1557" s="8"/>
      <c r="F1557" s="8"/>
      <c r="G1557" s="8"/>
      <c r="H1557" s="8"/>
      <c r="I1557" s="10"/>
      <c r="J1557" s="10"/>
      <c r="K1557" s="18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</row>
    <row r="1558" ht="14.25" customHeight="1">
      <c r="A1558" s="9"/>
      <c r="B1558" s="8"/>
      <c r="C1558" s="8"/>
      <c r="D1558" s="8"/>
      <c r="E1558" s="8"/>
      <c r="F1558" s="8"/>
      <c r="G1558" s="8"/>
      <c r="H1558" s="8"/>
      <c r="I1558" s="10"/>
      <c r="J1558" s="10"/>
      <c r="K1558" s="18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</row>
    <row r="1559" ht="14.25" customHeight="1">
      <c r="A1559" s="9"/>
      <c r="B1559" s="8"/>
      <c r="C1559" s="8"/>
      <c r="D1559" s="8"/>
      <c r="E1559" s="8"/>
      <c r="F1559" s="8"/>
      <c r="G1559" s="8"/>
      <c r="H1559" s="8"/>
      <c r="I1559" s="10"/>
      <c r="J1559" s="10"/>
      <c r="K1559" s="18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</row>
    <row r="1560" ht="14.25" customHeight="1">
      <c r="A1560" s="9"/>
      <c r="B1560" s="8"/>
      <c r="C1560" s="8"/>
      <c r="D1560" s="8"/>
      <c r="E1560" s="8"/>
      <c r="F1560" s="8"/>
      <c r="G1560" s="8"/>
      <c r="H1560" s="8"/>
      <c r="I1560" s="10"/>
      <c r="J1560" s="10"/>
      <c r="K1560" s="18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</row>
    <row r="1561" ht="14.25" customHeight="1">
      <c r="A1561" s="9"/>
      <c r="B1561" s="8"/>
      <c r="C1561" s="8"/>
      <c r="D1561" s="8"/>
      <c r="E1561" s="8"/>
      <c r="F1561" s="8"/>
      <c r="G1561" s="8"/>
      <c r="H1561" s="8"/>
      <c r="I1561" s="10"/>
      <c r="J1561" s="10"/>
      <c r="K1561" s="18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</row>
    <row r="1562" ht="14.25" customHeight="1">
      <c r="A1562" s="9"/>
      <c r="B1562" s="8"/>
      <c r="C1562" s="8"/>
      <c r="D1562" s="8"/>
      <c r="E1562" s="8"/>
      <c r="F1562" s="8"/>
      <c r="G1562" s="8"/>
      <c r="H1562" s="8"/>
      <c r="I1562" s="10"/>
      <c r="J1562" s="10"/>
      <c r="K1562" s="18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</row>
    <row r="1563" ht="14.25" customHeight="1">
      <c r="A1563" s="9"/>
      <c r="B1563" s="8"/>
      <c r="C1563" s="8"/>
      <c r="D1563" s="8"/>
      <c r="E1563" s="8"/>
      <c r="F1563" s="8"/>
      <c r="G1563" s="8"/>
      <c r="H1563" s="8"/>
      <c r="I1563" s="10"/>
      <c r="J1563" s="10"/>
      <c r="K1563" s="18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</row>
    <row r="1564" ht="14.25" customHeight="1">
      <c r="A1564" s="9"/>
      <c r="B1564" s="8"/>
      <c r="C1564" s="8"/>
      <c r="D1564" s="8"/>
      <c r="E1564" s="8"/>
      <c r="F1564" s="8"/>
      <c r="G1564" s="8"/>
      <c r="H1564" s="8"/>
      <c r="I1564" s="10"/>
      <c r="J1564" s="10"/>
      <c r="K1564" s="18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</row>
    <row r="1565" ht="14.25" customHeight="1">
      <c r="A1565" s="9"/>
      <c r="B1565" s="8"/>
      <c r="C1565" s="8"/>
      <c r="D1565" s="8"/>
      <c r="E1565" s="8"/>
      <c r="F1565" s="8"/>
      <c r="G1565" s="8"/>
      <c r="H1565" s="8"/>
      <c r="I1565" s="10"/>
      <c r="J1565" s="10"/>
      <c r="K1565" s="18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</row>
    <row r="1566" ht="14.25" customHeight="1">
      <c r="A1566" s="9"/>
      <c r="B1566" s="8"/>
      <c r="C1566" s="8"/>
      <c r="D1566" s="8"/>
      <c r="E1566" s="8"/>
      <c r="F1566" s="8"/>
      <c r="G1566" s="8"/>
      <c r="H1566" s="8"/>
      <c r="I1566" s="10"/>
      <c r="J1566" s="10"/>
      <c r="K1566" s="18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</row>
    <row r="1567" ht="14.25" customHeight="1">
      <c r="A1567" s="9"/>
      <c r="B1567" s="8"/>
      <c r="C1567" s="8"/>
      <c r="D1567" s="8"/>
      <c r="E1567" s="8"/>
      <c r="F1567" s="8"/>
      <c r="G1567" s="8"/>
      <c r="H1567" s="8"/>
      <c r="I1567" s="10"/>
      <c r="J1567" s="10"/>
      <c r="K1567" s="18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</row>
    <row r="1568" ht="14.25" customHeight="1">
      <c r="A1568" s="9"/>
      <c r="B1568" s="8"/>
      <c r="C1568" s="8"/>
      <c r="D1568" s="8"/>
      <c r="E1568" s="8"/>
      <c r="F1568" s="8"/>
      <c r="G1568" s="8"/>
      <c r="H1568" s="8"/>
      <c r="I1568" s="10"/>
      <c r="J1568" s="10"/>
      <c r="K1568" s="18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</row>
    <row r="1569" ht="14.25" customHeight="1">
      <c r="A1569" s="9"/>
      <c r="B1569" s="8"/>
      <c r="C1569" s="8"/>
      <c r="D1569" s="8"/>
      <c r="E1569" s="8"/>
      <c r="F1569" s="8"/>
      <c r="G1569" s="8"/>
      <c r="H1569" s="8"/>
      <c r="I1569" s="10"/>
      <c r="J1569" s="10"/>
      <c r="K1569" s="18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</row>
    <row r="1570" ht="14.25" customHeight="1">
      <c r="A1570" s="9"/>
      <c r="B1570" s="8"/>
      <c r="C1570" s="8"/>
      <c r="D1570" s="8"/>
      <c r="E1570" s="8"/>
      <c r="F1570" s="8"/>
      <c r="G1570" s="8"/>
      <c r="H1570" s="8"/>
      <c r="I1570" s="10"/>
      <c r="J1570" s="10"/>
      <c r="K1570" s="18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</row>
    <row r="1571" ht="14.25" customHeight="1">
      <c r="A1571" s="9"/>
      <c r="B1571" s="8"/>
      <c r="C1571" s="8"/>
      <c r="D1571" s="8"/>
      <c r="E1571" s="8"/>
      <c r="F1571" s="8"/>
      <c r="G1571" s="8"/>
      <c r="H1571" s="8"/>
      <c r="I1571" s="10"/>
      <c r="J1571" s="10"/>
      <c r="K1571" s="18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</row>
    <row r="1572" ht="14.25" customHeight="1">
      <c r="A1572" s="9"/>
      <c r="B1572" s="8"/>
      <c r="C1572" s="8"/>
      <c r="D1572" s="8"/>
      <c r="E1572" s="8"/>
      <c r="F1572" s="8"/>
      <c r="G1572" s="8"/>
      <c r="H1572" s="8"/>
      <c r="I1572" s="10"/>
      <c r="J1572" s="10"/>
      <c r="K1572" s="18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</row>
    <row r="1573" ht="14.25" customHeight="1">
      <c r="A1573" s="9"/>
      <c r="B1573" s="8"/>
      <c r="C1573" s="8"/>
      <c r="D1573" s="8"/>
      <c r="E1573" s="8"/>
      <c r="F1573" s="8"/>
      <c r="G1573" s="8"/>
      <c r="H1573" s="8"/>
      <c r="I1573" s="10"/>
      <c r="J1573" s="10"/>
      <c r="K1573" s="18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</row>
    <row r="1574" ht="14.25" customHeight="1">
      <c r="A1574" s="9"/>
      <c r="B1574" s="8"/>
      <c r="C1574" s="8"/>
      <c r="D1574" s="8"/>
      <c r="E1574" s="8"/>
      <c r="F1574" s="8"/>
      <c r="G1574" s="8"/>
      <c r="H1574" s="8"/>
      <c r="I1574" s="10"/>
      <c r="J1574" s="10"/>
      <c r="K1574" s="18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</row>
    <row r="1575" ht="14.25" customHeight="1">
      <c r="A1575" s="9"/>
      <c r="B1575" s="8"/>
      <c r="C1575" s="8"/>
      <c r="D1575" s="8"/>
      <c r="E1575" s="8"/>
      <c r="F1575" s="8"/>
      <c r="G1575" s="8"/>
      <c r="H1575" s="8"/>
      <c r="I1575" s="10"/>
      <c r="J1575" s="10"/>
      <c r="K1575" s="18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</row>
    <row r="1576" ht="14.25" customHeight="1">
      <c r="A1576" s="9"/>
      <c r="B1576" s="8"/>
      <c r="C1576" s="8"/>
      <c r="D1576" s="8"/>
      <c r="E1576" s="8"/>
      <c r="F1576" s="8"/>
      <c r="G1576" s="8"/>
      <c r="H1576" s="8"/>
      <c r="I1576" s="10"/>
      <c r="J1576" s="10"/>
      <c r="K1576" s="18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</row>
    <row r="1577" ht="14.25" customHeight="1">
      <c r="A1577" s="9"/>
      <c r="B1577" s="8"/>
      <c r="C1577" s="8"/>
      <c r="D1577" s="8"/>
      <c r="E1577" s="8"/>
      <c r="F1577" s="8"/>
      <c r="G1577" s="8"/>
      <c r="H1577" s="8"/>
      <c r="I1577" s="10"/>
      <c r="J1577" s="10"/>
      <c r="K1577" s="18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</row>
    <row r="1578" ht="14.25" customHeight="1">
      <c r="A1578" s="9"/>
      <c r="B1578" s="8"/>
      <c r="C1578" s="8"/>
      <c r="D1578" s="8"/>
      <c r="E1578" s="8"/>
      <c r="F1578" s="8"/>
      <c r="G1578" s="8"/>
      <c r="H1578" s="8"/>
      <c r="I1578" s="10"/>
      <c r="J1578" s="10"/>
      <c r="K1578" s="18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</row>
    <row r="1579" ht="14.25" customHeight="1">
      <c r="A1579" s="9"/>
      <c r="B1579" s="8"/>
      <c r="C1579" s="8"/>
      <c r="D1579" s="8"/>
      <c r="E1579" s="8"/>
      <c r="F1579" s="8"/>
      <c r="G1579" s="8"/>
      <c r="H1579" s="8"/>
      <c r="I1579" s="10"/>
      <c r="J1579" s="10"/>
      <c r="K1579" s="18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</row>
    <row r="1580" ht="14.25" customHeight="1">
      <c r="A1580" s="9"/>
      <c r="B1580" s="8"/>
      <c r="C1580" s="8"/>
      <c r="D1580" s="8"/>
      <c r="E1580" s="8"/>
      <c r="F1580" s="8"/>
      <c r="G1580" s="8"/>
      <c r="H1580" s="8"/>
      <c r="I1580" s="10"/>
      <c r="J1580" s="10"/>
      <c r="K1580" s="18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</row>
    <row r="1581" ht="14.25" customHeight="1">
      <c r="A1581" s="9"/>
      <c r="B1581" s="8"/>
      <c r="C1581" s="8"/>
      <c r="D1581" s="8"/>
      <c r="E1581" s="8"/>
      <c r="F1581" s="8"/>
      <c r="G1581" s="8"/>
      <c r="H1581" s="8"/>
      <c r="I1581" s="10"/>
      <c r="J1581" s="10"/>
      <c r="K1581" s="18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</row>
    <row r="1582" ht="14.25" customHeight="1">
      <c r="A1582" s="9"/>
      <c r="B1582" s="8"/>
      <c r="C1582" s="8"/>
      <c r="D1582" s="8"/>
      <c r="E1582" s="8"/>
      <c r="F1582" s="8"/>
      <c r="G1582" s="8"/>
      <c r="H1582" s="8"/>
      <c r="I1582" s="10"/>
      <c r="J1582" s="10"/>
      <c r="K1582" s="18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</row>
    <row r="1583" ht="14.25" customHeight="1">
      <c r="A1583" s="9"/>
      <c r="B1583" s="8"/>
      <c r="C1583" s="8"/>
      <c r="D1583" s="8"/>
      <c r="E1583" s="8"/>
      <c r="F1583" s="8"/>
      <c r="G1583" s="8"/>
      <c r="H1583" s="8"/>
      <c r="I1583" s="10"/>
      <c r="J1583" s="10"/>
      <c r="K1583" s="18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</row>
    <row r="1584" ht="14.25" customHeight="1">
      <c r="A1584" s="9"/>
      <c r="B1584" s="8"/>
      <c r="C1584" s="8"/>
      <c r="D1584" s="8"/>
      <c r="E1584" s="8"/>
      <c r="F1584" s="8"/>
      <c r="G1584" s="8"/>
      <c r="H1584" s="8"/>
      <c r="I1584" s="10"/>
      <c r="J1584" s="10"/>
      <c r="K1584" s="18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</row>
    <row r="1585" ht="14.25" customHeight="1">
      <c r="A1585" s="9"/>
      <c r="B1585" s="8"/>
      <c r="C1585" s="8"/>
      <c r="D1585" s="8"/>
      <c r="E1585" s="8"/>
      <c r="F1585" s="8"/>
      <c r="G1585" s="8"/>
      <c r="H1585" s="8"/>
      <c r="I1585" s="10"/>
      <c r="J1585" s="10"/>
      <c r="K1585" s="18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</row>
    <row r="1586" ht="14.25" customHeight="1">
      <c r="A1586" s="9"/>
      <c r="B1586" s="8"/>
      <c r="C1586" s="8"/>
      <c r="D1586" s="8"/>
      <c r="E1586" s="8"/>
      <c r="F1586" s="8"/>
      <c r="G1586" s="8"/>
      <c r="H1586" s="8"/>
      <c r="I1586" s="10"/>
      <c r="J1586" s="10"/>
      <c r="K1586" s="18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</row>
    <row r="1587" ht="14.25" customHeight="1">
      <c r="A1587" s="9"/>
      <c r="B1587" s="8"/>
      <c r="C1587" s="8"/>
      <c r="D1587" s="8"/>
      <c r="E1587" s="8"/>
      <c r="F1587" s="8"/>
      <c r="G1587" s="8"/>
      <c r="H1587" s="8"/>
      <c r="I1587" s="10"/>
      <c r="J1587" s="10"/>
      <c r="K1587" s="18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</row>
    <row r="1588" ht="14.25" customHeight="1">
      <c r="A1588" s="9"/>
      <c r="B1588" s="8"/>
      <c r="C1588" s="8"/>
      <c r="D1588" s="8"/>
      <c r="E1588" s="8"/>
      <c r="F1588" s="8"/>
      <c r="G1588" s="8"/>
      <c r="H1588" s="8"/>
      <c r="I1588" s="10"/>
      <c r="J1588" s="10"/>
      <c r="K1588" s="18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</row>
    <row r="1589" ht="14.25" customHeight="1">
      <c r="A1589" s="9"/>
      <c r="B1589" s="8"/>
      <c r="C1589" s="8"/>
      <c r="D1589" s="8"/>
      <c r="E1589" s="8"/>
      <c r="F1589" s="8"/>
      <c r="G1589" s="8"/>
      <c r="H1589" s="8"/>
      <c r="I1589" s="10"/>
      <c r="J1589" s="10"/>
      <c r="K1589" s="18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</row>
    <row r="1590" ht="14.25" customHeight="1">
      <c r="A1590" s="9"/>
      <c r="B1590" s="8"/>
      <c r="C1590" s="8"/>
      <c r="D1590" s="8"/>
      <c r="E1590" s="8"/>
      <c r="F1590" s="8"/>
      <c r="G1590" s="8"/>
      <c r="H1590" s="8"/>
      <c r="I1590" s="10"/>
      <c r="J1590" s="10"/>
      <c r="K1590" s="18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</row>
    <row r="1591" ht="14.25" customHeight="1">
      <c r="A1591" s="9"/>
      <c r="B1591" s="8"/>
      <c r="C1591" s="8"/>
      <c r="D1591" s="8"/>
      <c r="E1591" s="8"/>
      <c r="F1591" s="8"/>
      <c r="G1591" s="8"/>
      <c r="H1591" s="8"/>
      <c r="I1591" s="10"/>
      <c r="J1591" s="10"/>
      <c r="K1591" s="18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</row>
    <row r="1592" ht="14.25" customHeight="1">
      <c r="A1592" s="9"/>
      <c r="B1592" s="8"/>
      <c r="C1592" s="8"/>
      <c r="D1592" s="8"/>
      <c r="E1592" s="8"/>
      <c r="F1592" s="8"/>
      <c r="G1592" s="8"/>
      <c r="H1592" s="8"/>
      <c r="I1592" s="10"/>
      <c r="J1592" s="10"/>
      <c r="K1592" s="18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</row>
    <row r="1593" ht="14.25" customHeight="1">
      <c r="A1593" s="9"/>
      <c r="B1593" s="8"/>
      <c r="C1593" s="8"/>
      <c r="D1593" s="8"/>
      <c r="E1593" s="8"/>
      <c r="F1593" s="8"/>
      <c r="G1593" s="8"/>
      <c r="H1593" s="8"/>
      <c r="I1593" s="10"/>
      <c r="J1593" s="10"/>
      <c r="K1593" s="18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</row>
    <row r="1594" ht="14.25" customHeight="1">
      <c r="A1594" s="9"/>
      <c r="B1594" s="8"/>
      <c r="C1594" s="8"/>
      <c r="D1594" s="8"/>
      <c r="E1594" s="8"/>
      <c r="F1594" s="8"/>
      <c r="G1594" s="8"/>
      <c r="H1594" s="8"/>
      <c r="I1594" s="10"/>
      <c r="J1594" s="10"/>
      <c r="K1594" s="18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</row>
    <row r="1595" ht="14.25" customHeight="1">
      <c r="A1595" s="9"/>
      <c r="B1595" s="8"/>
      <c r="C1595" s="8"/>
      <c r="D1595" s="8"/>
      <c r="E1595" s="8"/>
      <c r="F1595" s="8"/>
      <c r="G1595" s="8"/>
      <c r="H1595" s="8"/>
      <c r="I1595" s="10"/>
      <c r="J1595" s="10"/>
      <c r="K1595" s="18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</row>
    <row r="1596" ht="14.25" customHeight="1">
      <c r="A1596" s="9"/>
      <c r="B1596" s="8"/>
      <c r="C1596" s="8"/>
      <c r="D1596" s="8"/>
      <c r="E1596" s="8"/>
      <c r="F1596" s="8"/>
      <c r="G1596" s="8"/>
      <c r="H1596" s="8"/>
      <c r="I1596" s="10"/>
      <c r="J1596" s="10"/>
      <c r="K1596" s="18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</row>
    <row r="1597" ht="14.25" customHeight="1">
      <c r="A1597" s="9"/>
      <c r="B1597" s="8"/>
      <c r="C1597" s="8"/>
      <c r="D1597" s="8"/>
      <c r="E1597" s="8"/>
      <c r="F1597" s="8"/>
      <c r="G1597" s="8"/>
      <c r="H1597" s="8"/>
      <c r="I1597" s="10"/>
      <c r="J1597" s="10"/>
      <c r="K1597" s="18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</row>
    <row r="1598" ht="14.25" customHeight="1">
      <c r="A1598" s="9"/>
      <c r="B1598" s="8"/>
      <c r="C1598" s="8"/>
      <c r="D1598" s="8"/>
      <c r="E1598" s="8"/>
      <c r="F1598" s="8"/>
      <c r="G1598" s="8"/>
      <c r="H1598" s="8"/>
      <c r="I1598" s="10"/>
      <c r="J1598" s="10"/>
      <c r="K1598" s="18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</row>
    <row r="1599" ht="14.25" customHeight="1">
      <c r="A1599" s="9"/>
      <c r="B1599" s="8"/>
      <c r="C1599" s="8"/>
      <c r="D1599" s="8"/>
      <c r="E1599" s="8"/>
      <c r="F1599" s="8"/>
      <c r="G1599" s="8"/>
      <c r="H1599" s="8"/>
      <c r="I1599" s="10"/>
      <c r="J1599" s="10"/>
      <c r="K1599" s="18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</row>
    <row r="1600" ht="14.25" customHeight="1">
      <c r="A1600" s="9"/>
      <c r="B1600" s="8"/>
      <c r="C1600" s="8"/>
      <c r="D1600" s="8"/>
      <c r="E1600" s="8"/>
      <c r="F1600" s="8"/>
      <c r="G1600" s="8"/>
      <c r="H1600" s="8"/>
      <c r="I1600" s="10"/>
      <c r="J1600" s="10"/>
      <c r="K1600" s="18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</row>
    <row r="1601" ht="14.25" customHeight="1">
      <c r="A1601" s="9"/>
      <c r="B1601" s="8"/>
      <c r="C1601" s="8"/>
      <c r="D1601" s="8"/>
      <c r="E1601" s="8"/>
      <c r="F1601" s="8"/>
      <c r="G1601" s="8"/>
      <c r="H1601" s="8"/>
      <c r="I1601" s="10"/>
      <c r="J1601" s="10"/>
      <c r="K1601" s="18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</row>
    <row r="1602" ht="14.25" customHeight="1">
      <c r="A1602" s="9"/>
      <c r="B1602" s="8"/>
      <c r="C1602" s="8"/>
      <c r="D1602" s="8"/>
      <c r="E1602" s="8"/>
      <c r="F1602" s="8"/>
      <c r="G1602" s="8"/>
      <c r="H1602" s="8"/>
      <c r="I1602" s="10"/>
      <c r="J1602" s="10"/>
      <c r="K1602" s="18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</row>
    <row r="1603" ht="14.25" customHeight="1">
      <c r="A1603" s="9"/>
      <c r="B1603" s="8"/>
      <c r="C1603" s="8"/>
      <c r="D1603" s="8"/>
      <c r="E1603" s="8"/>
      <c r="F1603" s="8"/>
      <c r="G1603" s="8"/>
      <c r="H1603" s="8"/>
      <c r="I1603" s="10"/>
      <c r="J1603" s="10"/>
      <c r="K1603" s="18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</row>
    <row r="1604" ht="14.25" customHeight="1">
      <c r="A1604" s="9"/>
      <c r="B1604" s="8"/>
      <c r="C1604" s="8"/>
      <c r="D1604" s="8"/>
      <c r="E1604" s="8"/>
      <c r="F1604" s="8"/>
      <c r="G1604" s="8"/>
      <c r="H1604" s="8"/>
      <c r="I1604" s="10"/>
      <c r="J1604" s="10"/>
      <c r="K1604" s="18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</row>
    <row r="1605" ht="14.25" customHeight="1">
      <c r="A1605" s="9"/>
      <c r="B1605" s="8"/>
      <c r="C1605" s="8"/>
      <c r="D1605" s="8"/>
      <c r="E1605" s="8"/>
      <c r="F1605" s="8"/>
      <c r="G1605" s="8"/>
      <c r="H1605" s="8"/>
      <c r="I1605" s="10"/>
      <c r="J1605" s="10"/>
      <c r="K1605" s="18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</row>
    <row r="1606" ht="14.25" customHeight="1">
      <c r="A1606" s="9"/>
      <c r="B1606" s="8"/>
      <c r="C1606" s="8"/>
      <c r="D1606" s="8"/>
      <c r="E1606" s="8"/>
      <c r="F1606" s="8"/>
      <c r="G1606" s="8"/>
      <c r="H1606" s="8"/>
      <c r="I1606" s="10"/>
      <c r="J1606" s="10"/>
      <c r="K1606" s="18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</row>
    <row r="1607" ht="14.25" customHeight="1">
      <c r="A1607" s="9"/>
      <c r="B1607" s="8"/>
      <c r="C1607" s="8"/>
      <c r="D1607" s="8"/>
      <c r="E1607" s="8"/>
      <c r="F1607" s="8"/>
      <c r="G1607" s="8"/>
      <c r="H1607" s="8"/>
      <c r="I1607" s="10"/>
      <c r="J1607" s="10"/>
      <c r="K1607" s="18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</row>
    <row r="1608" ht="14.25" customHeight="1">
      <c r="A1608" s="9"/>
      <c r="B1608" s="8"/>
      <c r="C1608" s="8"/>
      <c r="D1608" s="8"/>
      <c r="E1608" s="8"/>
      <c r="F1608" s="8"/>
      <c r="G1608" s="8"/>
      <c r="H1608" s="8"/>
      <c r="I1608" s="10"/>
      <c r="J1608" s="10"/>
      <c r="K1608" s="18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</row>
    <row r="1609" ht="14.25" customHeight="1">
      <c r="A1609" s="9"/>
      <c r="B1609" s="8"/>
      <c r="C1609" s="8"/>
      <c r="D1609" s="8"/>
      <c r="E1609" s="8"/>
      <c r="F1609" s="8"/>
      <c r="G1609" s="8"/>
      <c r="H1609" s="8"/>
      <c r="I1609" s="10"/>
      <c r="J1609" s="10"/>
      <c r="K1609" s="18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</row>
    <row r="1610" ht="14.25" customHeight="1">
      <c r="A1610" s="9"/>
      <c r="B1610" s="8"/>
      <c r="C1610" s="8"/>
      <c r="D1610" s="8"/>
      <c r="E1610" s="8"/>
      <c r="F1610" s="8"/>
      <c r="G1610" s="8"/>
      <c r="H1610" s="8"/>
      <c r="I1610" s="10"/>
      <c r="J1610" s="10"/>
      <c r="K1610" s="18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</row>
    <row r="1611" ht="14.25" customHeight="1">
      <c r="A1611" s="9"/>
      <c r="B1611" s="8"/>
      <c r="C1611" s="8"/>
      <c r="D1611" s="8"/>
      <c r="E1611" s="8"/>
      <c r="F1611" s="8"/>
      <c r="G1611" s="8"/>
      <c r="H1611" s="8"/>
      <c r="I1611" s="10"/>
      <c r="J1611" s="10"/>
      <c r="K1611" s="18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</row>
    <row r="1612" ht="14.25" customHeight="1">
      <c r="A1612" s="9"/>
      <c r="B1612" s="8"/>
      <c r="C1612" s="8"/>
      <c r="D1612" s="8"/>
      <c r="E1612" s="8"/>
      <c r="F1612" s="8"/>
      <c r="G1612" s="8"/>
      <c r="H1612" s="8"/>
      <c r="I1612" s="10"/>
      <c r="J1612" s="10"/>
      <c r="K1612" s="18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</row>
    <row r="1613" ht="14.25" customHeight="1">
      <c r="A1613" s="9"/>
      <c r="B1613" s="8"/>
      <c r="C1613" s="8"/>
      <c r="D1613" s="8"/>
      <c r="E1613" s="8"/>
      <c r="F1613" s="8"/>
      <c r="G1613" s="8"/>
      <c r="H1613" s="8"/>
      <c r="I1613" s="10"/>
      <c r="J1613" s="10"/>
      <c r="K1613" s="18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</row>
    <row r="1614" ht="14.25" customHeight="1">
      <c r="A1614" s="9"/>
      <c r="B1614" s="8"/>
      <c r="C1614" s="8"/>
      <c r="D1614" s="8"/>
      <c r="E1614" s="8"/>
      <c r="F1614" s="8"/>
      <c r="G1614" s="8"/>
      <c r="H1614" s="8"/>
      <c r="I1614" s="10"/>
      <c r="J1614" s="10"/>
      <c r="K1614" s="18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</row>
    <row r="1615" ht="14.25" customHeight="1">
      <c r="A1615" s="9"/>
      <c r="B1615" s="8"/>
      <c r="C1615" s="8"/>
      <c r="D1615" s="8"/>
      <c r="E1615" s="8"/>
      <c r="F1615" s="8"/>
      <c r="G1615" s="8"/>
      <c r="H1615" s="8"/>
      <c r="I1615" s="10"/>
      <c r="J1615" s="10"/>
      <c r="K1615" s="18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</row>
    <row r="1616" ht="14.25" customHeight="1">
      <c r="A1616" s="9"/>
      <c r="B1616" s="8"/>
      <c r="C1616" s="8"/>
      <c r="D1616" s="8"/>
      <c r="E1616" s="8"/>
      <c r="F1616" s="8"/>
      <c r="G1616" s="8"/>
      <c r="H1616" s="8"/>
      <c r="I1616" s="10"/>
      <c r="J1616" s="10"/>
      <c r="K1616" s="18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</row>
    <row r="1617" ht="14.25" customHeight="1">
      <c r="A1617" s="9"/>
      <c r="B1617" s="8"/>
      <c r="C1617" s="8"/>
      <c r="D1617" s="8"/>
      <c r="E1617" s="8"/>
      <c r="F1617" s="8"/>
      <c r="G1617" s="8"/>
      <c r="H1617" s="8"/>
      <c r="I1617" s="10"/>
      <c r="J1617" s="10"/>
      <c r="K1617" s="18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</row>
    <row r="1618" ht="14.25" customHeight="1">
      <c r="A1618" s="9"/>
      <c r="B1618" s="8"/>
      <c r="C1618" s="8"/>
      <c r="D1618" s="8"/>
      <c r="E1618" s="8"/>
      <c r="F1618" s="8"/>
      <c r="G1618" s="8"/>
      <c r="H1618" s="8"/>
      <c r="I1618" s="10"/>
      <c r="J1618" s="10"/>
      <c r="K1618" s="18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</row>
    <row r="1619" ht="14.25" customHeight="1">
      <c r="A1619" s="9"/>
      <c r="B1619" s="8"/>
      <c r="C1619" s="8"/>
      <c r="D1619" s="8"/>
      <c r="E1619" s="8"/>
      <c r="F1619" s="8"/>
      <c r="G1619" s="8"/>
      <c r="H1619" s="8"/>
      <c r="I1619" s="10"/>
      <c r="J1619" s="10"/>
      <c r="K1619" s="18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</row>
    <row r="1620" ht="14.25" customHeight="1">
      <c r="A1620" s="9"/>
      <c r="B1620" s="8"/>
      <c r="C1620" s="8"/>
      <c r="D1620" s="8"/>
      <c r="E1620" s="8"/>
      <c r="F1620" s="8"/>
      <c r="G1620" s="8"/>
      <c r="H1620" s="8"/>
      <c r="I1620" s="10"/>
      <c r="J1620" s="10"/>
      <c r="K1620" s="18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</row>
    <row r="1621" ht="14.25" customHeight="1">
      <c r="A1621" s="9"/>
      <c r="B1621" s="8"/>
      <c r="C1621" s="8"/>
      <c r="D1621" s="8"/>
      <c r="E1621" s="8"/>
      <c r="F1621" s="8"/>
      <c r="G1621" s="8"/>
      <c r="H1621" s="8"/>
      <c r="I1621" s="10"/>
      <c r="J1621" s="10"/>
      <c r="K1621" s="18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</row>
    <row r="1622" ht="14.25" customHeight="1">
      <c r="A1622" s="9"/>
      <c r="B1622" s="8"/>
      <c r="C1622" s="8"/>
      <c r="D1622" s="8"/>
      <c r="E1622" s="8"/>
      <c r="F1622" s="8"/>
      <c r="G1622" s="8"/>
      <c r="H1622" s="8"/>
      <c r="I1622" s="10"/>
      <c r="J1622" s="10"/>
      <c r="K1622" s="18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</row>
    <row r="1623" ht="14.25" customHeight="1">
      <c r="A1623" s="9"/>
      <c r="B1623" s="8"/>
      <c r="C1623" s="8"/>
      <c r="D1623" s="8"/>
      <c r="E1623" s="8"/>
      <c r="F1623" s="8"/>
      <c r="G1623" s="8"/>
      <c r="H1623" s="8"/>
      <c r="I1623" s="10"/>
      <c r="J1623" s="10"/>
      <c r="K1623" s="18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</row>
    <row r="1624" ht="14.25" customHeight="1">
      <c r="A1624" s="9"/>
      <c r="B1624" s="8"/>
      <c r="C1624" s="8"/>
      <c r="D1624" s="8"/>
      <c r="E1624" s="8"/>
      <c r="F1624" s="8"/>
      <c r="G1624" s="8"/>
      <c r="H1624" s="8"/>
      <c r="I1624" s="10"/>
      <c r="J1624" s="10"/>
      <c r="K1624" s="18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</row>
    <row r="1625" ht="14.25" customHeight="1">
      <c r="A1625" s="9"/>
      <c r="B1625" s="8"/>
      <c r="C1625" s="8"/>
      <c r="D1625" s="8"/>
      <c r="E1625" s="8"/>
      <c r="F1625" s="8"/>
      <c r="G1625" s="8"/>
      <c r="H1625" s="8"/>
      <c r="I1625" s="10"/>
      <c r="J1625" s="10"/>
      <c r="K1625" s="18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</row>
    <row r="1626" ht="14.25" customHeight="1">
      <c r="A1626" s="9"/>
      <c r="B1626" s="8"/>
      <c r="C1626" s="8"/>
      <c r="D1626" s="8"/>
      <c r="E1626" s="8"/>
      <c r="F1626" s="8"/>
      <c r="G1626" s="8"/>
      <c r="H1626" s="8"/>
      <c r="I1626" s="10"/>
      <c r="J1626" s="10"/>
      <c r="K1626" s="18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</row>
    <row r="1627" ht="14.25" customHeight="1">
      <c r="A1627" s="9"/>
      <c r="B1627" s="8"/>
      <c r="C1627" s="8"/>
      <c r="D1627" s="8"/>
      <c r="E1627" s="8"/>
      <c r="F1627" s="8"/>
      <c r="G1627" s="8"/>
      <c r="H1627" s="8"/>
      <c r="I1627" s="10"/>
      <c r="J1627" s="10"/>
      <c r="K1627" s="18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</row>
    <row r="1628" ht="14.25" customHeight="1">
      <c r="A1628" s="9"/>
      <c r="B1628" s="8"/>
      <c r="C1628" s="8"/>
      <c r="D1628" s="8"/>
      <c r="E1628" s="8"/>
      <c r="F1628" s="8"/>
      <c r="G1628" s="8"/>
      <c r="H1628" s="8"/>
      <c r="I1628" s="10"/>
      <c r="J1628" s="10"/>
      <c r="K1628" s="18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</row>
    <row r="1629" ht="14.25" customHeight="1">
      <c r="A1629" s="9"/>
      <c r="B1629" s="8"/>
      <c r="C1629" s="8"/>
      <c r="D1629" s="8"/>
      <c r="E1629" s="8"/>
      <c r="F1629" s="8"/>
      <c r="G1629" s="8"/>
      <c r="H1629" s="8"/>
      <c r="I1629" s="10"/>
      <c r="J1629" s="10"/>
      <c r="K1629" s="18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</row>
    <row r="1630" ht="14.25" customHeight="1">
      <c r="A1630" s="9"/>
      <c r="B1630" s="8"/>
      <c r="C1630" s="8"/>
      <c r="D1630" s="8"/>
      <c r="E1630" s="8"/>
      <c r="F1630" s="8"/>
      <c r="G1630" s="8"/>
      <c r="H1630" s="8"/>
      <c r="I1630" s="10"/>
      <c r="J1630" s="10"/>
      <c r="K1630" s="18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</row>
    <row r="1631" ht="14.25" customHeight="1">
      <c r="A1631" s="9"/>
      <c r="B1631" s="8"/>
      <c r="C1631" s="8"/>
      <c r="D1631" s="8"/>
      <c r="E1631" s="8"/>
      <c r="F1631" s="8"/>
      <c r="G1631" s="8"/>
      <c r="H1631" s="8"/>
      <c r="I1631" s="10"/>
      <c r="J1631" s="10"/>
      <c r="K1631" s="18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</row>
    <row r="1632" ht="14.25" customHeight="1">
      <c r="A1632" s="9"/>
      <c r="B1632" s="8"/>
      <c r="C1632" s="8"/>
      <c r="D1632" s="8"/>
      <c r="E1632" s="8"/>
      <c r="F1632" s="8"/>
      <c r="G1632" s="8"/>
      <c r="H1632" s="8"/>
      <c r="I1632" s="10"/>
      <c r="J1632" s="10"/>
      <c r="K1632" s="18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</row>
    <row r="1633" ht="14.25" customHeight="1">
      <c r="A1633" s="9"/>
      <c r="B1633" s="8"/>
      <c r="C1633" s="8"/>
      <c r="D1633" s="8"/>
      <c r="E1633" s="8"/>
      <c r="F1633" s="8"/>
      <c r="G1633" s="8"/>
      <c r="H1633" s="8"/>
      <c r="I1633" s="10"/>
      <c r="J1633" s="10"/>
      <c r="K1633" s="18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</row>
    <row r="1634" ht="14.25" customHeight="1">
      <c r="A1634" s="9"/>
      <c r="B1634" s="8"/>
      <c r="C1634" s="8"/>
      <c r="D1634" s="8"/>
      <c r="E1634" s="8"/>
      <c r="F1634" s="8"/>
      <c r="G1634" s="8"/>
      <c r="H1634" s="8"/>
      <c r="I1634" s="10"/>
      <c r="J1634" s="10"/>
      <c r="K1634" s="18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</row>
    <row r="1635" ht="14.25" customHeight="1">
      <c r="A1635" s="9"/>
      <c r="B1635" s="8"/>
      <c r="C1635" s="8"/>
      <c r="D1635" s="8"/>
      <c r="E1635" s="8"/>
      <c r="F1635" s="8"/>
      <c r="G1635" s="8"/>
      <c r="H1635" s="8"/>
      <c r="I1635" s="10"/>
      <c r="J1635" s="10"/>
      <c r="K1635" s="18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</row>
    <row r="1636" ht="14.25" customHeight="1">
      <c r="A1636" s="9"/>
      <c r="B1636" s="8"/>
      <c r="C1636" s="8"/>
      <c r="D1636" s="8"/>
      <c r="E1636" s="8"/>
      <c r="F1636" s="8"/>
      <c r="G1636" s="8"/>
      <c r="H1636" s="8"/>
      <c r="I1636" s="10"/>
      <c r="J1636" s="10"/>
      <c r="K1636" s="18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</row>
    <row r="1637" ht="14.25" customHeight="1">
      <c r="A1637" s="9"/>
      <c r="B1637" s="8"/>
      <c r="C1637" s="8"/>
      <c r="D1637" s="8"/>
      <c r="E1637" s="8"/>
      <c r="F1637" s="8"/>
      <c r="G1637" s="8"/>
      <c r="H1637" s="8"/>
      <c r="I1637" s="10"/>
      <c r="J1637" s="10"/>
      <c r="K1637" s="18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</row>
    <row r="1638" ht="14.25" customHeight="1">
      <c r="A1638" s="9"/>
      <c r="B1638" s="8"/>
      <c r="C1638" s="8"/>
      <c r="D1638" s="8"/>
      <c r="E1638" s="8"/>
      <c r="F1638" s="8"/>
      <c r="G1638" s="8"/>
      <c r="H1638" s="8"/>
      <c r="I1638" s="10"/>
      <c r="J1638" s="10"/>
      <c r="K1638" s="18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</row>
    <row r="1639" ht="14.25" customHeight="1">
      <c r="A1639" s="9"/>
      <c r="B1639" s="8"/>
      <c r="C1639" s="8"/>
      <c r="D1639" s="8"/>
      <c r="E1639" s="8"/>
      <c r="F1639" s="8"/>
      <c r="G1639" s="8"/>
      <c r="H1639" s="8"/>
      <c r="I1639" s="10"/>
      <c r="J1639" s="10"/>
      <c r="K1639" s="18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</row>
    <row r="1640" ht="14.25" customHeight="1">
      <c r="A1640" s="9"/>
      <c r="B1640" s="8"/>
      <c r="C1640" s="8"/>
      <c r="D1640" s="8"/>
      <c r="E1640" s="8"/>
      <c r="F1640" s="8"/>
      <c r="G1640" s="8"/>
      <c r="H1640" s="8"/>
      <c r="I1640" s="10"/>
      <c r="J1640" s="10"/>
      <c r="K1640" s="18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</row>
    <row r="1641" ht="14.25" customHeight="1">
      <c r="A1641" s="9"/>
      <c r="B1641" s="8"/>
      <c r="C1641" s="8"/>
      <c r="D1641" s="8"/>
      <c r="E1641" s="8"/>
      <c r="F1641" s="8"/>
      <c r="G1641" s="8"/>
      <c r="H1641" s="8"/>
      <c r="I1641" s="10"/>
      <c r="J1641" s="10"/>
      <c r="K1641" s="18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</row>
    <row r="1642" ht="14.25" customHeight="1">
      <c r="A1642" s="9"/>
      <c r="B1642" s="8"/>
      <c r="C1642" s="8"/>
      <c r="D1642" s="8"/>
      <c r="E1642" s="8"/>
      <c r="F1642" s="8"/>
      <c r="G1642" s="8"/>
      <c r="H1642" s="8"/>
      <c r="I1642" s="10"/>
      <c r="J1642" s="10"/>
      <c r="K1642" s="18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</row>
    <row r="1643" ht="14.25" customHeight="1">
      <c r="A1643" s="9"/>
      <c r="B1643" s="8"/>
      <c r="C1643" s="8"/>
      <c r="D1643" s="8"/>
      <c r="E1643" s="8"/>
      <c r="F1643" s="8"/>
      <c r="G1643" s="8"/>
      <c r="H1643" s="8"/>
      <c r="I1643" s="10"/>
      <c r="J1643" s="10"/>
      <c r="K1643" s="18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</row>
    <row r="1644" ht="14.25" customHeight="1">
      <c r="A1644" s="9"/>
      <c r="B1644" s="8"/>
      <c r="C1644" s="8"/>
      <c r="D1644" s="8"/>
      <c r="E1644" s="8"/>
      <c r="F1644" s="8"/>
      <c r="G1644" s="8"/>
      <c r="H1644" s="8"/>
      <c r="I1644" s="10"/>
      <c r="J1644" s="10"/>
      <c r="K1644" s="18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</row>
    <row r="1645" ht="14.25" customHeight="1">
      <c r="A1645" s="9"/>
      <c r="B1645" s="8"/>
      <c r="C1645" s="8"/>
      <c r="D1645" s="8"/>
      <c r="E1645" s="8"/>
      <c r="F1645" s="8"/>
      <c r="G1645" s="8"/>
      <c r="H1645" s="8"/>
      <c r="I1645" s="10"/>
      <c r="J1645" s="10"/>
      <c r="K1645" s="18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</row>
    <row r="1646" ht="14.25" customHeight="1">
      <c r="A1646" s="9"/>
      <c r="B1646" s="8"/>
      <c r="C1646" s="8"/>
      <c r="D1646" s="8"/>
      <c r="E1646" s="8"/>
      <c r="F1646" s="8"/>
      <c r="G1646" s="8"/>
      <c r="H1646" s="8"/>
      <c r="I1646" s="10"/>
      <c r="J1646" s="10"/>
      <c r="K1646" s="18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</row>
    <row r="1647" ht="14.25" customHeight="1">
      <c r="A1647" s="9"/>
      <c r="B1647" s="8"/>
      <c r="C1647" s="8"/>
      <c r="D1647" s="8"/>
      <c r="E1647" s="8"/>
      <c r="F1647" s="8"/>
      <c r="G1647" s="8"/>
      <c r="H1647" s="8"/>
      <c r="I1647" s="10"/>
      <c r="J1647" s="10"/>
      <c r="K1647" s="18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</row>
    <row r="1648" ht="14.25" customHeight="1">
      <c r="A1648" s="9"/>
      <c r="B1648" s="8"/>
      <c r="C1648" s="8"/>
      <c r="D1648" s="8"/>
      <c r="E1648" s="8"/>
      <c r="F1648" s="8"/>
      <c r="G1648" s="8"/>
      <c r="H1648" s="8"/>
      <c r="I1648" s="10"/>
      <c r="J1648" s="10"/>
      <c r="K1648" s="18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</row>
    <row r="1649" ht="14.25" customHeight="1">
      <c r="A1649" s="9"/>
      <c r="B1649" s="8"/>
      <c r="C1649" s="8"/>
      <c r="D1649" s="8"/>
      <c r="E1649" s="8"/>
      <c r="F1649" s="8"/>
      <c r="G1649" s="8"/>
      <c r="H1649" s="8"/>
      <c r="I1649" s="10"/>
      <c r="J1649" s="10"/>
      <c r="K1649" s="18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</row>
    <row r="1650" ht="14.25" customHeight="1">
      <c r="A1650" s="9"/>
      <c r="B1650" s="8"/>
      <c r="C1650" s="8"/>
      <c r="D1650" s="8"/>
      <c r="E1650" s="8"/>
      <c r="F1650" s="8"/>
      <c r="G1650" s="8"/>
      <c r="H1650" s="8"/>
      <c r="I1650" s="10"/>
      <c r="J1650" s="10"/>
      <c r="K1650" s="18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</row>
    <row r="1651" ht="14.25" customHeight="1">
      <c r="A1651" s="9"/>
      <c r="B1651" s="8"/>
      <c r="C1651" s="8"/>
      <c r="D1651" s="8"/>
      <c r="E1651" s="8"/>
      <c r="F1651" s="8"/>
      <c r="G1651" s="8"/>
      <c r="H1651" s="8"/>
      <c r="I1651" s="10"/>
      <c r="J1651" s="10"/>
      <c r="K1651" s="18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</row>
    <row r="1652" ht="14.25" customHeight="1">
      <c r="A1652" s="9"/>
      <c r="B1652" s="8"/>
      <c r="C1652" s="8"/>
      <c r="D1652" s="8"/>
      <c r="E1652" s="8"/>
      <c r="F1652" s="8"/>
      <c r="G1652" s="8"/>
      <c r="H1652" s="8"/>
      <c r="I1652" s="10"/>
      <c r="J1652" s="10"/>
      <c r="K1652" s="18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</row>
    <row r="1653" ht="14.25" customHeight="1">
      <c r="A1653" s="9"/>
      <c r="B1653" s="8"/>
      <c r="C1653" s="8"/>
      <c r="D1653" s="8"/>
      <c r="E1653" s="8"/>
      <c r="F1653" s="8"/>
      <c r="G1653" s="8"/>
      <c r="H1653" s="8"/>
      <c r="I1653" s="10"/>
      <c r="J1653" s="10"/>
      <c r="K1653" s="18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</row>
    <row r="1654" ht="14.25" customHeight="1">
      <c r="A1654" s="9"/>
      <c r="B1654" s="8"/>
      <c r="C1654" s="8"/>
      <c r="D1654" s="8"/>
      <c r="E1654" s="8"/>
      <c r="F1654" s="8"/>
      <c r="G1654" s="8"/>
      <c r="H1654" s="8"/>
      <c r="I1654" s="10"/>
      <c r="J1654" s="10"/>
      <c r="K1654" s="18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</row>
    <row r="1655" ht="14.25" customHeight="1">
      <c r="A1655" s="9"/>
      <c r="B1655" s="8"/>
      <c r="C1655" s="8"/>
      <c r="D1655" s="8"/>
      <c r="E1655" s="8"/>
      <c r="F1655" s="8"/>
      <c r="G1655" s="8"/>
      <c r="H1655" s="8"/>
      <c r="I1655" s="10"/>
      <c r="J1655" s="10"/>
      <c r="K1655" s="18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</row>
    <row r="1656" ht="14.25" customHeight="1">
      <c r="A1656" s="9"/>
      <c r="B1656" s="8"/>
      <c r="C1656" s="8"/>
      <c r="D1656" s="8"/>
      <c r="E1656" s="8"/>
      <c r="F1656" s="8"/>
      <c r="G1656" s="8"/>
      <c r="H1656" s="8"/>
      <c r="I1656" s="10"/>
      <c r="J1656" s="10"/>
      <c r="K1656" s="18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</row>
    <row r="1657" ht="14.25" customHeight="1">
      <c r="A1657" s="9"/>
      <c r="B1657" s="8"/>
      <c r="C1657" s="8"/>
      <c r="D1657" s="8"/>
      <c r="E1657" s="8"/>
      <c r="F1657" s="8"/>
      <c r="G1657" s="8"/>
      <c r="H1657" s="8"/>
      <c r="I1657" s="10"/>
      <c r="J1657" s="10"/>
      <c r="K1657" s="18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</row>
    <row r="1658" ht="14.25" customHeight="1">
      <c r="A1658" s="9"/>
      <c r="B1658" s="8"/>
      <c r="C1658" s="8"/>
      <c r="D1658" s="8"/>
      <c r="E1658" s="8"/>
      <c r="F1658" s="8"/>
      <c r="G1658" s="8"/>
      <c r="H1658" s="8"/>
      <c r="I1658" s="10"/>
      <c r="J1658" s="10"/>
      <c r="K1658" s="18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</row>
    <row r="1659" ht="14.25" customHeight="1">
      <c r="A1659" s="9"/>
      <c r="B1659" s="8"/>
      <c r="C1659" s="8"/>
      <c r="D1659" s="8"/>
      <c r="E1659" s="8"/>
      <c r="F1659" s="8"/>
      <c r="G1659" s="8"/>
      <c r="H1659" s="8"/>
      <c r="I1659" s="10"/>
      <c r="J1659" s="10"/>
      <c r="K1659" s="18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</row>
    <row r="1660" ht="14.25" customHeight="1">
      <c r="A1660" s="9"/>
      <c r="B1660" s="8"/>
      <c r="C1660" s="8"/>
      <c r="D1660" s="8"/>
      <c r="E1660" s="8"/>
      <c r="F1660" s="8"/>
      <c r="G1660" s="8"/>
      <c r="H1660" s="8"/>
      <c r="I1660" s="10"/>
      <c r="J1660" s="10"/>
      <c r="K1660" s="18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</row>
    <row r="1661" ht="14.25" customHeight="1">
      <c r="A1661" s="9"/>
      <c r="B1661" s="8"/>
      <c r="C1661" s="8"/>
      <c r="D1661" s="8"/>
      <c r="E1661" s="8"/>
      <c r="F1661" s="8"/>
      <c r="G1661" s="8"/>
      <c r="H1661" s="8"/>
      <c r="I1661" s="10"/>
      <c r="J1661" s="10"/>
      <c r="K1661" s="18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</row>
    <row r="1662" ht="14.25" customHeight="1">
      <c r="A1662" s="9"/>
      <c r="B1662" s="8"/>
      <c r="C1662" s="8"/>
      <c r="D1662" s="8"/>
      <c r="E1662" s="8"/>
      <c r="F1662" s="8"/>
      <c r="G1662" s="8"/>
      <c r="H1662" s="8"/>
      <c r="I1662" s="10"/>
      <c r="J1662" s="10"/>
      <c r="K1662" s="18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</row>
    <row r="1663" ht="14.25" customHeight="1">
      <c r="A1663" s="9"/>
      <c r="B1663" s="8"/>
      <c r="C1663" s="8"/>
      <c r="D1663" s="8"/>
      <c r="E1663" s="8"/>
      <c r="F1663" s="8"/>
      <c r="G1663" s="8"/>
      <c r="H1663" s="8"/>
      <c r="I1663" s="10"/>
      <c r="J1663" s="10"/>
      <c r="K1663" s="18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</row>
    <row r="1664" ht="14.25" customHeight="1">
      <c r="A1664" s="9"/>
      <c r="B1664" s="8"/>
      <c r="C1664" s="8"/>
      <c r="D1664" s="8"/>
      <c r="E1664" s="8"/>
      <c r="F1664" s="8"/>
      <c r="G1664" s="8"/>
      <c r="H1664" s="8"/>
      <c r="I1664" s="10"/>
      <c r="J1664" s="10"/>
      <c r="K1664" s="18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</row>
    <row r="1665" ht="14.25" customHeight="1">
      <c r="A1665" s="9"/>
      <c r="B1665" s="8"/>
      <c r="C1665" s="8"/>
      <c r="D1665" s="8"/>
      <c r="E1665" s="8"/>
      <c r="F1665" s="8"/>
      <c r="G1665" s="8"/>
      <c r="H1665" s="8"/>
      <c r="I1665" s="10"/>
      <c r="J1665" s="10"/>
      <c r="K1665" s="18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</row>
    <row r="1666" ht="14.25" customHeight="1">
      <c r="A1666" s="9"/>
      <c r="B1666" s="8"/>
      <c r="C1666" s="8"/>
      <c r="D1666" s="8"/>
      <c r="E1666" s="8"/>
      <c r="F1666" s="8"/>
      <c r="G1666" s="8"/>
      <c r="H1666" s="8"/>
      <c r="I1666" s="10"/>
      <c r="J1666" s="10"/>
      <c r="K1666" s="18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</row>
    <row r="1667" ht="14.25" customHeight="1">
      <c r="A1667" s="9"/>
      <c r="B1667" s="8"/>
      <c r="C1667" s="8"/>
      <c r="D1667" s="8"/>
      <c r="E1667" s="8"/>
      <c r="F1667" s="8"/>
      <c r="G1667" s="8"/>
      <c r="H1667" s="8"/>
      <c r="I1667" s="10"/>
      <c r="J1667" s="10"/>
      <c r="K1667" s="18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</row>
    <row r="1668" ht="14.25" customHeight="1">
      <c r="A1668" s="9"/>
      <c r="B1668" s="8"/>
      <c r="C1668" s="8"/>
      <c r="D1668" s="8"/>
      <c r="E1668" s="8"/>
      <c r="F1668" s="8"/>
      <c r="G1668" s="8"/>
      <c r="H1668" s="8"/>
      <c r="I1668" s="10"/>
      <c r="J1668" s="10"/>
      <c r="K1668" s="18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</row>
    <row r="1669" ht="14.25" customHeight="1">
      <c r="A1669" s="9"/>
      <c r="B1669" s="8"/>
      <c r="C1669" s="8"/>
      <c r="D1669" s="8"/>
      <c r="E1669" s="8"/>
      <c r="F1669" s="8"/>
      <c r="G1669" s="8"/>
      <c r="H1669" s="8"/>
      <c r="I1669" s="10"/>
      <c r="J1669" s="10"/>
      <c r="K1669" s="18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</row>
    <row r="1670" ht="14.25" customHeight="1">
      <c r="A1670" s="9"/>
      <c r="B1670" s="8"/>
      <c r="C1670" s="8"/>
      <c r="D1670" s="8"/>
      <c r="E1670" s="8"/>
      <c r="F1670" s="8"/>
      <c r="G1670" s="8"/>
      <c r="H1670" s="8"/>
      <c r="I1670" s="10"/>
      <c r="J1670" s="10"/>
      <c r="K1670" s="18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</row>
    <row r="1671" ht="14.25" customHeight="1">
      <c r="A1671" s="9"/>
      <c r="B1671" s="8"/>
      <c r="C1671" s="8"/>
      <c r="D1671" s="8"/>
      <c r="E1671" s="8"/>
      <c r="F1671" s="8"/>
      <c r="G1671" s="8"/>
      <c r="H1671" s="8"/>
      <c r="I1671" s="10"/>
      <c r="J1671" s="10"/>
      <c r="K1671" s="18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</row>
    <row r="1672" ht="14.25" customHeight="1">
      <c r="A1672" s="9"/>
      <c r="B1672" s="8"/>
      <c r="C1672" s="8"/>
      <c r="D1672" s="8"/>
      <c r="E1672" s="8"/>
      <c r="F1672" s="8"/>
      <c r="G1672" s="8"/>
      <c r="H1672" s="8"/>
      <c r="I1672" s="10"/>
      <c r="J1672" s="10"/>
      <c r="K1672" s="18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</row>
    <row r="1673" ht="14.25" customHeight="1">
      <c r="A1673" s="9"/>
      <c r="B1673" s="8"/>
      <c r="C1673" s="8"/>
      <c r="D1673" s="8"/>
      <c r="E1673" s="8"/>
      <c r="F1673" s="8"/>
      <c r="G1673" s="8"/>
      <c r="H1673" s="8"/>
      <c r="I1673" s="10"/>
      <c r="J1673" s="10"/>
      <c r="K1673" s="18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</row>
    <row r="1674" ht="14.25" customHeight="1">
      <c r="A1674" s="9"/>
      <c r="B1674" s="8"/>
      <c r="C1674" s="8"/>
      <c r="D1674" s="8"/>
      <c r="E1674" s="8"/>
      <c r="F1674" s="8"/>
      <c r="G1674" s="8"/>
      <c r="H1674" s="8"/>
      <c r="I1674" s="10"/>
      <c r="J1674" s="10"/>
      <c r="K1674" s="18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</row>
    <row r="1675" ht="14.25" customHeight="1">
      <c r="A1675" s="9"/>
      <c r="B1675" s="8"/>
      <c r="C1675" s="8"/>
      <c r="D1675" s="8"/>
      <c r="E1675" s="8"/>
      <c r="F1675" s="8"/>
      <c r="G1675" s="8"/>
      <c r="H1675" s="8"/>
      <c r="I1675" s="10"/>
      <c r="J1675" s="10"/>
      <c r="K1675" s="18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</row>
    <row r="1676" ht="14.25" customHeight="1">
      <c r="A1676" s="9"/>
      <c r="B1676" s="8"/>
      <c r="C1676" s="8"/>
      <c r="D1676" s="8"/>
      <c r="E1676" s="8"/>
      <c r="F1676" s="8"/>
      <c r="G1676" s="8"/>
      <c r="H1676" s="8"/>
      <c r="I1676" s="10"/>
      <c r="J1676" s="10"/>
      <c r="K1676" s="18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</row>
    <row r="1677" ht="14.25" customHeight="1">
      <c r="A1677" s="9"/>
      <c r="B1677" s="8"/>
      <c r="C1677" s="8"/>
      <c r="D1677" s="8"/>
      <c r="E1677" s="8"/>
      <c r="F1677" s="8"/>
      <c r="G1677" s="8"/>
      <c r="H1677" s="8"/>
      <c r="I1677" s="10"/>
      <c r="J1677" s="10"/>
      <c r="K1677" s="18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</row>
    <row r="1678" ht="14.25" customHeight="1">
      <c r="A1678" s="9"/>
      <c r="B1678" s="8"/>
      <c r="C1678" s="8"/>
      <c r="D1678" s="8"/>
      <c r="E1678" s="8"/>
      <c r="F1678" s="8"/>
      <c r="G1678" s="8"/>
      <c r="H1678" s="8"/>
      <c r="I1678" s="10"/>
      <c r="J1678" s="10"/>
      <c r="K1678" s="18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</row>
    <row r="1679" ht="14.25" customHeight="1">
      <c r="A1679" s="9"/>
      <c r="B1679" s="8"/>
      <c r="C1679" s="8"/>
      <c r="D1679" s="8"/>
      <c r="E1679" s="8"/>
      <c r="F1679" s="8"/>
      <c r="G1679" s="8"/>
      <c r="H1679" s="8"/>
      <c r="I1679" s="10"/>
      <c r="J1679" s="10"/>
      <c r="K1679" s="18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</row>
    <row r="1680" ht="14.25" customHeight="1">
      <c r="A1680" s="9"/>
      <c r="B1680" s="8"/>
      <c r="C1680" s="8"/>
      <c r="D1680" s="8"/>
      <c r="E1680" s="8"/>
      <c r="F1680" s="8"/>
      <c r="G1680" s="8"/>
      <c r="H1680" s="8"/>
      <c r="I1680" s="10"/>
      <c r="J1680" s="10"/>
      <c r="K1680" s="18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</row>
    <row r="1681" ht="14.25" customHeight="1">
      <c r="A1681" s="9"/>
      <c r="B1681" s="8"/>
      <c r="C1681" s="8"/>
      <c r="D1681" s="8"/>
      <c r="E1681" s="8"/>
      <c r="F1681" s="8"/>
      <c r="G1681" s="8"/>
      <c r="H1681" s="8"/>
      <c r="I1681" s="10"/>
      <c r="J1681" s="10"/>
      <c r="K1681" s="18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</row>
    <row r="1682" ht="14.25" customHeight="1">
      <c r="A1682" s="9"/>
      <c r="B1682" s="8"/>
      <c r="C1682" s="8"/>
      <c r="D1682" s="8"/>
      <c r="E1682" s="8"/>
      <c r="F1682" s="8"/>
      <c r="G1682" s="8"/>
      <c r="H1682" s="8"/>
      <c r="I1682" s="10"/>
      <c r="J1682" s="10"/>
      <c r="K1682" s="18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</row>
    <row r="1683" ht="14.25" customHeight="1">
      <c r="A1683" s="9"/>
      <c r="B1683" s="8"/>
      <c r="C1683" s="8"/>
      <c r="D1683" s="8"/>
      <c r="E1683" s="8"/>
      <c r="F1683" s="8"/>
      <c r="G1683" s="8"/>
      <c r="H1683" s="8"/>
      <c r="I1683" s="10"/>
      <c r="J1683" s="10"/>
      <c r="K1683" s="18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</row>
    <row r="1684" ht="14.25" customHeight="1">
      <c r="A1684" s="9"/>
      <c r="B1684" s="8"/>
      <c r="C1684" s="8"/>
      <c r="D1684" s="8"/>
      <c r="E1684" s="8"/>
      <c r="F1684" s="8"/>
      <c r="G1684" s="8"/>
      <c r="H1684" s="8"/>
      <c r="I1684" s="10"/>
      <c r="J1684" s="10"/>
      <c r="K1684" s="18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</row>
    <row r="1685" ht="14.25" customHeight="1">
      <c r="A1685" s="9"/>
      <c r="B1685" s="8"/>
      <c r="C1685" s="8"/>
      <c r="D1685" s="8"/>
      <c r="E1685" s="8"/>
      <c r="F1685" s="8"/>
      <c r="G1685" s="8"/>
      <c r="H1685" s="8"/>
      <c r="I1685" s="10"/>
      <c r="J1685" s="10"/>
      <c r="K1685" s="18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</row>
    <row r="1686" ht="14.25" customHeight="1">
      <c r="A1686" s="9"/>
      <c r="B1686" s="8"/>
      <c r="C1686" s="8"/>
      <c r="D1686" s="8"/>
      <c r="E1686" s="8"/>
      <c r="F1686" s="8"/>
      <c r="G1686" s="8"/>
      <c r="H1686" s="8"/>
      <c r="I1686" s="10"/>
      <c r="J1686" s="10"/>
      <c r="K1686" s="18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</row>
    <row r="1687" ht="14.25" customHeight="1">
      <c r="A1687" s="9"/>
      <c r="B1687" s="8"/>
      <c r="C1687" s="8"/>
      <c r="D1687" s="8"/>
      <c r="E1687" s="8"/>
      <c r="F1687" s="8"/>
      <c r="G1687" s="8"/>
      <c r="H1687" s="8"/>
      <c r="I1687" s="10"/>
      <c r="J1687" s="10"/>
      <c r="K1687" s="18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</row>
    <row r="1688" ht="14.25" customHeight="1">
      <c r="A1688" s="9"/>
      <c r="B1688" s="8"/>
      <c r="C1688" s="8"/>
      <c r="D1688" s="8"/>
      <c r="E1688" s="8"/>
      <c r="F1688" s="8"/>
      <c r="G1688" s="8"/>
      <c r="H1688" s="8"/>
      <c r="I1688" s="10"/>
      <c r="J1688" s="10"/>
      <c r="K1688" s="18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</row>
    <row r="1689" ht="14.25" customHeight="1">
      <c r="A1689" s="9"/>
      <c r="B1689" s="8"/>
      <c r="C1689" s="8"/>
      <c r="D1689" s="8"/>
      <c r="E1689" s="8"/>
      <c r="F1689" s="8"/>
      <c r="G1689" s="8"/>
      <c r="H1689" s="8"/>
      <c r="I1689" s="10"/>
      <c r="J1689" s="10"/>
      <c r="K1689" s="18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</row>
    <row r="1690" ht="14.25" customHeight="1">
      <c r="A1690" s="9"/>
      <c r="B1690" s="8"/>
      <c r="C1690" s="8"/>
      <c r="D1690" s="8"/>
      <c r="E1690" s="8"/>
      <c r="F1690" s="8"/>
      <c r="G1690" s="8"/>
      <c r="H1690" s="8"/>
      <c r="I1690" s="10"/>
      <c r="J1690" s="10"/>
      <c r="K1690" s="18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</row>
    <row r="1691" ht="14.25" customHeight="1">
      <c r="A1691" s="9"/>
      <c r="B1691" s="8"/>
      <c r="C1691" s="8"/>
      <c r="D1691" s="8"/>
      <c r="E1691" s="8"/>
      <c r="F1691" s="8"/>
      <c r="G1691" s="8"/>
      <c r="H1691" s="8"/>
      <c r="I1691" s="10"/>
      <c r="J1691" s="10"/>
      <c r="K1691" s="18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</row>
    <row r="1692" ht="14.25" customHeight="1">
      <c r="A1692" s="9"/>
      <c r="B1692" s="8"/>
      <c r="C1692" s="8"/>
      <c r="D1692" s="8"/>
      <c r="E1692" s="8"/>
      <c r="F1692" s="8"/>
      <c r="G1692" s="8"/>
      <c r="H1692" s="8"/>
      <c r="I1692" s="10"/>
      <c r="J1692" s="10"/>
      <c r="K1692" s="18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</row>
    <row r="1693" ht="14.25" customHeight="1">
      <c r="A1693" s="9"/>
      <c r="B1693" s="8"/>
      <c r="C1693" s="8"/>
      <c r="D1693" s="8"/>
      <c r="E1693" s="8"/>
      <c r="F1693" s="8"/>
      <c r="G1693" s="8"/>
      <c r="H1693" s="8"/>
      <c r="I1693" s="10"/>
      <c r="J1693" s="10"/>
      <c r="K1693" s="18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</row>
    <row r="1694" ht="14.25" customHeight="1">
      <c r="A1694" s="9"/>
      <c r="B1694" s="8"/>
      <c r="C1694" s="8"/>
      <c r="D1694" s="8"/>
      <c r="E1694" s="8"/>
      <c r="F1694" s="8"/>
      <c r="G1694" s="8"/>
      <c r="H1694" s="8"/>
      <c r="I1694" s="10"/>
      <c r="J1694" s="10"/>
      <c r="K1694" s="18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</row>
    <row r="1695" ht="14.25" customHeight="1">
      <c r="A1695" s="9"/>
      <c r="B1695" s="8"/>
      <c r="C1695" s="8"/>
      <c r="D1695" s="8"/>
      <c r="E1695" s="8"/>
      <c r="F1695" s="8"/>
      <c r="G1695" s="8"/>
      <c r="H1695" s="8"/>
      <c r="I1695" s="10"/>
      <c r="J1695" s="10"/>
      <c r="K1695" s="18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</row>
    <row r="1696" ht="14.25" customHeight="1">
      <c r="A1696" s="9"/>
      <c r="B1696" s="8"/>
      <c r="C1696" s="8"/>
      <c r="D1696" s="8"/>
      <c r="E1696" s="8"/>
      <c r="F1696" s="8"/>
      <c r="G1696" s="8"/>
      <c r="H1696" s="8"/>
      <c r="I1696" s="10"/>
      <c r="J1696" s="10"/>
      <c r="K1696" s="18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</row>
    <row r="1697" ht="14.25" customHeight="1">
      <c r="A1697" s="9"/>
      <c r="B1697" s="8"/>
      <c r="C1697" s="8"/>
      <c r="D1697" s="8"/>
      <c r="E1697" s="8"/>
      <c r="F1697" s="8"/>
      <c r="G1697" s="8"/>
      <c r="H1697" s="8"/>
      <c r="I1697" s="10"/>
      <c r="J1697" s="10"/>
      <c r="K1697" s="18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</row>
    <row r="1698" ht="14.25" customHeight="1">
      <c r="A1698" s="9"/>
      <c r="B1698" s="8"/>
      <c r="C1698" s="8"/>
      <c r="D1698" s="8"/>
      <c r="E1698" s="8"/>
      <c r="F1698" s="8"/>
      <c r="G1698" s="8"/>
      <c r="H1698" s="8"/>
      <c r="I1698" s="10"/>
      <c r="J1698" s="10"/>
      <c r="K1698" s="18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</row>
    <row r="1699" ht="14.25" customHeight="1">
      <c r="A1699" s="9"/>
      <c r="B1699" s="8"/>
      <c r="C1699" s="8"/>
      <c r="D1699" s="8"/>
      <c r="E1699" s="8"/>
      <c r="F1699" s="8"/>
      <c r="G1699" s="8"/>
      <c r="H1699" s="8"/>
      <c r="I1699" s="10"/>
      <c r="J1699" s="10"/>
      <c r="K1699" s="18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</row>
    <row r="1700" ht="14.25" customHeight="1">
      <c r="A1700" s="9"/>
      <c r="B1700" s="8"/>
      <c r="C1700" s="8"/>
      <c r="D1700" s="8"/>
      <c r="E1700" s="8"/>
      <c r="F1700" s="8"/>
      <c r="G1700" s="8"/>
      <c r="H1700" s="8"/>
      <c r="I1700" s="10"/>
      <c r="J1700" s="10"/>
      <c r="K1700" s="18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</row>
    <row r="1701" ht="14.25" customHeight="1">
      <c r="A1701" s="9"/>
      <c r="B1701" s="8"/>
      <c r="C1701" s="8"/>
      <c r="D1701" s="8"/>
      <c r="E1701" s="8"/>
      <c r="F1701" s="8"/>
      <c r="G1701" s="8"/>
      <c r="H1701" s="8"/>
      <c r="I1701" s="10"/>
      <c r="J1701" s="10"/>
      <c r="K1701" s="18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</row>
    <row r="1702" ht="14.25" customHeight="1">
      <c r="A1702" s="9"/>
      <c r="B1702" s="8"/>
      <c r="C1702" s="8"/>
      <c r="D1702" s="8"/>
      <c r="E1702" s="8"/>
      <c r="F1702" s="8"/>
      <c r="G1702" s="8"/>
      <c r="H1702" s="8"/>
      <c r="I1702" s="10"/>
      <c r="J1702" s="10"/>
      <c r="K1702" s="18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</row>
    <row r="1703" ht="14.25" customHeight="1">
      <c r="A1703" s="9"/>
      <c r="B1703" s="8"/>
      <c r="C1703" s="8"/>
      <c r="D1703" s="8"/>
      <c r="E1703" s="8"/>
      <c r="F1703" s="8"/>
      <c r="G1703" s="8"/>
      <c r="H1703" s="8"/>
      <c r="I1703" s="10"/>
      <c r="J1703" s="10"/>
      <c r="K1703" s="18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</row>
    <row r="1704" ht="14.25" customHeight="1">
      <c r="A1704" s="9"/>
      <c r="B1704" s="8"/>
      <c r="C1704" s="8"/>
      <c r="D1704" s="8"/>
      <c r="E1704" s="8"/>
      <c r="F1704" s="8"/>
      <c r="G1704" s="8"/>
      <c r="H1704" s="8"/>
      <c r="I1704" s="10"/>
      <c r="J1704" s="10"/>
      <c r="K1704" s="18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</row>
    <row r="1705" ht="14.25" customHeight="1">
      <c r="A1705" s="9"/>
      <c r="B1705" s="8"/>
      <c r="C1705" s="8"/>
      <c r="D1705" s="8"/>
      <c r="E1705" s="8"/>
      <c r="F1705" s="8"/>
      <c r="G1705" s="8"/>
      <c r="H1705" s="8"/>
      <c r="I1705" s="10"/>
      <c r="J1705" s="10"/>
      <c r="K1705" s="18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</row>
    <row r="1706" ht="14.25" customHeight="1">
      <c r="A1706" s="9"/>
      <c r="B1706" s="8"/>
      <c r="C1706" s="8"/>
      <c r="D1706" s="8"/>
      <c r="E1706" s="8"/>
      <c r="F1706" s="8"/>
      <c r="G1706" s="8"/>
      <c r="H1706" s="8"/>
      <c r="I1706" s="10"/>
      <c r="J1706" s="10"/>
      <c r="K1706" s="18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</row>
    <row r="1707" ht="14.25" customHeight="1">
      <c r="A1707" s="9"/>
      <c r="B1707" s="8"/>
      <c r="C1707" s="8"/>
      <c r="D1707" s="8"/>
      <c r="E1707" s="8"/>
      <c r="F1707" s="8"/>
      <c r="G1707" s="8"/>
      <c r="H1707" s="8"/>
      <c r="I1707" s="10"/>
      <c r="J1707" s="10"/>
      <c r="K1707" s="18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</row>
    <row r="1708" ht="14.25" customHeight="1">
      <c r="A1708" s="9"/>
      <c r="B1708" s="8"/>
      <c r="C1708" s="8"/>
      <c r="D1708" s="8"/>
      <c r="E1708" s="8"/>
      <c r="F1708" s="8"/>
      <c r="G1708" s="8"/>
      <c r="H1708" s="8"/>
      <c r="I1708" s="10"/>
      <c r="J1708" s="10"/>
      <c r="K1708" s="18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</row>
    <row r="1709" ht="14.25" customHeight="1">
      <c r="A1709" s="9"/>
      <c r="B1709" s="8"/>
      <c r="C1709" s="8"/>
      <c r="D1709" s="8"/>
      <c r="E1709" s="8"/>
      <c r="F1709" s="8"/>
      <c r="G1709" s="8"/>
      <c r="H1709" s="8"/>
      <c r="I1709" s="10"/>
      <c r="J1709" s="10"/>
      <c r="K1709" s="18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</row>
    <row r="1710" ht="14.25" customHeight="1">
      <c r="A1710" s="9"/>
      <c r="B1710" s="8"/>
      <c r="C1710" s="8"/>
      <c r="D1710" s="8"/>
      <c r="E1710" s="8"/>
      <c r="F1710" s="8"/>
      <c r="G1710" s="8"/>
      <c r="H1710" s="8"/>
      <c r="I1710" s="10"/>
      <c r="J1710" s="10"/>
      <c r="K1710" s="18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</row>
    <row r="1711" ht="14.25" customHeight="1">
      <c r="A1711" s="9"/>
      <c r="B1711" s="8"/>
      <c r="C1711" s="8"/>
      <c r="D1711" s="8"/>
      <c r="E1711" s="8"/>
      <c r="F1711" s="8"/>
      <c r="G1711" s="8"/>
      <c r="H1711" s="8"/>
      <c r="I1711" s="10"/>
      <c r="J1711" s="10"/>
      <c r="K1711" s="18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</row>
    <row r="1712" ht="14.25" customHeight="1">
      <c r="A1712" s="9"/>
      <c r="B1712" s="8"/>
      <c r="C1712" s="8"/>
      <c r="D1712" s="8"/>
      <c r="E1712" s="8"/>
      <c r="F1712" s="8"/>
      <c r="G1712" s="8"/>
      <c r="H1712" s="8"/>
      <c r="I1712" s="10"/>
      <c r="J1712" s="10"/>
      <c r="K1712" s="18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</row>
    <row r="1713" ht="14.25" customHeight="1">
      <c r="A1713" s="9"/>
      <c r="B1713" s="8"/>
      <c r="C1713" s="8"/>
      <c r="D1713" s="8"/>
      <c r="E1713" s="8"/>
      <c r="F1713" s="8"/>
      <c r="G1713" s="8"/>
      <c r="H1713" s="8"/>
      <c r="I1713" s="10"/>
      <c r="J1713" s="10"/>
      <c r="K1713" s="18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</row>
    <row r="1714" ht="14.25" customHeight="1">
      <c r="A1714" s="9"/>
      <c r="B1714" s="8"/>
      <c r="C1714" s="8"/>
      <c r="D1714" s="8"/>
      <c r="E1714" s="8"/>
      <c r="F1714" s="8"/>
      <c r="G1714" s="8"/>
      <c r="H1714" s="8"/>
      <c r="I1714" s="10"/>
      <c r="J1714" s="10"/>
      <c r="K1714" s="18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</row>
    <row r="1715" ht="14.25" customHeight="1">
      <c r="A1715" s="9"/>
      <c r="B1715" s="8"/>
      <c r="C1715" s="8"/>
      <c r="D1715" s="8"/>
      <c r="E1715" s="8"/>
      <c r="F1715" s="8"/>
      <c r="G1715" s="8"/>
      <c r="H1715" s="8"/>
      <c r="I1715" s="10"/>
      <c r="J1715" s="10"/>
      <c r="K1715" s="18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</row>
    <row r="1716" ht="14.25" customHeight="1">
      <c r="A1716" s="9"/>
      <c r="B1716" s="8"/>
      <c r="C1716" s="8"/>
      <c r="D1716" s="8"/>
      <c r="E1716" s="8"/>
      <c r="F1716" s="8"/>
      <c r="G1716" s="8"/>
      <c r="H1716" s="8"/>
      <c r="I1716" s="10"/>
      <c r="J1716" s="10"/>
      <c r="K1716" s="18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</row>
    <row r="1717" ht="14.25" customHeight="1">
      <c r="A1717" s="9"/>
      <c r="B1717" s="8"/>
      <c r="C1717" s="8"/>
      <c r="D1717" s="8"/>
      <c r="E1717" s="8"/>
      <c r="F1717" s="8"/>
      <c r="G1717" s="8"/>
      <c r="H1717" s="8"/>
      <c r="I1717" s="10"/>
      <c r="J1717" s="10"/>
      <c r="K1717" s="18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</row>
    <row r="1718" ht="14.25" customHeight="1">
      <c r="A1718" s="9"/>
      <c r="B1718" s="8"/>
      <c r="C1718" s="8"/>
      <c r="D1718" s="8"/>
      <c r="E1718" s="8"/>
      <c r="F1718" s="8"/>
      <c r="G1718" s="8"/>
      <c r="H1718" s="8"/>
      <c r="I1718" s="10"/>
      <c r="J1718" s="10"/>
      <c r="K1718" s="18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</row>
    <row r="1719" ht="14.25" customHeight="1">
      <c r="A1719" s="9"/>
      <c r="B1719" s="8"/>
      <c r="C1719" s="8"/>
      <c r="D1719" s="8"/>
      <c r="E1719" s="8"/>
      <c r="F1719" s="8"/>
      <c r="G1719" s="8"/>
      <c r="H1719" s="8"/>
      <c r="I1719" s="10"/>
      <c r="J1719" s="10"/>
      <c r="K1719" s="18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</row>
    <row r="1720" ht="14.25" customHeight="1">
      <c r="A1720" s="9"/>
      <c r="B1720" s="8"/>
      <c r="C1720" s="8"/>
      <c r="D1720" s="8"/>
      <c r="E1720" s="8"/>
      <c r="F1720" s="8"/>
      <c r="G1720" s="8"/>
      <c r="H1720" s="8"/>
      <c r="I1720" s="10"/>
      <c r="J1720" s="10"/>
      <c r="K1720" s="18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</row>
    <row r="1721" ht="14.25" customHeight="1">
      <c r="A1721" s="9"/>
      <c r="B1721" s="8"/>
      <c r="C1721" s="8"/>
      <c r="D1721" s="8"/>
      <c r="E1721" s="8"/>
      <c r="F1721" s="8"/>
      <c r="G1721" s="8"/>
      <c r="H1721" s="8"/>
      <c r="I1721" s="10"/>
      <c r="J1721" s="10"/>
      <c r="K1721" s="18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</row>
    <row r="1722" ht="14.25" customHeight="1">
      <c r="A1722" s="9"/>
      <c r="B1722" s="8"/>
      <c r="C1722" s="8"/>
      <c r="D1722" s="8"/>
      <c r="E1722" s="8"/>
      <c r="F1722" s="8"/>
      <c r="G1722" s="8"/>
      <c r="H1722" s="8"/>
      <c r="I1722" s="10"/>
      <c r="J1722" s="10"/>
      <c r="K1722" s="18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</row>
    <row r="1723" ht="14.25" customHeight="1">
      <c r="A1723" s="9"/>
      <c r="B1723" s="8"/>
      <c r="C1723" s="8"/>
      <c r="D1723" s="8"/>
      <c r="E1723" s="8"/>
      <c r="F1723" s="8"/>
      <c r="G1723" s="8"/>
      <c r="H1723" s="8"/>
      <c r="I1723" s="10"/>
      <c r="J1723" s="10"/>
      <c r="K1723" s="18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</row>
    <row r="1724" ht="14.25" customHeight="1">
      <c r="A1724" s="9"/>
      <c r="B1724" s="8"/>
      <c r="C1724" s="8"/>
      <c r="D1724" s="8"/>
      <c r="E1724" s="8"/>
      <c r="F1724" s="8"/>
      <c r="G1724" s="8"/>
      <c r="H1724" s="8"/>
      <c r="I1724" s="10"/>
      <c r="J1724" s="10"/>
      <c r="K1724" s="18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</row>
    <row r="1725" ht="14.25" customHeight="1">
      <c r="A1725" s="9"/>
      <c r="B1725" s="8"/>
      <c r="C1725" s="8"/>
      <c r="D1725" s="8"/>
      <c r="E1725" s="8"/>
      <c r="F1725" s="8"/>
      <c r="G1725" s="8"/>
      <c r="H1725" s="8"/>
      <c r="I1725" s="10"/>
      <c r="J1725" s="10"/>
      <c r="K1725" s="18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</row>
    <row r="1726" ht="14.25" customHeight="1">
      <c r="A1726" s="9"/>
      <c r="B1726" s="8"/>
      <c r="C1726" s="8"/>
      <c r="D1726" s="8"/>
      <c r="E1726" s="8"/>
      <c r="F1726" s="8"/>
      <c r="G1726" s="8"/>
      <c r="H1726" s="8"/>
      <c r="I1726" s="10"/>
      <c r="J1726" s="10"/>
      <c r="K1726" s="18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</row>
    <row r="1727" ht="14.25" customHeight="1">
      <c r="A1727" s="9"/>
      <c r="B1727" s="8"/>
      <c r="C1727" s="8"/>
      <c r="D1727" s="8"/>
      <c r="E1727" s="8"/>
      <c r="F1727" s="8"/>
      <c r="G1727" s="8"/>
      <c r="H1727" s="8"/>
      <c r="I1727" s="10"/>
      <c r="J1727" s="10"/>
      <c r="K1727" s="18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</row>
    <row r="1728" ht="14.25" customHeight="1">
      <c r="A1728" s="9"/>
      <c r="B1728" s="8"/>
      <c r="C1728" s="8"/>
      <c r="D1728" s="8"/>
      <c r="E1728" s="8"/>
      <c r="F1728" s="8"/>
      <c r="G1728" s="8"/>
      <c r="H1728" s="8"/>
      <c r="I1728" s="10"/>
      <c r="J1728" s="10"/>
      <c r="K1728" s="18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</row>
    <row r="1729" ht="14.25" customHeight="1">
      <c r="A1729" s="9"/>
      <c r="B1729" s="8"/>
      <c r="C1729" s="8"/>
      <c r="D1729" s="8"/>
      <c r="E1729" s="8"/>
      <c r="F1729" s="8"/>
      <c r="G1729" s="8"/>
      <c r="H1729" s="8"/>
      <c r="I1729" s="10"/>
      <c r="J1729" s="10"/>
      <c r="K1729" s="18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</row>
    <row r="1730" ht="14.25" customHeight="1">
      <c r="A1730" s="9"/>
      <c r="B1730" s="8"/>
      <c r="C1730" s="8"/>
      <c r="D1730" s="8"/>
      <c r="E1730" s="8"/>
      <c r="F1730" s="8"/>
      <c r="G1730" s="8"/>
      <c r="H1730" s="8"/>
      <c r="I1730" s="10"/>
      <c r="J1730" s="10"/>
      <c r="K1730" s="18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</row>
    <row r="1731" ht="14.25" customHeight="1">
      <c r="A1731" s="9"/>
      <c r="B1731" s="8"/>
      <c r="C1731" s="8"/>
      <c r="D1731" s="8"/>
      <c r="E1731" s="8"/>
      <c r="F1731" s="8"/>
      <c r="G1731" s="8"/>
      <c r="H1731" s="8"/>
      <c r="I1731" s="10"/>
      <c r="J1731" s="10"/>
      <c r="K1731" s="18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</row>
    <row r="1732" ht="14.25" customHeight="1">
      <c r="A1732" s="9"/>
      <c r="B1732" s="8"/>
      <c r="C1732" s="8"/>
      <c r="D1732" s="8"/>
      <c r="E1732" s="8"/>
      <c r="F1732" s="8"/>
      <c r="G1732" s="8"/>
      <c r="H1732" s="8"/>
      <c r="I1732" s="10"/>
      <c r="J1732" s="10"/>
      <c r="K1732" s="18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</row>
    <row r="1733" ht="14.25" customHeight="1">
      <c r="A1733" s="9"/>
      <c r="B1733" s="8"/>
      <c r="C1733" s="8"/>
      <c r="D1733" s="8"/>
      <c r="E1733" s="8"/>
      <c r="F1733" s="8"/>
      <c r="G1733" s="8"/>
      <c r="H1733" s="8"/>
      <c r="I1733" s="10"/>
      <c r="J1733" s="10"/>
      <c r="K1733" s="18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</row>
    <row r="1734" ht="14.25" customHeight="1">
      <c r="A1734" s="9"/>
      <c r="B1734" s="8"/>
      <c r="C1734" s="8"/>
      <c r="D1734" s="8"/>
      <c r="E1734" s="8"/>
      <c r="F1734" s="8"/>
      <c r="G1734" s="8"/>
      <c r="H1734" s="8"/>
      <c r="I1734" s="10"/>
      <c r="J1734" s="10"/>
      <c r="K1734" s="18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</row>
    <row r="1735" ht="14.25" customHeight="1">
      <c r="A1735" s="9"/>
      <c r="B1735" s="8"/>
      <c r="C1735" s="8"/>
      <c r="D1735" s="8"/>
      <c r="E1735" s="8"/>
      <c r="F1735" s="8"/>
      <c r="G1735" s="8"/>
      <c r="H1735" s="8"/>
      <c r="I1735" s="10"/>
      <c r="J1735" s="10"/>
      <c r="K1735" s="18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</row>
    <row r="1736" ht="14.25" customHeight="1">
      <c r="A1736" s="9"/>
      <c r="B1736" s="8"/>
      <c r="C1736" s="8"/>
      <c r="D1736" s="8"/>
      <c r="E1736" s="8"/>
      <c r="F1736" s="8"/>
      <c r="G1736" s="8"/>
      <c r="H1736" s="8"/>
      <c r="I1736" s="10"/>
      <c r="J1736" s="10"/>
      <c r="K1736" s="18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</row>
    <row r="1737" ht="14.25" customHeight="1">
      <c r="A1737" s="9"/>
      <c r="B1737" s="8"/>
      <c r="C1737" s="8"/>
      <c r="D1737" s="8"/>
      <c r="E1737" s="8"/>
      <c r="F1737" s="8"/>
      <c r="G1737" s="8"/>
      <c r="H1737" s="8"/>
      <c r="I1737" s="10"/>
      <c r="J1737" s="10"/>
      <c r="K1737" s="18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</row>
    <row r="1738" ht="14.25" customHeight="1">
      <c r="A1738" s="9"/>
      <c r="B1738" s="8"/>
      <c r="C1738" s="8"/>
      <c r="D1738" s="8"/>
      <c r="E1738" s="8"/>
      <c r="F1738" s="8"/>
      <c r="G1738" s="8"/>
      <c r="H1738" s="8"/>
      <c r="I1738" s="10"/>
      <c r="J1738" s="10"/>
      <c r="K1738" s="18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</row>
    <row r="1739" ht="14.25" customHeight="1">
      <c r="A1739" s="9"/>
      <c r="B1739" s="8"/>
      <c r="C1739" s="8"/>
      <c r="D1739" s="8"/>
      <c r="E1739" s="8"/>
      <c r="F1739" s="8"/>
      <c r="G1739" s="8"/>
      <c r="H1739" s="8"/>
      <c r="I1739" s="10"/>
      <c r="J1739" s="10"/>
      <c r="K1739" s="18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</row>
    <row r="1740" ht="14.25" customHeight="1">
      <c r="A1740" s="9"/>
      <c r="B1740" s="8"/>
      <c r="C1740" s="8"/>
      <c r="D1740" s="8"/>
      <c r="E1740" s="8"/>
      <c r="F1740" s="8"/>
      <c r="G1740" s="8"/>
      <c r="H1740" s="8"/>
      <c r="I1740" s="10"/>
      <c r="J1740" s="10"/>
      <c r="K1740" s="18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</row>
    <row r="1741" ht="14.25" customHeight="1">
      <c r="A1741" s="9"/>
      <c r="B1741" s="8"/>
      <c r="C1741" s="8"/>
      <c r="D1741" s="8"/>
      <c r="E1741" s="8"/>
      <c r="F1741" s="8"/>
      <c r="G1741" s="8"/>
      <c r="H1741" s="8"/>
      <c r="I1741" s="10"/>
      <c r="J1741" s="10"/>
      <c r="K1741" s="18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</row>
    <row r="1742" ht="14.25" customHeight="1">
      <c r="A1742" s="9"/>
      <c r="B1742" s="8"/>
      <c r="C1742" s="8"/>
      <c r="D1742" s="8"/>
      <c r="E1742" s="8"/>
      <c r="F1742" s="8"/>
      <c r="G1742" s="8"/>
      <c r="H1742" s="8"/>
      <c r="I1742" s="10"/>
      <c r="J1742" s="10"/>
      <c r="K1742" s="18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</row>
    <row r="1743" ht="14.25" customHeight="1">
      <c r="A1743" s="9"/>
      <c r="B1743" s="8"/>
      <c r="C1743" s="8"/>
      <c r="D1743" s="8"/>
      <c r="E1743" s="8"/>
      <c r="F1743" s="8"/>
      <c r="G1743" s="8"/>
      <c r="H1743" s="8"/>
      <c r="I1743" s="10"/>
      <c r="J1743" s="10"/>
      <c r="K1743" s="18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</row>
    <row r="1744" ht="14.25" customHeight="1">
      <c r="A1744" s="9"/>
      <c r="B1744" s="8"/>
      <c r="C1744" s="8"/>
      <c r="D1744" s="8"/>
      <c r="E1744" s="8"/>
      <c r="F1744" s="8"/>
      <c r="G1744" s="8"/>
      <c r="H1744" s="8"/>
      <c r="I1744" s="10"/>
      <c r="J1744" s="10"/>
      <c r="K1744" s="18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</row>
    <row r="1745" ht="14.25" customHeight="1">
      <c r="A1745" s="9"/>
      <c r="B1745" s="8"/>
      <c r="C1745" s="8"/>
      <c r="D1745" s="8"/>
      <c r="E1745" s="8"/>
      <c r="F1745" s="8"/>
      <c r="G1745" s="8"/>
      <c r="H1745" s="8"/>
      <c r="I1745" s="10"/>
      <c r="J1745" s="10"/>
      <c r="K1745" s="18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</row>
    <row r="1746" ht="14.25" customHeight="1">
      <c r="A1746" s="9"/>
      <c r="B1746" s="8"/>
      <c r="C1746" s="8"/>
      <c r="D1746" s="8"/>
      <c r="E1746" s="8"/>
      <c r="F1746" s="8"/>
      <c r="G1746" s="8"/>
      <c r="H1746" s="8"/>
      <c r="I1746" s="10"/>
      <c r="J1746" s="10"/>
      <c r="K1746" s="18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</row>
    <row r="1747" ht="14.25" customHeight="1">
      <c r="A1747" s="9"/>
      <c r="B1747" s="8"/>
      <c r="C1747" s="8"/>
      <c r="D1747" s="8"/>
      <c r="E1747" s="8"/>
      <c r="F1747" s="8"/>
      <c r="G1747" s="8"/>
      <c r="H1747" s="8"/>
      <c r="I1747" s="10"/>
      <c r="J1747" s="10"/>
      <c r="K1747" s="18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</row>
    <row r="1748" ht="14.25" customHeight="1">
      <c r="A1748" s="9"/>
      <c r="B1748" s="8"/>
      <c r="C1748" s="8"/>
      <c r="D1748" s="8"/>
      <c r="E1748" s="8"/>
      <c r="F1748" s="8"/>
      <c r="G1748" s="8"/>
      <c r="H1748" s="8"/>
      <c r="I1748" s="10"/>
      <c r="J1748" s="10"/>
      <c r="K1748" s="18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</row>
    <row r="1749" ht="14.25" customHeight="1">
      <c r="A1749" s="9"/>
      <c r="B1749" s="8"/>
      <c r="C1749" s="8"/>
      <c r="D1749" s="8"/>
      <c r="E1749" s="8"/>
      <c r="F1749" s="8"/>
      <c r="G1749" s="8"/>
      <c r="H1749" s="8"/>
      <c r="I1749" s="10"/>
      <c r="J1749" s="10"/>
      <c r="K1749" s="18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</row>
    <row r="1750" ht="14.25" customHeight="1">
      <c r="A1750" s="9"/>
      <c r="B1750" s="8"/>
      <c r="C1750" s="8"/>
      <c r="D1750" s="8"/>
      <c r="E1750" s="8"/>
      <c r="F1750" s="8"/>
      <c r="G1750" s="8"/>
      <c r="H1750" s="8"/>
      <c r="I1750" s="10"/>
      <c r="J1750" s="10"/>
      <c r="K1750" s="18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</row>
    <row r="1751" ht="14.25" customHeight="1">
      <c r="A1751" s="9"/>
      <c r="B1751" s="8"/>
      <c r="C1751" s="8"/>
      <c r="D1751" s="8"/>
      <c r="E1751" s="8"/>
      <c r="F1751" s="8"/>
      <c r="G1751" s="8"/>
      <c r="H1751" s="8"/>
      <c r="I1751" s="10"/>
      <c r="J1751" s="10"/>
      <c r="K1751" s="18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</row>
    <row r="1752" ht="14.25" customHeight="1">
      <c r="A1752" s="9"/>
      <c r="B1752" s="8"/>
      <c r="C1752" s="8"/>
      <c r="D1752" s="8"/>
      <c r="E1752" s="8"/>
      <c r="F1752" s="8"/>
      <c r="G1752" s="8"/>
      <c r="H1752" s="8"/>
      <c r="I1752" s="10"/>
      <c r="J1752" s="10"/>
      <c r="K1752" s="18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</row>
    <row r="1753" ht="14.25" customHeight="1">
      <c r="A1753" s="9"/>
      <c r="B1753" s="8"/>
      <c r="C1753" s="8"/>
      <c r="D1753" s="8"/>
      <c r="E1753" s="8"/>
      <c r="F1753" s="8"/>
      <c r="G1753" s="8"/>
      <c r="H1753" s="8"/>
      <c r="I1753" s="10"/>
      <c r="J1753" s="10"/>
      <c r="K1753" s="18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</row>
    <row r="1754" ht="14.25" customHeight="1">
      <c r="A1754" s="9"/>
      <c r="B1754" s="8"/>
      <c r="C1754" s="8"/>
      <c r="D1754" s="8"/>
      <c r="E1754" s="8"/>
      <c r="F1754" s="8"/>
      <c r="G1754" s="8"/>
      <c r="H1754" s="8"/>
      <c r="I1754" s="10"/>
      <c r="J1754" s="10"/>
      <c r="K1754" s="18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</row>
    <row r="1755" ht="14.25" customHeight="1">
      <c r="A1755" s="9"/>
      <c r="B1755" s="8"/>
      <c r="C1755" s="8"/>
      <c r="D1755" s="8"/>
      <c r="E1755" s="8"/>
      <c r="F1755" s="8"/>
      <c r="G1755" s="8"/>
      <c r="H1755" s="8"/>
      <c r="I1755" s="10"/>
      <c r="J1755" s="10"/>
      <c r="K1755" s="18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</row>
    <row r="1756" ht="14.25" customHeight="1">
      <c r="A1756" s="9"/>
      <c r="B1756" s="8"/>
      <c r="C1756" s="8"/>
      <c r="D1756" s="8"/>
      <c r="E1756" s="8"/>
      <c r="F1756" s="8"/>
      <c r="G1756" s="8"/>
      <c r="H1756" s="8"/>
      <c r="I1756" s="10"/>
      <c r="J1756" s="10"/>
      <c r="K1756" s="18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</row>
    <row r="1757" ht="14.25" customHeight="1">
      <c r="A1757" s="9"/>
      <c r="B1757" s="8"/>
      <c r="C1757" s="8"/>
      <c r="D1757" s="8"/>
      <c r="E1757" s="8"/>
      <c r="F1757" s="8"/>
      <c r="G1757" s="8"/>
      <c r="H1757" s="8"/>
      <c r="I1757" s="10"/>
      <c r="J1757" s="10"/>
      <c r="K1757" s="18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</row>
    <row r="1758" ht="14.25" customHeight="1">
      <c r="A1758" s="9"/>
      <c r="B1758" s="8"/>
      <c r="C1758" s="8"/>
      <c r="D1758" s="8"/>
      <c r="E1758" s="8"/>
      <c r="F1758" s="8"/>
      <c r="G1758" s="8"/>
      <c r="H1758" s="8"/>
      <c r="I1758" s="10"/>
      <c r="J1758" s="10"/>
      <c r="K1758" s="18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</row>
    <row r="1759" ht="14.25" customHeight="1">
      <c r="A1759" s="9"/>
      <c r="B1759" s="8"/>
      <c r="C1759" s="8"/>
      <c r="D1759" s="8"/>
      <c r="E1759" s="8"/>
      <c r="F1759" s="8"/>
      <c r="G1759" s="8"/>
      <c r="H1759" s="8"/>
      <c r="I1759" s="10"/>
      <c r="J1759" s="10"/>
      <c r="K1759" s="18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</row>
    <row r="1760" ht="14.25" customHeight="1">
      <c r="A1760" s="9"/>
      <c r="B1760" s="8"/>
      <c r="C1760" s="8"/>
      <c r="D1760" s="8"/>
      <c r="E1760" s="8"/>
      <c r="F1760" s="8"/>
      <c r="G1760" s="8"/>
      <c r="H1760" s="8"/>
      <c r="I1760" s="10"/>
      <c r="J1760" s="10"/>
      <c r="K1760" s="18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</row>
    <row r="1761" ht="14.25" customHeight="1">
      <c r="A1761" s="9"/>
      <c r="B1761" s="8"/>
      <c r="C1761" s="8"/>
      <c r="D1761" s="8"/>
      <c r="E1761" s="8"/>
      <c r="F1761" s="8"/>
      <c r="G1761" s="8"/>
      <c r="H1761" s="8"/>
      <c r="I1761" s="10"/>
      <c r="J1761" s="10"/>
      <c r="K1761" s="18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</row>
    <row r="1762" ht="14.25" customHeight="1">
      <c r="A1762" s="9"/>
      <c r="B1762" s="8"/>
      <c r="C1762" s="8"/>
      <c r="D1762" s="8"/>
      <c r="E1762" s="8"/>
      <c r="F1762" s="8"/>
      <c r="G1762" s="8"/>
      <c r="H1762" s="8"/>
      <c r="I1762" s="10"/>
      <c r="J1762" s="10"/>
      <c r="K1762" s="18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</row>
    <row r="1763" ht="14.25" customHeight="1">
      <c r="A1763" s="9"/>
      <c r="B1763" s="8"/>
      <c r="C1763" s="8"/>
      <c r="D1763" s="8"/>
      <c r="E1763" s="8"/>
      <c r="F1763" s="8"/>
      <c r="G1763" s="8"/>
      <c r="H1763" s="8"/>
      <c r="I1763" s="10"/>
      <c r="J1763" s="10"/>
      <c r="K1763" s="18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</row>
    <row r="1764" ht="14.25" customHeight="1">
      <c r="A1764" s="9"/>
      <c r="B1764" s="8"/>
      <c r="C1764" s="8"/>
      <c r="D1764" s="8"/>
      <c r="E1764" s="8"/>
      <c r="F1764" s="8"/>
      <c r="G1764" s="8"/>
      <c r="H1764" s="8"/>
      <c r="I1764" s="10"/>
      <c r="J1764" s="10"/>
      <c r="K1764" s="18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</row>
    <row r="1765" ht="14.25" customHeight="1">
      <c r="A1765" s="9"/>
      <c r="B1765" s="8"/>
      <c r="C1765" s="8"/>
      <c r="D1765" s="8"/>
      <c r="E1765" s="8"/>
      <c r="F1765" s="8"/>
      <c r="G1765" s="8"/>
      <c r="H1765" s="8"/>
      <c r="I1765" s="10"/>
      <c r="J1765" s="10"/>
      <c r="K1765" s="18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</row>
    <row r="1766" ht="14.25" customHeight="1">
      <c r="A1766" s="9"/>
      <c r="B1766" s="8"/>
      <c r="C1766" s="8"/>
      <c r="D1766" s="8"/>
      <c r="E1766" s="8"/>
      <c r="F1766" s="8"/>
      <c r="G1766" s="8"/>
      <c r="H1766" s="8"/>
      <c r="I1766" s="10"/>
      <c r="J1766" s="10"/>
      <c r="K1766" s="18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</row>
    <row r="1767" ht="14.25" customHeight="1">
      <c r="A1767" s="9"/>
      <c r="B1767" s="8"/>
      <c r="C1767" s="8"/>
      <c r="D1767" s="8"/>
      <c r="E1767" s="8"/>
      <c r="F1767" s="8"/>
      <c r="G1767" s="8"/>
      <c r="H1767" s="8"/>
      <c r="I1767" s="10"/>
      <c r="J1767" s="10"/>
      <c r="K1767" s="18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</row>
    <row r="1768" ht="14.25" customHeight="1">
      <c r="A1768" s="9"/>
      <c r="B1768" s="8"/>
      <c r="C1768" s="8"/>
      <c r="D1768" s="8"/>
      <c r="E1768" s="8"/>
      <c r="F1768" s="8"/>
      <c r="G1768" s="8"/>
      <c r="H1768" s="8"/>
      <c r="I1768" s="10"/>
      <c r="J1768" s="10"/>
      <c r="K1768" s="18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</row>
    <row r="1769" ht="14.25" customHeight="1">
      <c r="A1769" s="9"/>
      <c r="B1769" s="8"/>
      <c r="C1769" s="8"/>
      <c r="D1769" s="8"/>
      <c r="E1769" s="8"/>
      <c r="F1769" s="8"/>
      <c r="G1769" s="8"/>
      <c r="H1769" s="8"/>
      <c r="I1769" s="10"/>
      <c r="J1769" s="10"/>
      <c r="K1769" s="18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</row>
    <row r="1770" ht="14.25" customHeight="1">
      <c r="A1770" s="9"/>
      <c r="B1770" s="8"/>
      <c r="C1770" s="8"/>
      <c r="D1770" s="8"/>
      <c r="E1770" s="8"/>
      <c r="F1770" s="8"/>
      <c r="G1770" s="8"/>
      <c r="H1770" s="8"/>
      <c r="I1770" s="10"/>
      <c r="J1770" s="10"/>
      <c r="K1770" s="18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</row>
    <row r="1771" ht="14.25" customHeight="1">
      <c r="A1771" s="9"/>
      <c r="B1771" s="8"/>
      <c r="C1771" s="8"/>
      <c r="D1771" s="8"/>
      <c r="E1771" s="8"/>
      <c r="F1771" s="8"/>
      <c r="G1771" s="8"/>
      <c r="H1771" s="8"/>
      <c r="I1771" s="10"/>
      <c r="J1771" s="10"/>
      <c r="K1771" s="18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</row>
    <row r="1772" ht="14.25" customHeight="1">
      <c r="A1772" s="9"/>
      <c r="B1772" s="8"/>
      <c r="C1772" s="8"/>
      <c r="D1772" s="8"/>
      <c r="E1772" s="8"/>
      <c r="F1772" s="8"/>
      <c r="G1772" s="8"/>
      <c r="H1772" s="8"/>
      <c r="I1772" s="10"/>
      <c r="J1772" s="10"/>
      <c r="K1772" s="18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</row>
    <row r="1773" ht="14.25" customHeight="1">
      <c r="A1773" s="9"/>
      <c r="B1773" s="8"/>
      <c r="C1773" s="8"/>
      <c r="D1773" s="8"/>
      <c r="E1773" s="8"/>
      <c r="F1773" s="8"/>
      <c r="G1773" s="8"/>
      <c r="H1773" s="8"/>
      <c r="I1773" s="10"/>
      <c r="J1773" s="10"/>
      <c r="K1773" s="18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</row>
    <row r="1774" ht="14.25" customHeight="1">
      <c r="A1774" s="9"/>
      <c r="B1774" s="8"/>
      <c r="C1774" s="8"/>
      <c r="D1774" s="8"/>
      <c r="E1774" s="8"/>
      <c r="F1774" s="8"/>
      <c r="G1774" s="8"/>
      <c r="H1774" s="8"/>
      <c r="I1774" s="10"/>
      <c r="J1774" s="10"/>
      <c r="K1774" s="18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</row>
    <row r="1775" ht="14.25" customHeight="1">
      <c r="A1775" s="9"/>
      <c r="B1775" s="8"/>
      <c r="C1775" s="8"/>
      <c r="D1775" s="8"/>
      <c r="E1775" s="8"/>
      <c r="F1775" s="8"/>
      <c r="G1775" s="8"/>
      <c r="H1775" s="8"/>
      <c r="I1775" s="10"/>
      <c r="J1775" s="10"/>
      <c r="K1775" s="18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</row>
    <row r="1776" ht="14.25" customHeight="1">
      <c r="A1776" s="9"/>
      <c r="B1776" s="8"/>
      <c r="C1776" s="8"/>
      <c r="D1776" s="8"/>
      <c r="E1776" s="8"/>
      <c r="F1776" s="8"/>
      <c r="G1776" s="8"/>
      <c r="H1776" s="8"/>
      <c r="I1776" s="10"/>
      <c r="J1776" s="10"/>
      <c r="K1776" s="18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</row>
    <row r="1777" ht="14.25" customHeight="1">
      <c r="A1777" s="9"/>
      <c r="B1777" s="8"/>
      <c r="C1777" s="8"/>
      <c r="D1777" s="8"/>
      <c r="E1777" s="8"/>
      <c r="F1777" s="8"/>
      <c r="G1777" s="8"/>
      <c r="H1777" s="8"/>
      <c r="I1777" s="10"/>
      <c r="J1777" s="10"/>
      <c r="K1777" s="18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</row>
    <row r="1778" ht="14.25" customHeight="1">
      <c r="A1778" s="9"/>
      <c r="B1778" s="8"/>
      <c r="C1778" s="8"/>
      <c r="D1778" s="8"/>
      <c r="E1778" s="8"/>
      <c r="F1778" s="8"/>
      <c r="G1778" s="8"/>
      <c r="H1778" s="8"/>
      <c r="I1778" s="10"/>
      <c r="J1778" s="10"/>
      <c r="K1778" s="18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</row>
    <row r="1779" ht="14.25" customHeight="1">
      <c r="A1779" s="9"/>
      <c r="B1779" s="8"/>
      <c r="C1779" s="8"/>
      <c r="D1779" s="8"/>
      <c r="E1779" s="8"/>
      <c r="F1779" s="8"/>
      <c r="G1779" s="8"/>
      <c r="H1779" s="8"/>
      <c r="I1779" s="10"/>
      <c r="J1779" s="10"/>
      <c r="K1779" s="18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</row>
    <row r="1780" ht="14.25" customHeight="1">
      <c r="A1780" s="9"/>
      <c r="B1780" s="8"/>
      <c r="C1780" s="8"/>
      <c r="D1780" s="8"/>
      <c r="E1780" s="8"/>
      <c r="F1780" s="8"/>
      <c r="G1780" s="8"/>
      <c r="H1780" s="8"/>
      <c r="I1780" s="10"/>
      <c r="J1780" s="10"/>
      <c r="K1780" s="18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</row>
    <row r="1781" ht="14.25" customHeight="1">
      <c r="A1781" s="9"/>
      <c r="B1781" s="8"/>
      <c r="C1781" s="8"/>
      <c r="D1781" s="8"/>
      <c r="E1781" s="8"/>
      <c r="F1781" s="8"/>
      <c r="G1781" s="8"/>
      <c r="H1781" s="8"/>
      <c r="I1781" s="10"/>
      <c r="J1781" s="10"/>
      <c r="K1781" s="18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</row>
    <row r="1782" ht="14.25" customHeight="1">
      <c r="A1782" s="9"/>
      <c r="B1782" s="8"/>
      <c r="C1782" s="8"/>
      <c r="D1782" s="8"/>
      <c r="E1782" s="8"/>
      <c r="F1782" s="8"/>
      <c r="G1782" s="8"/>
      <c r="H1782" s="8"/>
      <c r="I1782" s="10"/>
      <c r="J1782" s="10"/>
      <c r="K1782" s="18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</row>
    <row r="1783" ht="14.25" customHeight="1">
      <c r="A1783" s="9"/>
      <c r="B1783" s="8"/>
      <c r="C1783" s="8"/>
      <c r="D1783" s="8"/>
      <c r="E1783" s="8"/>
      <c r="F1783" s="8"/>
      <c r="G1783" s="8"/>
      <c r="H1783" s="8"/>
      <c r="I1783" s="10"/>
      <c r="J1783" s="10"/>
      <c r="K1783" s="18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</row>
    <row r="1784" ht="14.25" customHeight="1">
      <c r="A1784" s="9"/>
      <c r="B1784" s="8"/>
      <c r="C1784" s="8"/>
      <c r="D1784" s="8"/>
      <c r="E1784" s="8"/>
      <c r="F1784" s="8"/>
      <c r="G1784" s="8"/>
      <c r="H1784" s="8"/>
      <c r="I1784" s="10"/>
      <c r="J1784" s="10"/>
      <c r="K1784" s="18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</row>
    <row r="1785" ht="14.25" customHeight="1">
      <c r="A1785" s="9"/>
      <c r="B1785" s="8"/>
      <c r="C1785" s="8"/>
      <c r="D1785" s="8"/>
      <c r="E1785" s="8"/>
      <c r="F1785" s="8"/>
      <c r="G1785" s="8"/>
      <c r="H1785" s="8"/>
      <c r="I1785" s="10"/>
      <c r="J1785" s="10"/>
      <c r="K1785" s="18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</row>
    <row r="1786" ht="14.25" customHeight="1">
      <c r="A1786" s="9"/>
      <c r="B1786" s="8"/>
      <c r="C1786" s="8"/>
      <c r="D1786" s="8"/>
      <c r="E1786" s="8"/>
      <c r="F1786" s="8"/>
      <c r="G1786" s="8"/>
      <c r="H1786" s="8"/>
      <c r="I1786" s="10"/>
      <c r="J1786" s="10"/>
      <c r="K1786" s="18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</row>
    <row r="1787" ht="14.25" customHeight="1">
      <c r="A1787" s="9"/>
      <c r="B1787" s="8"/>
      <c r="C1787" s="8"/>
      <c r="D1787" s="8"/>
      <c r="E1787" s="8"/>
      <c r="F1787" s="8"/>
      <c r="G1787" s="8"/>
      <c r="H1787" s="8"/>
      <c r="I1787" s="10"/>
      <c r="J1787" s="10"/>
      <c r="K1787" s="18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</row>
    <row r="1788" ht="14.25" customHeight="1">
      <c r="A1788" s="9"/>
      <c r="B1788" s="8"/>
      <c r="C1788" s="8"/>
      <c r="D1788" s="8"/>
      <c r="E1788" s="8"/>
      <c r="F1788" s="8"/>
      <c r="G1788" s="8"/>
      <c r="H1788" s="8"/>
      <c r="I1788" s="10"/>
      <c r="J1788" s="10"/>
      <c r="K1788" s="18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</row>
    <row r="1789" ht="14.25" customHeight="1">
      <c r="A1789" s="9"/>
      <c r="B1789" s="8"/>
      <c r="C1789" s="8"/>
      <c r="D1789" s="8"/>
      <c r="E1789" s="8"/>
      <c r="F1789" s="8"/>
      <c r="G1789" s="8"/>
      <c r="H1789" s="8"/>
      <c r="I1789" s="10"/>
      <c r="J1789" s="10"/>
      <c r="K1789" s="18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</row>
    <row r="1790" ht="14.25" customHeight="1">
      <c r="A1790" s="9"/>
      <c r="B1790" s="8"/>
      <c r="C1790" s="8"/>
      <c r="D1790" s="8"/>
      <c r="E1790" s="8"/>
      <c r="F1790" s="8"/>
      <c r="G1790" s="8"/>
      <c r="H1790" s="8"/>
      <c r="I1790" s="10"/>
      <c r="J1790" s="10"/>
      <c r="K1790" s="18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</row>
    <row r="1791" ht="14.25" customHeight="1">
      <c r="A1791" s="9"/>
      <c r="B1791" s="8"/>
      <c r="C1791" s="8"/>
      <c r="D1791" s="8"/>
      <c r="E1791" s="8"/>
      <c r="F1791" s="8"/>
      <c r="G1791" s="8"/>
      <c r="H1791" s="8"/>
      <c r="I1791" s="10"/>
      <c r="J1791" s="10"/>
      <c r="K1791" s="18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</row>
    <row r="1792" ht="14.25" customHeight="1">
      <c r="A1792" s="9"/>
      <c r="B1792" s="8"/>
      <c r="C1792" s="8"/>
      <c r="D1792" s="8"/>
      <c r="E1792" s="8"/>
      <c r="F1792" s="8"/>
      <c r="G1792" s="8"/>
      <c r="H1792" s="8"/>
      <c r="I1792" s="10"/>
      <c r="J1792" s="10"/>
      <c r="K1792" s="18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</row>
    <row r="1793" ht="14.25" customHeight="1">
      <c r="A1793" s="9"/>
      <c r="B1793" s="8"/>
      <c r="C1793" s="8"/>
      <c r="D1793" s="8"/>
      <c r="E1793" s="8"/>
      <c r="F1793" s="8"/>
      <c r="G1793" s="8"/>
      <c r="H1793" s="8"/>
      <c r="I1793" s="10"/>
      <c r="J1793" s="10"/>
      <c r="K1793" s="18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</row>
    <row r="1794" ht="14.25" customHeight="1">
      <c r="A1794" s="9"/>
      <c r="B1794" s="8"/>
      <c r="C1794" s="8"/>
      <c r="D1794" s="8"/>
      <c r="E1794" s="8"/>
      <c r="F1794" s="8"/>
      <c r="G1794" s="8"/>
      <c r="H1794" s="8"/>
      <c r="I1794" s="10"/>
      <c r="J1794" s="10"/>
      <c r="K1794" s="18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</row>
    <row r="1795" ht="14.25" customHeight="1">
      <c r="A1795" s="9"/>
      <c r="B1795" s="8"/>
      <c r="C1795" s="8"/>
      <c r="D1795" s="8"/>
      <c r="E1795" s="8"/>
      <c r="F1795" s="8"/>
      <c r="G1795" s="8"/>
      <c r="H1795" s="8"/>
      <c r="I1795" s="10"/>
      <c r="J1795" s="10"/>
      <c r="K1795" s="18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</row>
    <row r="1796" ht="14.25" customHeight="1">
      <c r="A1796" s="9"/>
      <c r="B1796" s="8"/>
      <c r="C1796" s="8"/>
      <c r="D1796" s="8"/>
      <c r="E1796" s="8"/>
      <c r="F1796" s="8"/>
      <c r="G1796" s="8"/>
      <c r="H1796" s="8"/>
      <c r="I1796" s="10"/>
      <c r="J1796" s="10"/>
      <c r="K1796" s="18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</row>
    <row r="1797" ht="14.25" customHeight="1">
      <c r="A1797" s="9"/>
      <c r="B1797" s="8"/>
      <c r="C1797" s="8"/>
      <c r="D1797" s="8"/>
      <c r="E1797" s="8"/>
      <c r="F1797" s="8"/>
      <c r="G1797" s="8"/>
      <c r="H1797" s="8"/>
      <c r="I1797" s="10"/>
      <c r="J1797" s="10"/>
      <c r="K1797" s="18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</row>
    <row r="1798" ht="14.25" customHeight="1">
      <c r="A1798" s="9"/>
      <c r="B1798" s="8"/>
      <c r="C1798" s="8"/>
      <c r="D1798" s="8"/>
      <c r="E1798" s="8"/>
      <c r="F1798" s="8"/>
      <c r="G1798" s="8"/>
      <c r="H1798" s="8"/>
      <c r="I1798" s="10"/>
      <c r="J1798" s="10"/>
      <c r="K1798" s="18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</row>
    <row r="1799" ht="14.25" customHeight="1">
      <c r="A1799" s="9"/>
      <c r="B1799" s="8"/>
      <c r="C1799" s="8"/>
      <c r="D1799" s="8"/>
      <c r="E1799" s="8"/>
      <c r="F1799" s="8"/>
      <c r="G1799" s="8"/>
      <c r="H1799" s="8"/>
      <c r="I1799" s="10"/>
      <c r="J1799" s="10"/>
      <c r="K1799" s="18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</row>
    <row r="1800" ht="14.25" customHeight="1">
      <c r="A1800" s="9"/>
      <c r="B1800" s="8"/>
      <c r="C1800" s="8"/>
      <c r="D1800" s="8"/>
      <c r="E1800" s="8"/>
      <c r="F1800" s="8"/>
      <c r="G1800" s="8"/>
      <c r="H1800" s="8"/>
      <c r="I1800" s="10"/>
      <c r="J1800" s="10"/>
      <c r="K1800" s="18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</row>
    <row r="1801" ht="14.25" customHeight="1">
      <c r="A1801" s="9"/>
      <c r="B1801" s="8"/>
      <c r="C1801" s="8"/>
      <c r="D1801" s="8"/>
      <c r="E1801" s="8"/>
      <c r="F1801" s="8"/>
      <c r="G1801" s="8"/>
      <c r="H1801" s="8"/>
      <c r="I1801" s="10"/>
      <c r="J1801" s="10"/>
      <c r="K1801" s="18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</row>
    <row r="1802" ht="14.25" customHeight="1">
      <c r="A1802" s="9"/>
      <c r="B1802" s="8"/>
      <c r="C1802" s="8"/>
      <c r="D1802" s="8"/>
      <c r="E1802" s="8"/>
      <c r="F1802" s="8"/>
      <c r="G1802" s="8"/>
      <c r="H1802" s="8"/>
      <c r="I1802" s="10"/>
      <c r="J1802" s="10"/>
      <c r="K1802" s="18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</row>
    <row r="1803" ht="14.25" customHeight="1">
      <c r="A1803" s="9"/>
      <c r="B1803" s="8"/>
      <c r="C1803" s="8"/>
      <c r="D1803" s="8"/>
      <c r="E1803" s="8"/>
      <c r="F1803" s="8"/>
      <c r="G1803" s="8"/>
      <c r="H1803" s="8"/>
      <c r="I1803" s="10"/>
      <c r="J1803" s="10"/>
      <c r="K1803" s="18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</row>
    <row r="1804" ht="14.25" customHeight="1">
      <c r="A1804" s="9"/>
      <c r="B1804" s="8"/>
      <c r="C1804" s="8"/>
      <c r="D1804" s="8"/>
      <c r="E1804" s="8"/>
      <c r="F1804" s="8"/>
      <c r="G1804" s="8"/>
      <c r="H1804" s="8"/>
      <c r="I1804" s="10"/>
      <c r="J1804" s="10"/>
      <c r="K1804" s="18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</row>
    <row r="1805" ht="14.25" customHeight="1">
      <c r="A1805" s="9"/>
      <c r="B1805" s="8"/>
      <c r="C1805" s="8"/>
      <c r="D1805" s="8"/>
      <c r="E1805" s="8"/>
      <c r="F1805" s="8"/>
      <c r="G1805" s="8"/>
      <c r="H1805" s="8"/>
      <c r="I1805" s="10"/>
      <c r="J1805" s="10"/>
      <c r="K1805" s="18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</row>
    <row r="1806" ht="14.25" customHeight="1">
      <c r="A1806" s="9"/>
      <c r="B1806" s="8"/>
      <c r="C1806" s="8"/>
      <c r="D1806" s="8"/>
      <c r="E1806" s="8"/>
      <c r="F1806" s="8"/>
      <c r="G1806" s="8"/>
      <c r="H1806" s="8"/>
      <c r="I1806" s="10"/>
      <c r="J1806" s="10"/>
      <c r="K1806" s="18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</row>
    <row r="1807" ht="14.25" customHeight="1">
      <c r="A1807" s="9"/>
      <c r="B1807" s="8"/>
      <c r="C1807" s="8"/>
      <c r="D1807" s="8"/>
      <c r="E1807" s="8"/>
      <c r="F1807" s="8"/>
      <c r="G1807" s="8"/>
      <c r="H1807" s="8"/>
      <c r="I1807" s="10"/>
      <c r="J1807" s="10"/>
      <c r="K1807" s="18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</row>
    <row r="1808" ht="14.25" customHeight="1">
      <c r="A1808" s="9"/>
      <c r="B1808" s="8"/>
      <c r="C1808" s="8"/>
      <c r="D1808" s="8"/>
      <c r="E1808" s="8"/>
      <c r="F1808" s="8"/>
      <c r="G1808" s="8"/>
      <c r="H1808" s="8"/>
      <c r="I1808" s="10"/>
      <c r="J1808" s="10"/>
      <c r="K1808" s="18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</row>
    <row r="1809" ht="14.25" customHeight="1">
      <c r="A1809" s="9"/>
      <c r="B1809" s="8"/>
      <c r="C1809" s="8"/>
      <c r="D1809" s="8"/>
      <c r="E1809" s="8"/>
      <c r="F1809" s="8"/>
      <c r="G1809" s="8"/>
      <c r="H1809" s="8"/>
      <c r="I1809" s="10"/>
      <c r="J1809" s="10"/>
      <c r="K1809" s="18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</row>
    <row r="1810" ht="14.25" customHeight="1">
      <c r="A1810" s="9"/>
      <c r="B1810" s="8"/>
      <c r="C1810" s="8"/>
      <c r="D1810" s="8"/>
      <c r="E1810" s="8"/>
      <c r="F1810" s="8"/>
      <c r="G1810" s="8"/>
      <c r="H1810" s="8"/>
      <c r="I1810" s="10"/>
      <c r="J1810" s="10"/>
      <c r="K1810" s="18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</row>
    <row r="1811" ht="14.25" customHeight="1">
      <c r="A1811" s="9"/>
      <c r="B1811" s="8"/>
      <c r="C1811" s="8"/>
      <c r="D1811" s="8"/>
      <c r="E1811" s="8"/>
      <c r="F1811" s="8"/>
      <c r="G1811" s="8"/>
      <c r="H1811" s="8"/>
      <c r="I1811" s="10"/>
      <c r="J1811" s="10"/>
      <c r="K1811" s="18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</row>
    <row r="1812" ht="14.25" customHeight="1">
      <c r="A1812" s="9"/>
      <c r="B1812" s="8"/>
      <c r="C1812" s="8"/>
      <c r="D1812" s="8"/>
      <c r="E1812" s="8"/>
      <c r="F1812" s="8"/>
      <c r="G1812" s="8"/>
      <c r="H1812" s="8"/>
      <c r="I1812" s="10"/>
      <c r="J1812" s="10"/>
      <c r="K1812" s="18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</row>
    <row r="1813" ht="14.25" customHeight="1">
      <c r="A1813" s="9"/>
      <c r="B1813" s="8"/>
      <c r="C1813" s="8"/>
      <c r="D1813" s="8"/>
      <c r="E1813" s="8"/>
      <c r="F1813" s="8"/>
      <c r="G1813" s="8"/>
      <c r="H1813" s="8"/>
      <c r="I1813" s="10"/>
      <c r="J1813" s="10"/>
      <c r="K1813" s="18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</row>
    <row r="1814" ht="14.25" customHeight="1">
      <c r="A1814" s="9"/>
      <c r="B1814" s="8"/>
      <c r="C1814" s="8"/>
      <c r="D1814" s="8"/>
      <c r="E1814" s="8"/>
      <c r="F1814" s="8"/>
      <c r="G1814" s="8"/>
      <c r="H1814" s="8"/>
      <c r="I1814" s="10"/>
      <c r="J1814" s="10"/>
      <c r="K1814" s="18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</row>
    <row r="1815" ht="14.25" customHeight="1">
      <c r="A1815" s="9"/>
      <c r="B1815" s="8"/>
      <c r="C1815" s="8"/>
      <c r="D1815" s="8"/>
      <c r="E1815" s="8"/>
      <c r="F1815" s="8"/>
      <c r="G1815" s="8"/>
      <c r="H1815" s="8"/>
      <c r="I1815" s="10"/>
      <c r="J1815" s="10"/>
      <c r="K1815" s="18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</row>
    <row r="1816" ht="14.25" customHeight="1">
      <c r="A1816" s="9"/>
      <c r="B1816" s="8"/>
      <c r="C1816" s="8"/>
      <c r="D1816" s="8"/>
      <c r="E1816" s="8"/>
      <c r="F1816" s="8"/>
      <c r="G1816" s="8"/>
      <c r="H1816" s="8"/>
      <c r="I1816" s="10"/>
      <c r="J1816" s="10"/>
      <c r="K1816" s="18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</row>
    <row r="1817" ht="14.25" customHeight="1">
      <c r="A1817" s="9"/>
      <c r="B1817" s="8"/>
      <c r="C1817" s="8"/>
      <c r="D1817" s="8"/>
      <c r="E1817" s="8"/>
      <c r="F1817" s="8"/>
      <c r="G1817" s="8"/>
      <c r="H1817" s="8"/>
      <c r="I1817" s="10"/>
      <c r="J1817" s="10"/>
      <c r="K1817" s="18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</row>
    <row r="1818" ht="14.25" customHeight="1">
      <c r="A1818" s="9"/>
      <c r="B1818" s="8"/>
      <c r="C1818" s="8"/>
      <c r="D1818" s="8"/>
      <c r="E1818" s="8"/>
      <c r="F1818" s="8"/>
      <c r="G1818" s="8"/>
      <c r="H1818" s="8"/>
      <c r="I1818" s="10"/>
      <c r="J1818" s="10"/>
      <c r="K1818" s="18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</row>
    <row r="1819" ht="14.25" customHeight="1">
      <c r="A1819" s="9"/>
      <c r="B1819" s="8"/>
      <c r="C1819" s="8"/>
      <c r="D1819" s="8"/>
      <c r="E1819" s="8"/>
      <c r="F1819" s="8"/>
      <c r="G1819" s="8"/>
      <c r="H1819" s="8"/>
      <c r="I1819" s="10"/>
      <c r="J1819" s="10"/>
      <c r="K1819" s="18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</row>
    <row r="1820" ht="14.25" customHeight="1">
      <c r="A1820" s="9"/>
      <c r="B1820" s="8"/>
      <c r="C1820" s="8"/>
      <c r="D1820" s="8"/>
      <c r="E1820" s="8"/>
      <c r="F1820" s="8"/>
      <c r="G1820" s="8"/>
      <c r="H1820" s="8"/>
      <c r="I1820" s="10"/>
      <c r="J1820" s="10"/>
      <c r="K1820" s="18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</row>
    <row r="1821" ht="14.25" customHeight="1">
      <c r="A1821" s="9"/>
      <c r="B1821" s="8"/>
      <c r="C1821" s="8"/>
      <c r="D1821" s="8"/>
      <c r="E1821" s="8"/>
      <c r="F1821" s="8"/>
      <c r="G1821" s="8"/>
      <c r="H1821" s="8"/>
      <c r="I1821" s="10"/>
      <c r="J1821" s="10"/>
      <c r="K1821" s="18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</row>
    <row r="1822" ht="14.25" customHeight="1">
      <c r="A1822" s="9"/>
      <c r="B1822" s="8"/>
      <c r="C1822" s="8"/>
      <c r="D1822" s="8"/>
      <c r="E1822" s="8"/>
      <c r="F1822" s="8"/>
      <c r="G1822" s="8"/>
      <c r="H1822" s="8"/>
      <c r="I1822" s="10"/>
      <c r="J1822" s="10"/>
      <c r="K1822" s="18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</row>
    <row r="1823" ht="14.25" customHeight="1">
      <c r="A1823" s="9"/>
      <c r="B1823" s="8"/>
      <c r="C1823" s="8"/>
      <c r="D1823" s="8"/>
      <c r="E1823" s="8"/>
      <c r="F1823" s="8"/>
      <c r="G1823" s="8"/>
      <c r="H1823" s="8"/>
      <c r="I1823" s="10"/>
      <c r="J1823" s="10"/>
      <c r="K1823" s="18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</row>
    <row r="1824" ht="14.25" customHeight="1">
      <c r="A1824" s="9"/>
      <c r="B1824" s="8"/>
      <c r="C1824" s="8"/>
      <c r="D1824" s="8"/>
      <c r="E1824" s="8"/>
      <c r="F1824" s="8"/>
      <c r="G1824" s="8"/>
      <c r="H1824" s="8"/>
      <c r="I1824" s="10"/>
      <c r="J1824" s="10"/>
      <c r="K1824" s="18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</row>
    <row r="1825" ht="14.25" customHeight="1">
      <c r="A1825" s="9"/>
      <c r="B1825" s="8"/>
      <c r="C1825" s="8"/>
      <c r="D1825" s="8"/>
      <c r="E1825" s="8"/>
      <c r="F1825" s="8"/>
      <c r="G1825" s="8"/>
      <c r="H1825" s="8"/>
      <c r="I1825" s="10"/>
      <c r="J1825" s="10"/>
      <c r="K1825" s="18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</row>
    <row r="1826" ht="14.25" customHeight="1">
      <c r="A1826" s="9"/>
      <c r="B1826" s="8"/>
      <c r="C1826" s="8"/>
      <c r="D1826" s="8"/>
      <c r="E1826" s="8"/>
      <c r="F1826" s="8"/>
      <c r="G1826" s="8"/>
      <c r="H1826" s="8"/>
      <c r="I1826" s="10"/>
      <c r="J1826" s="10"/>
      <c r="K1826" s="18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</row>
    <row r="1827" ht="14.25" customHeight="1">
      <c r="A1827" s="9"/>
      <c r="B1827" s="8"/>
      <c r="C1827" s="8"/>
      <c r="D1827" s="8"/>
      <c r="E1827" s="8"/>
      <c r="F1827" s="8"/>
      <c r="G1827" s="8"/>
      <c r="H1827" s="8"/>
      <c r="I1827" s="10"/>
      <c r="J1827" s="10"/>
      <c r="K1827" s="18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</row>
    <row r="1828" ht="14.25" customHeight="1">
      <c r="A1828" s="9"/>
      <c r="B1828" s="8"/>
      <c r="C1828" s="8"/>
      <c r="D1828" s="8"/>
      <c r="E1828" s="8"/>
      <c r="F1828" s="8"/>
      <c r="G1828" s="8"/>
      <c r="H1828" s="8"/>
      <c r="I1828" s="10"/>
      <c r="J1828" s="10"/>
      <c r="K1828" s="18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</row>
    <row r="1829" ht="14.25" customHeight="1">
      <c r="A1829" s="9"/>
      <c r="B1829" s="8"/>
      <c r="C1829" s="8"/>
      <c r="D1829" s="8"/>
      <c r="E1829" s="8"/>
      <c r="F1829" s="8"/>
      <c r="G1829" s="8"/>
      <c r="H1829" s="8"/>
      <c r="I1829" s="10"/>
      <c r="J1829" s="10"/>
      <c r="K1829" s="18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</row>
    <row r="1830" ht="14.25" customHeight="1">
      <c r="A1830" s="9"/>
      <c r="B1830" s="8"/>
      <c r="C1830" s="8"/>
      <c r="D1830" s="8"/>
      <c r="E1830" s="8"/>
      <c r="F1830" s="8"/>
      <c r="G1830" s="8"/>
      <c r="H1830" s="8"/>
      <c r="I1830" s="10"/>
      <c r="J1830" s="10"/>
      <c r="K1830" s="18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</row>
    <row r="1831" ht="14.25" customHeight="1">
      <c r="A1831" s="9"/>
      <c r="B1831" s="8"/>
      <c r="C1831" s="8"/>
      <c r="D1831" s="8"/>
      <c r="E1831" s="8"/>
      <c r="F1831" s="8"/>
      <c r="G1831" s="8"/>
      <c r="H1831" s="8"/>
      <c r="I1831" s="10"/>
      <c r="J1831" s="10"/>
      <c r="K1831" s="18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</row>
    <row r="1832" ht="14.25" customHeight="1">
      <c r="A1832" s="9"/>
      <c r="B1832" s="8"/>
      <c r="C1832" s="8"/>
      <c r="D1832" s="8"/>
      <c r="E1832" s="8"/>
      <c r="F1832" s="8"/>
      <c r="G1832" s="8"/>
      <c r="H1832" s="8"/>
      <c r="I1832" s="10"/>
      <c r="J1832" s="10"/>
      <c r="K1832" s="18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</row>
    <row r="1833" ht="14.25" customHeight="1">
      <c r="A1833" s="9"/>
      <c r="B1833" s="8"/>
      <c r="C1833" s="8"/>
      <c r="D1833" s="8"/>
      <c r="E1833" s="8"/>
      <c r="F1833" s="8"/>
      <c r="G1833" s="8"/>
      <c r="H1833" s="8"/>
      <c r="I1833" s="10"/>
      <c r="J1833" s="10"/>
      <c r="K1833" s="18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</row>
    <row r="1834" ht="14.25" customHeight="1">
      <c r="A1834" s="9"/>
      <c r="B1834" s="8"/>
      <c r="C1834" s="8"/>
      <c r="D1834" s="8"/>
      <c r="E1834" s="8"/>
      <c r="F1834" s="8"/>
      <c r="G1834" s="8"/>
      <c r="H1834" s="8"/>
      <c r="I1834" s="10"/>
      <c r="J1834" s="10"/>
      <c r="K1834" s="18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</row>
    <row r="1835" ht="14.25" customHeight="1">
      <c r="A1835" s="9"/>
      <c r="B1835" s="8"/>
      <c r="C1835" s="8"/>
      <c r="D1835" s="8"/>
      <c r="E1835" s="8"/>
      <c r="F1835" s="8"/>
      <c r="G1835" s="8"/>
      <c r="H1835" s="8"/>
      <c r="I1835" s="10"/>
      <c r="J1835" s="10"/>
      <c r="K1835" s="18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</row>
    <row r="1836" ht="14.25" customHeight="1">
      <c r="A1836" s="9"/>
      <c r="B1836" s="8"/>
      <c r="C1836" s="8"/>
      <c r="D1836" s="8"/>
      <c r="E1836" s="8"/>
      <c r="F1836" s="8"/>
      <c r="G1836" s="8"/>
      <c r="H1836" s="8"/>
      <c r="I1836" s="10"/>
      <c r="J1836" s="10"/>
      <c r="K1836" s="18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</row>
    <row r="1837" ht="14.25" customHeight="1">
      <c r="A1837" s="9"/>
      <c r="B1837" s="8"/>
      <c r="C1837" s="8"/>
      <c r="D1837" s="8"/>
      <c r="E1837" s="8"/>
      <c r="F1837" s="8"/>
      <c r="G1837" s="8"/>
      <c r="H1837" s="8"/>
      <c r="I1837" s="10"/>
      <c r="J1837" s="10"/>
      <c r="K1837" s="18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</row>
    <row r="1838" ht="14.25" customHeight="1">
      <c r="A1838" s="9"/>
      <c r="B1838" s="8"/>
      <c r="C1838" s="8"/>
      <c r="D1838" s="8"/>
      <c r="E1838" s="8"/>
      <c r="F1838" s="8"/>
      <c r="G1838" s="8"/>
      <c r="H1838" s="8"/>
      <c r="I1838" s="10"/>
      <c r="J1838" s="10"/>
      <c r="K1838" s="18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</row>
    <row r="1839" ht="14.25" customHeight="1">
      <c r="A1839" s="9"/>
      <c r="B1839" s="8"/>
      <c r="C1839" s="8"/>
      <c r="D1839" s="8"/>
      <c r="E1839" s="8"/>
      <c r="F1839" s="8"/>
      <c r="G1839" s="8"/>
      <c r="H1839" s="8"/>
      <c r="I1839" s="10"/>
      <c r="J1839" s="10"/>
      <c r="K1839" s="18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</row>
    <row r="1840" ht="14.25" customHeight="1">
      <c r="A1840" s="9"/>
      <c r="B1840" s="8"/>
      <c r="C1840" s="8"/>
      <c r="D1840" s="8"/>
      <c r="E1840" s="8"/>
      <c r="F1840" s="8"/>
      <c r="G1840" s="8"/>
      <c r="H1840" s="8"/>
      <c r="I1840" s="10"/>
      <c r="J1840" s="10"/>
      <c r="K1840" s="18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</row>
    <row r="1841" ht="14.25" customHeight="1">
      <c r="A1841" s="9"/>
      <c r="B1841" s="8"/>
      <c r="C1841" s="8"/>
      <c r="D1841" s="8"/>
      <c r="E1841" s="8"/>
      <c r="F1841" s="8"/>
      <c r="G1841" s="8"/>
      <c r="H1841" s="8"/>
      <c r="I1841" s="10"/>
      <c r="J1841" s="10"/>
      <c r="K1841" s="18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</row>
    <row r="1842" ht="14.25" customHeight="1">
      <c r="A1842" s="9"/>
      <c r="B1842" s="8"/>
      <c r="C1842" s="8"/>
      <c r="D1842" s="8"/>
      <c r="E1842" s="8"/>
      <c r="F1842" s="8"/>
      <c r="G1842" s="8"/>
      <c r="H1842" s="8"/>
      <c r="I1842" s="10"/>
      <c r="J1842" s="10"/>
      <c r="K1842" s="18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</row>
    <row r="1843" ht="14.25" customHeight="1">
      <c r="A1843" s="9"/>
      <c r="B1843" s="8"/>
      <c r="C1843" s="8"/>
      <c r="D1843" s="8"/>
      <c r="E1843" s="8"/>
      <c r="F1843" s="8"/>
      <c r="G1843" s="8"/>
      <c r="H1843" s="8"/>
      <c r="I1843" s="10"/>
      <c r="J1843" s="10"/>
      <c r="K1843" s="18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</row>
    <row r="1844" ht="14.25" customHeight="1">
      <c r="A1844" s="9"/>
      <c r="B1844" s="8"/>
      <c r="C1844" s="8"/>
      <c r="D1844" s="8"/>
      <c r="E1844" s="8"/>
      <c r="F1844" s="8"/>
      <c r="G1844" s="8"/>
      <c r="H1844" s="8"/>
      <c r="I1844" s="10"/>
      <c r="J1844" s="10"/>
      <c r="K1844" s="18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</row>
    <row r="1845" ht="14.25" customHeight="1">
      <c r="A1845" s="9"/>
      <c r="B1845" s="8"/>
      <c r="C1845" s="8"/>
      <c r="D1845" s="8"/>
      <c r="E1845" s="8"/>
      <c r="F1845" s="8"/>
      <c r="G1845" s="8"/>
      <c r="H1845" s="8"/>
      <c r="I1845" s="10"/>
      <c r="J1845" s="10"/>
      <c r="K1845" s="18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</row>
    <row r="1846" ht="14.25" customHeight="1">
      <c r="A1846" s="9"/>
      <c r="B1846" s="8"/>
      <c r="C1846" s="8"/>
      <c r="D1846" s="8"/>
      <c r="E1846" s="8"/>
      <c r="F1846" s="8"/>
      <c r="G1846" s="8"/>
      <c r="H1846" s="8"/>
      <c r="I1846" s="10"/>
      <c r="J1846" s="10"/>
      <c r="K1846" s="18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</row>
    <row r="1847" ht="14.25" customHeight="1">
      <c r="A1847" s="9"/>
      <c r="B1847" s="8"/>
      <c r="C1847" s="8"/>
      <c r="D1847" s="8"/>
      <c r="E1847" s="8"/>
      <c r="F1847" s="8"/>
      <c r="G1847" s="8"/>
      <c r="H1847" s="8"/>
      <c r="I1847" s="10"/>
      <c r="J1847" s="10"/>
      <c r="K1847" s="18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</row>
    <row r="1848" ht="14.25" customHeight="1">
      <c r="A1848" s="9"/>
      <c r="B1848" s="8"/>
      <c r="C1848" s="8"/>
      <c r="D1848" s="8"/>
      <c r="E1848" s="8"/>
      <c r="F1848" s="8"/>
      <c r="G1848" s="8"/>
      <c r="H1848" s="8"/>
      <c r="I1848" s="10"/>
      <c r="J1848" s="10"/>
      <c r="K1848" s="18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</row>
    <row r="1849" ht="14.25" customHeight="1">
      <c r="A1849" s="9"/>
      <c r="B1849" s="8"/>
      <c r="C1849" s="8"/>
      <c r="D1849" s="8"/>
      <c r="E1849" s="8"/>
      <c r="F1849" s="8"/>
      <c r="G1849" s="8"/>
      <c r="H1849" s="8"/>
      <c r="I1849" s="10"/>
      <c r="J1849" s="10"/>
      <c r="K1849" s="18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</row>
    <row r="1850" ht="14.25" customHeight="1">
      <c r="A1850" s="9"/>
      <c r="B1850" s="8"/>
      <c r="C1850" s="8"/>
      <c r="D1850" s="8"/>
      <c r="E1850" s="8"/>
      <c r="F1850" s="8"/>
      <c r="G1850" s="8"/>
      <c r="H1850" s="8"/>
      <c r="I1850" s="10"/>
      <c r="J1850" s="10"/>
      <c r="K1850" s="18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</row>
    <row r="1851" ht="14.25" customHeight="1">
      <c r="A1851" s="9"/>
      <c r="B1851" s="8"/>
      <c r="C1851" s="8"/>
      <c r="D1851" s="8"/>
      <c r="E1851" s="8"/>
      <c r="F1851" s="8"/>
      <c r="G1851" s="8"/>
      <c r="H1851" s="8"/>
      <c r="I1851" s="10"/>
      <c r="J1851" s="10"/>
      <c r="K1851" s="18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</row>
    <row r="1852" ht="14.25" customHeight="1">
      <c r="A1852" s="9"/>
      <c r="B1852" s="8"/>
      <c r="C1852" s="8"/>
      <c r="D1852" s="8"/>
      <c r="E1852" s="8"/>
      <c r="F1852" s="8"/>
      <c r="G1852" s="8"/>
      <c r="H1852" s="8"/>
      <c r="I1852" s="10"/>
      <c r="J1852" s="10"/>
      <c r="K1852" s="18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</row>
    <row r="1853" ht="14.25" customHeight="1">
      <c r="A1853" s="9"/>
      <c r="B1853" s="8"/>
      <c r="C1853" s="8"/>
      <c r="D1853" s="8"/>
      <c r="E1853" s="8"/>
      <c r="F1853" s="8"/>
      <c r="G1853" s="8"/>
      <c r="H1853" s="8"/>
      <c r="I1853" s="10"/>
      <c r="J1853" s="10"/>
      <c r="K1853" s="18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</row>
    <row r="1854" ht="14.25" customHeight="1">
      <c r="A1854" s="9"/>
      <c r="B1854" s="8"/>
      <c r="C1854" s="8"/>
      <c r="D1854" s="8"/>
      <c r="E1854" s="8"/>
      <c r="F1854" s="8"/>
      <c r="G1854" s="8"/>
      <c r="H1854" s="8"/>
      <c r="I1854" s="10"/>
      <c r="J1854" s="10"/>
      <c r="K1854" s="18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</row>
    <row r="1855" ht="14.25" customHeight="1">
      <c r="A1855" s="9"/>
      <c r="B1855" s="8"/>
      <c r="C1855" s="8"/>
      <c r="D1855" s="8"/>
      <c r="E1855" s="8"/>
      <c r="F1855" s="8"/>
      <c r="G1855" s="8"/>
      <c r="H1855" s="8"/>
      <c r="I1855" s="10"/>
      <c r="J1855" s="10"/>
      <c r="K1855" s="18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</row>
    <row r="1856" ht="14.25" customHeight="1">
      <c r="A1856" s="9"/>
      <c r="B1856" s="8"/>
      <c r="C1856" s="8"/>
      <c r="D1856" s="8"/>
      <c r="E1856" s="8"/>
      <c r="F1856" s="8"/>
      <c r="G1856" s="8"/>
      <c r="H1856" s="8"/>
      <c r="I1856" s="10"/>
      <c r="J1856" s="10"/>
      <c r="K1856" s="18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</row>
    <row r="1857" ht="14.25" customHeight="1">
      <c r="A1857" s="9"/>
      <c r="B1857" s="8"/>
      <c r="C1857" s="8"/>
      <c r="D1857" s="8"/>
      <c r="E1857" s="8"/>
      <c r="F1857" s="8"/>
      <c r="G1857" s="8"/>
      <c r="H1857" s="8"/>
      <c r="I1857" s="10"/>
      <c r="J1857" s="10"/>
      <c r="K1857" s="18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</row>
    <row r="1858" ht="14.25" customHeight="1">
      <c r="A1858" s="9"/>
      <c r="B1858" s="8"/>
      <c r="C1858" s="8"/>
      <c r="D1858" s="8"/>
      <c r="E1858" s="8"/>
      <c r="F1858" s="8"/>
      <c r="G1858" s="8"/>
      <c r="H1858" s="8"/>
      <c r="I1858" s="10"/>
      <c r="J1858" s="10"/>
      <c r="K1858" s="18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</row>
    <row r="1859" ht="14.25" customHeight="1">
      <c r="A1859" s="9"/>
      <c r="B1859" s="8"/>
      <c r="C1859" s="8"/>
      <c r="D1859" s="8"/>
      <c r="E1859" s="8"/>
      <c r="F1859" s="8"/>
      <c r="G1859" s="8"/>
      <c r="H1859" s="8"/>
      <c r="I1859" s="10"/>
      <c r="J1859" s="10"/>
      <c r="K1859" s="18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</row>
    <row r="1860" ht="14.25" customHeight="1">
      <c r="A1860" s="9"/>
      <c r="B1860" s="8"/>
      <c r="C1860" s="8"/>
      <c r="D1860" s="8"/>
      <c r="E1860" s="8"/>
      <c r="F1860" s="8"/>
      <c r="G1860" s="8"/>
      <c r="H1860" s="8"/>
      <c r="I1860" s="10"/>
      <c r="J1860" s="10"/>
      <c r="K1860" s="18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</row>
    <row r="1861" ht="14.25" customHeight="1">
      <c r="A1861" s="9"/>
      <c r="B1861" s="8"/>
      <c r="C1861" s="8"/>
      <c r="D1861" s="8"/>
      <c r="E1861" s="8"/>
      <c r="F1861" s="8"/>
      <c r="G1861" s="8"/>
      <c r="H1861" s="8"/>
      <c r="I1861" s="10"/>
      <c r="J1861" s="10"/>
      <c r="K1861" s="18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</row>
    <row r="1862" ht="14.25" customHeight="1">
      <c r="A1862" s="9"/>
      <c r="B1862" s="8"/>
      <c r="C1862" s="8"/>
      <c r="D1862" s="8"/>
      <c r="E1862" s="8"/>
      <c r="F1862" s="8"/>
      <c r="G1862" s="8"/>
      <c r="H1862" s="8"/>
      <c r="I1862" s="10"/>
      <c r="J1862" s="10"/>
      <c r="K1862" s="18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</row>
    <row r="1863" ht="14.25" customHeight="1">
      <c r="A1863" s="9"/>
      <c r="B1863" s="8"/>
      <c r="C1863" s="8"/>
      <c r="D1863" s="8"/>
      <c r="E1863" s="8"/>
      <c r="F1863" s="8"/>
      <c r="G1863" s="8"/>
      <c r="H1863" s="8"/>
      <c r="I1863" s="10"/>
      <c r="J1863" s="10"/>
      <c r="K1863" s="18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</row>
    <row r="1864" ht="14.25" customHeight="1">
      <c r="A1864" s="9"/>
      <c r="B1864" s="8"/>
      <c r="C1864" s="8"/>
      <c r="D1864" s="8"/>
      <c r="E1864" s="8"/>
      <c r="F1864" s="8"/>
      <c r="G1864" s="8"/>
      <c r="H1864" s="8"/>
      <c r="I1864" s="10"/>
      <c r="J1864" s="10"/>
      <c r="K1864" s="18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</row>
    <row r="1865" ht="14.25" customHeight="1">
      <c r="A1865" s="9"/>
      <c r="B1865" s="8"/>
      <c r="C1865" s="8"/>
      <c r="D1865" s="8"/>
      <c r="E1865" s="8"/>
      <c r="F1865" s="8"/>
      <c r="G1865" s="8"/>
      <c r="H1865" s="8"/>
      <c r="I1865" s="10"/>
      <c r="J1865" s="10"/>
      <c r="K1865" s="18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</row>
    <row r="1866" ht="14.25" customHeight="1">
      <c r="A1866" s="9"/>
      <c r="B1866" s="8"/>
      <c r="C1866" s="8"/>
      <c r="D1866" s="8"/>
      <c r="E1866" s="8"/>
      <c r="F1866" s="8"/>
      <c r="G1866" s="8"/>
      <c r="H1866" s="8"/>
      <c r="I1866" s="10"/>
      <c r="J1866" s="10"/>
      <c r="K1866" s="18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</row>
    <row r="1867" ht="14.25" customHeight="1">
      <c r="A1867" s="9"/>
      <c r="B1867" s="8"/>
      <c r="C1867" s="8"/>
      <c r="D1867" s="8"/>
      <c r="E1867" s="8"/>
      <c r="F1867" s="8"/>
      <c r="G1867" s="8"/>
      <c r="H1867" s="8"/>
      <c r="I1867" s="10"/>
      <c r="J1867" s="10"/>
      <c r="K1867" s="18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</row>
    <row r="1868" ht="14.25" customHeight="1">
      <c r="A1868" s="9"/>
      <c r="B1868" s="8"/>
      <c r="C1868" s="8"/>
      <c r="D1868" s="8"/>
      <c r="E1868" s="8"/>
      <c r="F1868" s="8"/>
      <c r="G1868" s="8"/>
      <c r="H1868" s="8"/>
      <c r="I1868" s="10"/>
      <c r="J1868" s="10"/>
      <c r="K1868" s="18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</row>
    <row r="1869" ht="14.25" customHeight="1">
      <c r="A1869" s="9"/>
      <c r="B1869" s="8"/>
      <c r="C1869" s="8"/>
      <c r="D1869" s="8"/>
      <c r="E1869" s="8"/>
      <c r="F1869" s="8"/>
      <c r="G1869" s="8"/>
      <c r="H1869" s="8"/>
      <c r="I1869" s="10"/>
      <c r="J1869" s="10"/>
      <c r="K1869" s="18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</row>
    <row r="1870" ht="14.25" customHeight="1">
      <c r="A1870" s="9"/>
      <c r="B1870" s="8"/>
      <c r="C1870" s="8"/>
      <c r="D1870" s="8"/>
      <c r="E1870" s="8"/>
      <c r="F1870" s="8"/>
      <c r="G1870" s="8"/>
      <c r="H1870" s="8"/>
      <c r="I1870" s="10"/>
      <c r="J1870" s="10"/>
      <c r="K1870" s="18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</row>
    <row r="1871" ht="14.25" customHeight="1">
      <c r="A1871" s="9"/>
      <c r="B1871" s="8"/>
      <c r="C1871" s="8"/>
      <c r="D1871" s="8"/>
      <c r="E1871" s="8"/>
      <c r="F1871" s="8"/>
      <c r="G1871" s="8"/>
      <c r="H1871" s="8"/>
      <c r="I1871" s="10"/>
      <c r="J1871" s="10"/>
      <c r="K1871" s="18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</row>
    <row r="1872" ht="14.25" customHeight="1">
      <c r="A1872" s="9"/>
      <c r="B1872" s="8"/>
      <c r="C1872" s="8"/>
      <c r="D1872" s="8"/>
      <c r="E1872" s="8"/>
      <c r="F1872" s="8"/>
      <c r="G1872" s="8"/>
      <c r="H1872" s="8"/>
      <c r="I1872" s="10"/>
      <c r="J1872" s="10"/>
      <c r="K1872" s="18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</row>
    <row r="1873" ht="14.25" customHeight="1">
      <c r="A1873" s="9"/>
      <c r="B1873" s="8"/>
      <c r="C1873" s="8"/>
      <c r="D1873" s="8"/>
      <c r="E1873" s="8"/>
      <c r="F1873" s="8"/>
      <c r="G1873" s="8"/>
      <c r="H1873" s="8"/>
      <c r="I1873" s="10"/>
      <c r="J1873" s="10"/>
      <c r="K1873" s="18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</row>
    <row r="1874" ht="14.25" customHeight="1">
      <c r="A1874" s="9"/>
      <c r="B1874" s="8"/>
      <c r="C1874" s="8"/>
      <c r="D1874" s="8"/>
      <c r="E1874" s="8"/>
      <c r="F1874" s="8"/>
      <c r="G1874" s="8"/>
      <c r="H1874" s="8"/>
      <c r="I1874" s="10"/>
      <c r="J1874" s="10"/>
      <c r="K1874" s="18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</row>
    <row r="1875" ht="14.25" customHeight="1">
      <c r="A1875" s="9"/>
      <c r="B1875" s="8"/>
      <c r="C1875" s="8"/>
      <c r="D1875" s="8"/>
      <c r="E1875" s="8"/>
      <c r="F1875" s="8"/>
      <c r="G1875" s="8"/>
      <c r="H1875" s="8"/>
      <c r="I1875" s="10"/>
      <c r="J1875" s="10"/>
      <c r="K1875" s="18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</row>
    <row r="1876" ht="14.25" customHeight="1">
      <c r="A1876" s="9"/>
      <c r="B1876" s="8"/>
      <c r="C1876" s="8"/>
      <c r="D1876" s="8"/>
      <c r="E1876" s="8"/>
      <c r="F1876" s="8"/>
      <c r="G1876" s="8"/>
      <c r="H1876" s="8"/>
      <c r="I1876" s="10"/>
      <c r="J1876" s="10"/>
      <c r="K1876" s="18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</row>
    <row r="1877" ht="14.25" customHeight="1">
      <c r="A1877" s="9"/>
      <c r="B1877" s="8"/>
      <c r="C1877" s="8"/>
      <c r="D1877" s="8"/>
      <c r="E1877" s="8"/>
      <c r="F1877" s="8"/>
      <c r="G1877" s="8"/>
      <c r="H1877" s="8"/>
      <c r="I1877" s="10"/>
      <c r="J1877" s="10"/>
      <c r="K1877" s="18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</row>
    <row r="1878" ht="14.25" customHeight="1">
      <c r="A1878" s="9"/>
      <c r="B1878" s="8"/>
      <c r="C1878" s="8"/>
      <c r="D1878" s="8"/>
      <c r="E1878" s="8"/>
      <c r="F1878" s="8"/>
      <c r="G1878" s="8"/>
      <c r="H1878" s="8"/>
      <c r="I1878" s="10"/>
      <c r="J1878" s="10"/>
      <c r="K1878" s="18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</row>
    <row r="1879" ht="14.25" customHeight="1">
      <c r="A1879" s="9"/>
      <c r="B1879" s="8"/>
      <c r="C1879" s="8"/>
      <c r="D1879" s="8"/>
      <c r="E1879" s="8"/>
      <c r="F1879" s="8"/>
      <c r="G1879" s="8"/>
      <c r="H1879" s="8"/>
      <c r="I1879" s="10"/>
      <c r="J1879" s="10"/>
      <c r="K1879" s="18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</row>
    <row r="1880" ht="14.25" customHeight="1">
      <c r="A1880" s="9"/>
      <c r="B1880" s="8"/>
      <c r="C1880" s="8"/>
      <c r="D1880" s="8"/>
      <c r="E1880" s="8"/>
      <c r="F1880" s="8"/>
      <c r="G1880" s="8"/>
      <c r="H1880" s="8"/>
      <c r="I1880" s="10"/>
      <c r="J1880" s="10"/>
      <c r="K1880" s="18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</row>
    <row r="1881" ht="14.25" customHeight="1">
      <c r="A1881" s="9"/>
      <c r="B1881" s="8"/>
      <c r="C1881" s="8"/>
      <c r="D1881" s="8"/>
      <c r="E1881" s="8"/>
      <c r="F1881" s="8"/>
      <c r="G1881" s="8"/>
      <c r="H1881" s="8"/>
      <c r="I1881" s="10"/>
      <c r="J1881" s="10"/>
      <c r="K1881" s="18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</row>
    <row r="1882" ht="14.25" customHeight="1">
      <c r="A1882" s="9"/>
      <c r="B1882" s="8"/>
      <c r="C1882" s="8"/>
      <c r="D1882" s="8"/>
      <c r="E1882" s="8"/>
      <c r="F1882" s="8"/>
      <c r="G1882" s="8"/>
      <c r="H1882" s="8"/>
      <c r="I1882" s="10"/>
      <c r="J1882" s="10"/>
      <c r="K1882" s="18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</row>
    <row r="1883" ht="14.25" customHeight="1">
      <c r="A1883" s="9"/>
      <c r="B1883" s="8"/>
      <c r="C1883" s="8"/>
      <c r="D1883" s="8"/>
      <c r="E1883" s="8"/>
      <c r="F1883" s="8"/>
      <c r="G1883" s="8"/>
      <c r="H1883" s="8"/>
      <c r="I1883" s="10"/>
      <c r="J1883" s="10"/>
      <c r="K1883" s="18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</row>
    <row r="1884" ht="14.25" customHeight="1">
      <c r="A1884" s="9"/>
      <c r="B1884" s="8"/>
      <c r="C1884" s="8"/>
      <c r="D1884" s="8"/>
      <c r="E1884" s="8"/>
      <c r="F1884" s="8"/>
      <c r="G1884" s="8"/>
      <c r="H1884" s="8"/>
      <c r="I1884" s="10"/>
      <c r="J1884" s="10"/>
      <c r="K1884" s="18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</row>
    <row r="1885" ht="14.25" customHeight="1">
      <c r="A1885" s="9"/>
      <c r="B1885" s="8"/>
      <c r="C1885" s="8"/>
      <c r="D1885" s="8"/>
      <c r="E1885" s="8"/>
      <c r="F1885" s="8"/>
      <c r="G1885" s="8"/>
      <c r="H1885" s="8"/>
      <c r="I1885" s="10"/>
      <c r="J1885" s="10"/>
      <c r="K1885" s="18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</row>
    <row r="1886" ht="14.25" customHeight="1">
      <c r="A1886" s="9"/>
      <c r="B1886" s="8"/>
      <c r="C1886" s="8"/>
      <c r="D1886" s="8"/>
      <c r="E1886" s="8"/>
      <c r="F1886" s="8"/>
      <c r="G1886" s="8"/>
      <c r="H1886" s="8"/>
      <c r="I1886" s="10"/>
      <c r="J1886" s="10"/>
      <c r="K1886" s="18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</row>
    <row r="1887" ht="14.25" customHeight="1">
      <c r="A1887" s="9"/>
      <c r="B1887" s="8"/>
      <c r="C1887" s="8"/>
      <c r="D1887" s="8"/>
      <c r="E1887" s="8"/>
      <c r="F1887" s="8"/>
      <c r="G1887" s="8"/>
      <c r="H1887" s="8"/>
      <c r="I1887" s="10"/>
      <c r="J1887" s="10"/>
      <c r="K1887" s="18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</row>
    <row r="1888" ht="14.25" customHeight="1">
      <c r="A1888" s="9"/>
      <c r="B1888" s="8"/>
      <c r="C1888" s="8"/>
      <c r="D1888" s="8"/>
      <c r="E1888" s="8"/>
      <c r="F1888" s="8"/>
      <c r="G1888" s="8"/>
      <c r="H1888" s="8"/>
      <c r="I1888" s="10"/>
      <c r="J1888" s="10"/>
      <c r="K1888" s="18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</row>
    <row r="1889" ht="14.25" customHeight="1">
      <c r="A1889" s="9"/>
      <c r="B1889" s="8"/>
      <c r="C1889" s="8"/>
      <c r="D1889" s="8"/>
      <c r="E1889" s="8"/>
      <c r="F1889" s="8"/>
      <c r="G1889" s="8"/>
      <c r="H1889" s="8"/>
      <c r="I1889" s="10"/>
      <c r="J1889" s="10"/>
      <c r="K1889" s="18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</row>
    <row r="1890" ht="14.25" customHeight="1">
      <c r="A1890" s="9"/>
      <c r="B1890" s="8"/>
      <c r="C1890" s="8"/>
      <c r="D1890" s="8"/>
      <c r="E1890" s="8"/>
      <c r="F1890" s="8"/>
      <c r="G1890" s="8"/>
      <c r="H1890" s="8"/>
      <c r="I1890" s="10"/>
      <c r="J1890" s="10"/>
      <c r="K1890" s="18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</row>
    <row r="1891" ht="14.25" customHeight="1">
      <c r="A1891" s="9"/>
      <c r="B1891" s="8"/>
      <c r="C1891" s="8"/>
      <c r="D1891" s="8"/>
      <c r="E1891" s="8"/>
      <c r="F1891" s="8"/>
      <c r="G1891" s="8"/>
      <c r="H1891" s="8"/>
      <c r="I1891" s="10"/>
      <c r="J1891" s="10"/>
      <c r="K1891" s="18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</row>
    <row r="1892" ht="14.25" customHeight="1">
      <c r="A1892" s="9"/>
      <c r="B1892" s="8"/>
      <c r="C1892" s="8"/>
      <c r="D1892" s="8"/>
      <c r="E1892" s="8"/>
      <c r="F1892" s="8"/>
      <c r="G1892" s="8"/>
      <c r="H1892" s="8"/>
      <c r="I1892" s="10"/>
      <c r="J1892" s="10"/>
      <c r="K1892" s="18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</row>
    <row r="1893" ht="14.25" customHeight="1">
      <c r="A1893" s="9"/>
      <c r="B1893" s="8"/>
      <c r="C1893" s="8"/>
      <c r="D1893" s="8"/>
      <c r="E1893" s="8"/>
      <c r="F1893" s="8"/>
      <c r="G1893" s="8"/>
      <c r="H1893" s="8"/>
      <c r="I1893" s="10"/>
      <c r="J1893" s="10"/>
      <c r="K1893" s="18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</row>
    <row r="1894" ht="14.25" customHeight="1">
      <c r="A1894" s="9"/>
      <c r="B1894" s="8"/>
      <c r="C1894" s="8"/>
      <c r="D1894" s="8"/>
      <c r="E1894" s="8"/>
      <c r="F1894" s="8"/>
      <c r="G1894" s="8"/>
      <c r="H1894" s="8"/>
      <c r="I1894" s="10"/>
      <c r="J1894" s="10"/>
      <c r="K1894" s="18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</row>
    <row r="1895" ht="14.25" customHeight="1">
      <c r="A1895" s="9"/>
      <c r="B1895" s="8"/>
      <c r="C1895" s="8"/>
      <c r="D1895" s="8"/>
      <c r="E1895" s="8"/>
      <c r="F1895" s="8"/>
      <c r="G1895" s="8"/>
      <c r="H1895" s="8"/>
      <c r="I1895" s="10"/>
      <c r="J1895" s="10"/>
      <c r="K1895" s="18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</row>
    <row r="1896" ht="14.25" customHeight="1">
      <c r="A1896" s="9"/>
      <c r="B1896" s="8"/>
      <c r="C1896" s="8"/>
      <c r="D1896" s="8"/>
      <c r="E1896" s="8"/>
      <c r="F1896" s="8"/>
      <c r="G1896" s="8"/>
      <c r="H1896" s="8"/>
      <c r="I1896" s="10"/>
      <c r="J1896" s="10"/>
      <c r="K1896" s="18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</row>
    <row r="1897" ht="14.25" customHeight="1">
      <c r="A1897" s="9"/>
      <c r="B1897" s="8"/>
      <c r="C1897" s="8"/>
      <c r="D1897" s="8"/>
      <c r="E1897" s="8"/>
      <c r="F1897" s="8"/>
      <c r="G1897" s="8"/>
      <c r="H1897" s="8"/>
      <c r="I1897" s="10"/>
      <c r="J1897" s="10"/>
      <c r="K1897" s="18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</row>
    <row r="1898" ht="14.25" customHeight="1">
      <c r="A1898" s="9"/>
      <c r="B1898" s="8"/>
      <c r="C1898" s="8"/>
      <c r="D1898" s="8"/>
      <c r="E1898" s="8"/>
      <c r="F1898" s="8"/>
      <c r="G1898" s="8"/>
      <c r="H1898" s="8"/>
      <c r="I1898" s="10"/>
      <c r="J1898" s="10"/>
      <c r="K1898" s="18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</row>
    <row r="1899" ht="14.25" customHeight="1">
      <c r="A1899" s="9"/>
      <c r="B1899" s="8"/>
      <c r="C1899" s="8"/>
      <c r="D1899" s="8"/>
      <c r="E1899" s="8"/>
      <c r="F1899" s="8"/>
      <c r="G1899" s="8"/>
      <c r="H1899" s="8"/>
      <c r="I1899" s="10"/>
      <c r="J1899" s="10"/>
      <c r="K1899" s="18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</row>
    <row r="1900" ht="14.25" customHeight="1">
      <c r="A1900" s="9"/>
      <c r="B1900" s="8"/>
      <c r="C1900" s="8"/>
      <c r="D1900" s="8"/>
      <c r="E1900" s="8"/>
      <c r="F1900" s="8"/>
      <c r="G1900" s="8"/>
      <c r="H1900" s="8"/>
      <c r="I1900" s="10"/>
      <c r="J1900" s="10"/>
      <c r="K1900" s="18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</row>
    <row r="1901" ht="14.25" customHeight="1">
      <c r="A1901" s="9"/>
      <c r="B1901" s="8"/>
      <c r="C1901" s="8"/>
      <c r="D1901" s="8"/>
      <c r="E1901" s="8"/>
      <c r="F1901" s="8"/>
      <c r="G1901" s="8"/>
      <c r="H1901" s="8"/>
      <c r="I1901" s="10"/>
      <c r="J1901" s="10"/>
      <c r="K1901" s="18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</row>
    <row r="1902" ht="14.25" customHeight="1">
      <c r="A1902" s="9"/>
      <c r="B1902" s="8"/>
      <c r="C1902" s="8"/>
      <c r="D1902" s="8"/>
      <c r="E1902" s="8"/>
      <c r="F1902" s="8"/>
      <c r="G1902" s="8"/>
      <c r="H1902" s="8"/>
      <c r="I1902" s="10"/>
      <c r="J1902" s="10"/>
      <c r="K1902" s="18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</row>
    <row r="1903" ht="14.25" customHeight="1">
      <c r="A1903" s="9"/>
      <c r="B1903" s="8"/>
      <c r="C1903" s="8"/>
      <c r="D1903" s="8"/>
      <c r="E1903" s="8"/>
      <c r="F1903" s="8"/>
      <c r="G1903" s="8"/>
      <c r="H1903" s="8"/>
      <c r="I1903" s="10"/>
      <c r="J1903" s="10"/>
      <c r="K1903" s="18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</row>
    <row r="1904" ht="14.25" customHeight="1">
      <c r="A1904" s="9"/>
      <c r="B1904" s="8"/>
      <c r="C1904" s="8"/>
      <c r="D1904" s="8"/>
      <c r="E1904" s="8"/>
      <c r="F1904" s="8"/>
      <c r="G1904" s="8"/>
      <c r="H1904" s="8"/>
      <c r="I1904" s="10"/>
      <c r="J1904" s="10"/>
      <c r="K1904" s="18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</row>
    <row r="1905" ht="14.25" customHeight="1">
      <c r="A1905" s="9"/>
      <c r="B1905" s="8"/>
      <c r="C1905" s="8"/>
      <c r="D1905" s="8"/>
      <c r="E1905" s="8"/>
      <c r="F1905" s="8"/>
      <c r="G1905" s="8"/>
      <c r="H1905" s="8"/>
      <c r="I1905" s="10"/>
      <c r="J1905" s="10"/>
      <c r="K1905" s="18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</row>
    <row r="1906" ht="14.25" customHeight="1">
      <c r="A1906" s="9"/>
      <c r="B1906" s="8"/>
      <c r="C1906" s="8"/>
      <c r="D1906" s="8"/>
      <c r="E1906" s="8"/>
      <c r="F1906" s="8"/>
      <c r="G1906" s="8"/>
      <c r="H1906" s="8"/>
      <c r="I1906" s="10"/>
      <c r="J1906" s="10"/>
      <c r="K1906" s="18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</row>
    <row r="1907" ht="14.25" customHeight="1">
      <c r="A1907" s="9"/>
      <c r="B1907" s="8"/>
      <c r="C1907" s="8"/>
      <c r="D1907" s="8"/>
      <c r="E1907" s="8"/>
      <c r="F1907" s="8"/>
      <c r="G1907" s="8"/>
      <c r="H1907" s="8"/>
      <c r="I1907" s="10"/>
      <c r="J1907" s="10"/>
      <c r="K1907" s="18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</row>
    <row r="1908" ht="14.25" customHeight="1">
      <c r="A1908" s="9"/>
      <c r="B1908" s="8"/>
      <c r="C1908" s="8"/>
      <c r="D1908" s="8"/>
      <c r="E1908" s="8"/>
      <c r="F1908" s="8"/>
      <c r="G1908" s="8"/>
      <c r="H1908" s="8"/>
      <c r="I1908" s="10"/>
      <c r="J1908" s="10"/>
      <c r="K1908" s="18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</row>
    <row r="1909" ht="14.25" customHeight="1">
      <c r="A1909" s="9"/>
      <c r="B1909" s="8"/>
      <c r="C1909" s="8"/>
      <c r="D1909" s="8"/>
      <c r="E1909" s="8"/>
      <c r="F1909" s="8"/>
      <c r="G1909" s="8"/>
      <c r="H1909" s="8"/>
      <c r="I1909" s="10"/>
      <c r="J1909" s="10"/>
      <c r="K1909" s="18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</row>
    <row r="1910" ht="14.25" customHeight="1">
      <c r="A1910" s="9"/>
      <c r="B1910" s="8"/>
      <c r="C1910" s="8"/>
      <c r="D1910" s="8"/>
      <c r="E1910" s="8"/>
      <c r="F1910" s="8"/>
      <c r="G1910" s="8"/>
      <c r="H1910" s="8"/>
      <c r="I1910" s="10"/>
      <c r="J1910" s="10"/>
      <c r="K1910" s="18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</row>
    <row r="1911" ht="14.25" customHeight="1">
      <c r="A1911" s="9"/>
      <c r="B1911" s="8"/>
      <c r="C1911" s="8"/>
      <c r="D1911" s="8"/>
      <c r="E1911" s="8"/>
      <c r="F1911" s="8"/>
      <c r="G1911" s="8"/>
      <c r="H1911" s="8"/>
      <c r="I1911" s="10"/>
      <c r="J1911" s="10"/>
      <c r="K1911" s="18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</row>
    <row r="1912" ht="14.25" customHeight="1">
      <c r="A1912" s="9"/>
      <c r="B1912" s="8"/>
      <c r="C1912" s="8"/>
      <c r="D1912" s="8"/>
      <c r="E1912" s="8"/>
      <c r="F1912" s="8"/>
      <c r="G1912" s="8"/>
      <c r="H1912" s="8"/>
      <c r="I1912" s="10"/>
      <c r="J1912" s="10"/>
      <c r="K1912" s="18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</row>
    <row r="1913" ht="14.25" customHeight="1">
      <c r="A1913" s="9"/>
      <c r="B1913" s="8"/>
      <c r="C1913" s="8"/>
      <c r="D1913" s="8"/>
      <c r="E1913" s="8"/>
      <c r="F1913" s="8"/>
      <c r="G1913" s="8"/>
      <c r="H1913" s="8"/>
      <c r="I1913" s="10"/>
      <c r="J1913" s="10"/>
      <c r="K1913" s="18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</row>
    <row r="1914" ht="14.25" customHeight="1">
      <c r="A1914" s="9"/>
      <c r="B1914" s="8"/>
      <c r="C1914" s="8"/>
      <c r="D1914" s="8"/>
      <c r="E1914" s="8"/>
      <c r="F1914" s="8"/>
      <c r="G1914" s="8"/>
      <c r="H1914" s="8"/>
      <c r="I1914" s="10"/>
      <c r="J1914" s="10"/>
      <c r="K1914" s="18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</row>
    <row r="1915" ht="14.25" customHeight="1">
      <c r="A1915" s="9"/>
      <c r="B1915" s="8"/>
      <c r="C1915" s="8"/>
      <c r="D1915" s="8"/>
      <c r="E1915" s="8"/>
      <c r="F1915" s="8"/>
      <c r="G1915" s="8"/>
      <c r="H1915" s="8"/>
      <c r="I1915" s="10"/>
      <c r="J1915" s="10"/>
      <c r="K1915" s="18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</row>
    <row r="1916" ht="14.25" customHeight="1">
      <c r="A1916" s="9"/>
      <c r="B1916" s="8"/>
      <c r="C1916" s="8"/>
      <c r="D1916" s="8"/>
      <c r="E1916" s="8"/>
      <c r="F1916" s="8"/>
      <c r="G1916" s="8"/>
      <c r="H1916" s="8"/>
      <c r="I1916" s="10"/>
      <c r="J1916" s="10"/>
      <c r="K1916" s="18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</row>
    <row r="1917" ht="14.25" customHeight="1">
      <c r="A1917" s="9"/>
      <c r="B1917" s="8"/>
      <c r="C1917" s="8"/>
      <c r="D1917" s="8"/>
      <c r="E1917" s="8"/>
      <c r="F1917" s="8"/>
      <c r="G1917" s="8"/>
      <c r="H1917" s="8"/>
      <c r="I1917" s="10"/>
      <c r="J1917" s="10"/>
      <c r="K1917" s="18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</row>
    <row r="1918" ht="14.25" customHeight="1">
      <c r="A1918" s="9"/>
      <c r="B1918" s="8"/>
      <c r="C1918" s="8"/>
      <c r="D1918" s="8"/>
      <c r="E1918" s="8"/>
      <c r="F1918" s="8"/>
      <c r="G1918" s="8"/>
      <c r="H1918" s="8"/>
      <c r="I1918" s="10"/>
      <c r="J1918" s="10"/>
      <c r="K1918" s="18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</row>
    <row r="1919" ht="14.25" customHeight="1">
      <c r="A1919" s="9"/>
      <c r="B1919" s="8"/>
      <c r="C1919" s="8"/>
      <c r="D1919" s="8"/>
      <c r="E1919" s="8"/>
      <c r="F1919" s="8"/>
      <c r="G1919" s="8"/>
      <c r="H1919" s="8"/>
      <c r="I1919" s="10"/>
      <c r="J1919" s="10"/>
      <c r="K1919" s="18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</row>
    <row r="1920" ht="14.25" customHeight="1">
      <c r="A1920" s="9"/>
      <c r="B1920" s="8"/>
      <c r="C1920" s="8"/>
      <c r="D1920" s="8"/>
      <c r="E1920" s="8"/>
      <c r="F1920" s="8"/>
      <c r="G1920" s="8"/>
      <c r="H1920" s="8"/>
      <c r="I1920" s="10"/>
      <c r="J1920" s="10"/>
      <c r="K1920" s="18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</row>
    <row r="1921" ht="14.25" customHeight="1">
      <c r="A1921" s="9"/>
      <c r="B1921" s="8"/>
      <c r="C1921" s="8"/>
      <c r="D1921" s="8"/>
      <c r="E1921" s="8"/>
      <c r="F1921" s="8"/>
      <c r="G1921" s="8"/>
      <c r="H1921" s="8"/>
      <c r="I1921" s="10"/>
      <c r="J1921" s="10"/>
      <c r="K1921" s="18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</row>
    <row r="1922" ht="14.25" customHeight="1">
      <c r="A1922" s="9"/>
      <c r="B1922" s="8"/>
      <c r="C1922" s="8"/>
      <c r="D1922" s="8"/>
      <c r="E1922" s="8"/>
      <c r="F1922" s="8"/>
      <c r="G1922" s="8"/>
      <c r="H1922" s="8"/>
      <c r="I1922" s="10"/>
      <c r="J1922" s="10"/>
      <c r="K1922" s="18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</row>
    <row r="1923" ht="14.25" customHeight="1">
      <c r="A1923" s="9"/>
      <c r="B1923" s="8"/>
      <c r="C1923" s="8"/>
      <c r="D1923" s="8"/>
      <c r="E1923" s="8"/>
      <c r="F1923" s="8"/>
      <c r="G1923" s="8"/>
      <c r="H1923" s="8"/>
      <c r="I1923" s="10"/>
      <c r="J1923" s="10"/>
      <c r="K1923" s="18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</row>
    <row r="1924" ht="14.25" customHeight="1">
      <c r="A1924" s="9"/>
      <c r="B1924" s="8"/>
      <c r="C1924" s="8"/>
      <c r="D1924" s="8"/>
      <c r="E1924" s="8"/>
      <c r="F1924" s="8"/>
      <c r="G1924" s="8"/>
      <c r="H1924" s="8"/>
      <c r="I1924" s="10"/>
      <c r="J1924" s="10"/>
      <c r="K1924" s="18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</row>
    <row r="1925" ht="14.25" customHeight="1">
      <c r="A1925" s="9"/>
      <c r="B1925" s="8"/>
      <c r="C1925" s="8"/>
      <c r="D1925" s="8"/>
      <c r="E1925" s="8"/>
      <c r="F1925" s="8"/>
      <c r="G1925" s="8"/>
      <c r="H1925" s="8"/>
      <c r="I1925" s="10"/>
      <c r="J1925" s="10"/>
      <c r="K1925" s="18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</row>
    <row r="1926" ht="14.25" customHeight="1">
      <c r="A1926" s="9"/>
      <c r="B1926" s="8"/>
      <c r="C1926" s="8"/>
      <c r="D1926" s="8"/>
      <c r="E1926" s="8"/>
      <c r="F1926" s="8"/>
      <c r="G1926" s="8"/>
      <c r="H1926" s="8"/>
      <c r="I1926" s="10"/>
      <c r="J1926" s="10"/>
      <c r="K1926" s="18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</row>
    <row r="1927" ht="14.25" customHeight="1">
      <c r="A1927" s="9"/>
      <c r="B1927" s="8"/>
      <c r="C1927" s="8"/>
      <c r="D1927" s="8"/>
      <c r="E1927" s="8"/>
      <c r="F1927" s="8"/>
      <c r="G1927" s="8"/>
      <c r="H1927" s="8"/>
      <c r="I1927" s="10"/>
      <c r="J1927" s="10"/>
      <c r="K1927" s="18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</row>
    <row r="1928" ht="14.25" customHeight="1">
      <c r="A1928" s="9"/>
      <c r="B1928" s="8"/>
      <c r="C1928" s="8"/>
      <c r="D1928" s="8"/>
      <c r="E1928" s="8"/>
      <c r="F1928" s="8"/>
      <c r="G1928" s="8"/>
      <c r="H1928" s="8"/>
      <c r="I1928" s="10"/>
      <c r="J1928" s="10"/>
      <c r="K1928" s="18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</row>
    <row r="1929" ht="14.25" customHeight="1">
      <c r="A1929" s="9"/>
      <c r="B1929" s="8"/>
      <c r="C1929" s="8"/>
      <c r="D1929" s="8"/>
      <c r="E1929" s="8"/>
      <c r="F1929" s="8"/>
      <c r="G1929" s="8"/>
      <c r="H1929" s="8"/>
      <c r="I1929" s="10"/>
      <c r="J1929" s="10"/>
      <c r="K1929" s="18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</row>
    <row r="1930" ht="14.25" customHeight="1">
      <c r="A1930" s="9"/>
      <c r="B1930" s="8"/>
      <c r="C1930" s="8"/>
      <c r="D1930" s="8"/>
      <c r="E1930" s="8"/>
      <c r="F1930" s="8"/>
      <c r="G1930" s="8"/>
      <c r="H1930" s="8"/>
      <c r="I1930" s="10"/>
      <c r="J1930" s="10"/>
      <c r="K1930" s="18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</row>
    <row r="1931" ht="14.25" customHeight="1">
      <c r="A1931" s="9"/>
      <c r="B1931" s="8"/>
      <c r="C1931" s="8"/>
      <c r="D1931" s="8"/>
      <c r="E1931" s="8"/>
      <c r="F1931" s="8"/>
      <c r="G1931" s="8"/>
      <c r="H1931" s="8"/>
      <c r="I1931" s="10"/>
      <c r="J1931" s="10"/>
      <c r="K1931" s="18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</row>
    <row r="1932" ht="14.25" customHeight="1">
      <c r="A1932" s="9"/>
      <c r="B1932" s="8"/>
      <c r="C1932" s="8"/>
      <c r="D1932" s="8"/>
      <c r="E1932" s="8"/>
      <c r="F1932" s="8"/>
      <c r="G1932" s="8"/>
      <c r="H1932" s="8"/>
      <c r="I1932" s="10"/>
      <c r="J1932" s="10"/>
      <c r="K1932" s="18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</row>
    <row r="1933" ht="14.25" customHeight="1">
      <c r="A1933" s="9"/>
      <c r="B1933" s="8"/>
      <c r="C1933" s="8"/>
      <c r="D1933" s="8"/>
      <c r="E1933" s="8"/>
      <c r="F1933" s="8"/>
      <c r="G1933" s="8"/>
      <c r="H1933" s="8"/>
      <c r="I1933" s="10"/>
      <c r="J1933" s="10"/>
      <c r="K1933" s="18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</row>
    <row r="1934" ht="14.25" customHeight="1">
      <c r="A1934" s="9"/>
      <c r="B1934" s="8"/>
      <c r="C1934" s="8"/>
      <c r="D1934" s="8"/>
      <c r="E1934" s="8"/>
      <c r="F1934" s="8"/>
      <c r="G1934" s="8"/>
      <c r="H1934" s="8"/>
      <c r="I1934" s="10"/>
      <c r="J1934" s="10"/>
      <c r="K1934" s="18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</row>
    <row r="1935" ht="14.25" customHeight="1">
      <c r="A1935" s="9"/>
      <c r="B1935" s="8"/>
      <c r="C1935" s="8"/>
      <c r="D1935" s="8"/>
      <c r="E1935" s="8"/>
      <c r="F1935" s="8"/>
      <c r="G1935" s="8"/>
      <c r="H1935" s="8"/>
      <c r="I1935" s="10"/>
      <c r="J1935" s="10"/>
      <c r="K1935" s="18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</row>
    <row r="1936" ht="14.25" customHeight="1">
      <c r="A1936" s="9"/>
      <c r="B1936" s="8"/>
      <c r="C1936" s="8"/>
      <c r="D1936" s="8"/>
      <c r="E1936" s="8"/>
      <c r="F1936" s="8"/>
      <c r="G1936" s="8"/>
      <c r="H1936" s="8"/>
      <c r="I1936" s="10"/>
      <c r="J1936" s="10"/>
      <c r="K1936" s="18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</row>
    <row r="1937" ht="14.25" customHeight="1">
      <c r="A1937" s="9"/>
      <c r="B1937" s="8"/>
      <c r="C1937" s="8"/>
      <c r="D1937" s="8"/>
      <c r="E1937" s="8"/>
      <c r="F1937" s="8"/>
      <c r="G1937" s="8"/>
      <c r="H1937" s="8"/>
      <c r="I1937" s="10"/>
      <c r="J1937" s="10"/>
      <c r="K1937" s="18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</row>
    <row r="1938" ht="14.25" customHeight="1">
      <c r="A1938" s="9"/>
      <c r="B1938" s="8"/>
      <c r="C1938" s="8"/>
      <c r="D1938" s="8"/>
      <c r="E1938" s="8"/>
      <c r="F1938" s="8"/>
      <c r="G1938" s="8"/>
      <c r="H1938" s="8"/>
      <c r="I1938" s="10"/>
      <c r="J1938" s="10"/>
      <c r="K1938" s="18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</row>
    <row r="1939" ht="14.25" customHeight="1">
      <c r="A1939" s="9"/>
      <c r="B1939" s="8"/>
      <c r="C1939" s="8"/>
      <c r="D1939" s="8"/>
      <c r="E1939" s="8"/>
      <c r="F1939" s="8"/>
      <c r="G1939" s="8"/>
      <c r="H1939" s="8"/>
      <c r="I1939" s="10"/>
      <c r="J1939" s="10"/>
      <c r="K1939" s="18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</row>
    <row r="1940" ht="14.25" customHeight="1">
      <c r="A1940" s="9"/>
      <c r="B1940" s="8"/>
      <c r="C1940" s="8"/>
      <c r="D1940" s="8"/>
      <c r="E1940" s="8"/>
      <c r="F1940" s="8"/>
      <c r="G1940" s="8"/>
      <c r="H1940" s="8"/>
      <c r="I1940" s="10"/>
      <c r="J1940" s="10"/>
      <c r="K1940" s="18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</row>
    <row r="1941" ht="14.25" customHeight="1">
      <c r="A1941" s="9"/>
      <c r="B1941" s="8"/>
      <c r="C1941" s="8"/>
      <c r="D1941" s="8"/>
      <c r="E1941" s="8"/>
      <c r="F1941" s="8"/>
      <c r="G1941" s="8"/>
      <c r="H1941" s="8"/>
      <c r="I1941" s="10"/>
      <c r="J1941" s="10"/>
      <c r="K1941" s="18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</row>
    <row r="1942" ht="14.25" customHeight="1">
      <c r="A1942" s="9"/>
      <c r="B1942" s="8"/>
      <c r="C1942" s="8"/>
      <c r="D1942" s="8"/>
      <c r="E1942" s="8"/>
      <c r="F1942" s="8"/>
      <c r="G1942" s="8"/>
      <c r="H1942" s="8"/>
      <c r="I1942" s="10"/>
      <c r="J1942" s="10"/>
      <c r="K1942" s="18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</row>
    <row r="1943" ht="14.25" customHeight="1">
      <c r="A1943" s="9"/>
      <c r="B1943" s="8"/>
      <c r="C1943" s="8"/>
      <c r="D1943" s="8"/>
      <c r="E1943" s="8"/>
      <c r="F1943" s="8"/>
      <c r="G1943" s="8"/>
      <c r="H1943" s="8"/>
      <c r="I1943" s="10"/>
      <c r="J1943" s="10"/>
      <c r="K1943" s="18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</row>
    <row r="1944" ht="14.25" customHeight="1">
      <c r="A1944" s="9"/>
      <c r="B1944" s="8"/>
      <c r="C1944" s="8"/>
      <c r="D1944" s="8"/>
      <c r="E1944" s="8"/>
      <c r="F1944" s="8"/>
      <c r="G1944" s="8"/>
      <c r="H1944" s="8"/>
      <c r="I1944" s="10"/>
      <c r="J1944" s="10"/>
      <c r="K1944" s="18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</row>
    <row r="1945" ht="14.25" customHeight="1">
      <c r="A1945" s="9"/>
      <c r="B1945" s="8"/>
      <c r="C1945" s="8"/>
      <c r="D1945" s="8"/>
      <c r="E1945" s="8"/>
      <c r="F1945" s="8"/>
      <c r="G1945" s="8"/>
      <c r="H1945" s="8"/>
      <c r="I1945" s="10"/>
      <c r="J1945" s="10"/>
      <c r="K1945" s="18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</row>
    <row r="1946" ht="14.25" customHeight="1">
      <c r="A1946" s="9"/>
      <c r="B1946" s="8"/>
      <c r="C1946" s="8"/>
      <c r="D1946" s="8"/>
      <c r="E1946" s="8"/>
      <c r="F1946" s="8"/>
      <c r="G1946" s="8"/>
      <c r="H1946" s="8"/>
      <c r="I1946" s="10"/>
      <c r="J1946" s="10"/>
      <c r="K1946" s="18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</row>
    <row r="1947" ht="14.25" customHeight="1">
      <c r="A1947" s="9"/>
      <c r="B1947" s="8"/>
      <c r="C1947" s="8"/>
      <c r="D1947" s="8"/>
      <c r="E1947" s="8"/>
      <c r="F1947" s="8"/>
      <c r="G1947" s="8"/>
      <c r="H1947" s="8"/>
      <c r="I1947" s="10"/>
      <c r="J1947" s="10"/>
      <c r="K1947" s="18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</row>
    <row r="1948" ht="14.25" customHeight="1">
      <c r="A1948" s="9"/>
      <c r="B1948" s="8"/>
      <c r="C1948" s="8"/>
      <c r="D1948" s="8"/>
      <c r="E1948" s="8"/>
      <c r="F1948" s="8"/>
      <c r="G1948" s="8"/>
      <c r="H1948" s="8"/>
      <c r="I1948" s="10"/>
      <c r="J1948" s="10"/>
      <c r="K1948" s="18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</row>
    <row r="1949" ht="14.25" customHeight="1">
      <c r="A1949" s="9"/>
      <c r="B1949" s="8"/>
      <c r="C1949" s="8"/>
      <c r="D1949" s="8"/>
      <c r="E1949" s="8"/>
      <c r="F1949" s="8"/>
      <c r="G1949" s="8"/>
      <c r="H1949" s="8"/>
      <c r="I1949" s="10"/>
      <c r="J1949" s="10"/>
      <c r="K1949" s="18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</row>
    <row r="1950" ht="14.25" customHeight="1">
      <c r="A1950" s="9"/>
      <c r="B1950" s="8"/>
      <c r="C1950" s="8"/>
      <c r="D1950" s="8"/>
      <c r="E1950" s="8"/>
      <c r="F1950" s="8"/>
      <c r="G1950" s="8"/>
      <c r="H1950" s="8"/>
      <c r="I1950" s="10"/>
      <c r="J1950" s="10"/>
      <c r="K1950" s="18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</row>
    <row r="1951" ht="14.25" customHeight="1">
      <c r="A1951" s="9"/>
      <c r="B1951" s="8"/>
      <c r="C1951" s="8"/>
      <c r="D1951" s="8"/>
      <c r="E1951" s="8"/>
      <c r="F1951" s="8"/>
      <c r="G1951" s="8"/>
      <c r="H1951" s="8"/>
      <c r="I1951" s="10"/>
      <c r="J1951" s="10"/>
      <c r="K1951" s="18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</row>
    <row r="1952" ht="14.25" customHeight="1">
      <c r="A1952" s="9"/>
      <c r="B1952" s="8"/>
      <c r="C1952" s="8"/>
      <c r="D1952" s="8"/>
      <c r="E1952" s="8"/>
      <c r="F1952" s="8"/>
      <c r="G1952" s="8"/>
      <c r="H1952" s="8"/>
      <c r="I1952" s="10"/>
      <c r="J1952" s="10"/>
      <c r="K1952" s="18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</row>
    <row r="1953" ht="14.25" customHeight="1">
      <c r="A1953" s="9"/>
      <c r="B1953" s="8"/>
      <c r="C1953" s="8"/>
      <c r="D1953" s="8"/>
      <c r="E1953" s="8"/>
      <c r="F1953" s="8"/>
      <c r="G1953" s="8"/>
      <c r="H1953" s="8"/>
      <c r="I1953" s="10"/>
      <c r="J1953" s="10"/>
      <c r="K1953" s="18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</row>
    <row r="1954" ht="14.25" customHeight="1">
      <c r="A1954" s="9"/>
      <c r="B1954" s="8"/>
      <c r="C1954" s="8"/>
      <c r="D1954" s="8"/>
      <c r="E1954" s="8"/>
      <c r="F1954" s="8"/>
      <c r="G1954" s="8"/>
      <c r="H1954" s="8"/>
      <c r="I1954" s="10"/>
      <c r="J1954" s="10"/>
      <c r="K1954" s="18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</row>
    <row r="1955" ht="14.25" customHeight="1">
      <c r="A1955" s="9"/>
      <c r="B1955" s="8"/>
      <c r="C1955" s="8"/>
      <c r="D1955" s="8"/>
      <c r="E1955" s="8"/>
      <c r="F1955" s="8"/>
      <c r="G1955" s="8"/>
      <c r="H1955" s="8"/>
      <c r="I1955" s="10"/>
      <c r="J1955" s="10"/>
      <c r="K1955" s="18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</row>
    <row r="1956" ht="14.25" customHeight="1">
      <c r="A1956" s="9"/>
      <c r="B1956" s="8"/>
      <c r="C1956" s="8"/>
      <c r="D1956" s="8"/>
      <c r="E1956" s="8"/>
      <c r="F1956" s="8"/>
      <c r="G1956" s="8"/>
      <c r="H1956" s="8"/>
      <c r="I1956" s="10"/>
      <c r="J1956" s="10"/>
      <c r="K1956" s="18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</row>
    <row r="1957" ht="14.25" customHeight="1">
      <c r="A1957" s="9"/>
      <c r="B1957" s="8"/>
      <c r="C1957" s="8"/>
      <c r="D1957" s="8"/>
      <c r="E1957" s="8"/>
      <c r="F1957" s="8"/>
      <c r="G1957" s="8"/>
      <c r="H1957" s="8"/>
      <c r="I1957" s="10"/>
      <c r="J1957" s="10"/>
      <c r="K1957" s="18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</row>
    <row r="1958" ht="14.25" customHeight="1">
      <c r="A1958" s="9"/>
      <c r="B1958" s="8"/>
      <c r="C1958" s="8"/>
      <c r="D1958" s="8"/>
      <c r="E1958" s="8"/>
      <c r="F1958" s="8"/>
      <c r="G1958" s="8"/>
      <c r="H1958" s="8"/>
      <c r="I1958" s="10"/>
      <c r="J1958" s="10"/>
      <c r="K1958" s="18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</row>
    <row r="1959" ht="14.25" customHeight="1">
      <c r="A1959" s="9"/>
      <c r="B1959" s="8"/>
      <c r="C1959" s="8"/>
      <c r="D1959" s="8"/>
      <c r="E1959" s="8"/>
      <c r="F1959" s="8"/>
      <c r="G1959" s="8"/>
      <c r="H1959" s="8"/>
      <c r="I1959" s="10"/>
      <c r="J1959" s="10"/>
      <c r="K1959" s="18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</row>
    <row r="1960" ht="14.25" customHeight="1">
      <c r="A1960" s="9"/>
      <c r="B1960" s="8"/>
      <c r="C1960" s="8"/>
      <c r="D1960" s="8"/>
      <c r="E1960" s="8"/>
      <c r="F1960" s="8"/>
      <c r="G1960" s="8"/>
      <c r="H1960" s="8"/>
      <c r="I1960" s="10"/>
      <c r="J1960" s="10"/>
      <c r="K1960" s="18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</row>
    <row r="1961" ht="14.25" customHeight="1">
      <c r="A1961" s="9"/>
      <c r="B1961" s="8"/>
      <c r="C1961" s="8"/>
      <c r="D1961" s="8"/>
      <c r="E1961" s="8"/>
      <c r="F1961" s="8"/>
      <c r="G1961" s="8"/>
      <c r="H1961" s="8"/>
      <c r="I1961" s="10"/>
      <c r="J1961" s="10"/>
      <c r="K1961" s="18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</row>
    <row r="1962" ht="14.25" customHeight="1">
      <c r="A1962" s="9"/>
      <c r="B1962" s="8"/>
      <c r="C1962" s="8"/>
      <c r="D1962" s="8"/>
      <c r="E1962" s="8"/>
      <c r="F1962" s="8"/>
      <c r="G1962" s="8"/>
      <c r="H1962" s="8"/>
      <c r="I1962" s="10"/>
      <c r="J1962" s="10"/>
      <c r="K1962" s="18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</row>
    <row r="1963" ht="14.25" customHeight="1">
      <c r="A1963" s="9"/>
      <c r="B1963" s="8"/>
      <c r="C1963" s="8"/>
      <c r="D1963" s="8"/>
      <c r="E1963" s="8"/>
      <c r="F1963" s="8"/>
      <c r="G1963" s="8"/>
      <c r="H1963" s="8"/>
      <c r="I1963" s="10"/>
      <c r="J1963" s="10"/>
      <c r="K1963" s="18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</row>
    <row r="1964" ht="14.25" customHeight="1">
      <c r="A1964" s="9"/>
      <c r="B1964" s="8"/>
      <c r="C1964" s="8"/>
      <c r="D1964" s="8"/>
      <c r="E1964" s="8"/>
      <c r="F1964" s="8"/>
      <c r="G1964" s="8"/>
      <c r="H1964" s="8"/>
      <c r="I1964" s="10"/>
      <c r="J1964" s="10"/>
      <c r="K1964" s="18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</row>
    <row r="1965" ht="14.25" customHeight="1">
      <c r="A1965" s="9"/>
      <c r="B1965" s="8"/>
      <c r="C1965" s="8"/>
      <c r="D1965" s="8"/>
      <c r="E1965" s="8"/>
      <c r="F1965" s="8"/>
      <c r="G1965" s="8"/>
      <c r="H1965" s="8"/>
      <c r="I1965" s="10"/>
      <c r="J1965" s="10"/>
      <c r="K1965" s="18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</row>
    <row r="1966" ht="14.25" customHeight="1">
      <c r="A1966" s="9"/>
      <c r="B1966" s="8"/>
      <c r="C1966" s="8"/>
      <c r="D1966" s="8"/>
      <c r="E1966" s="8"/>
      <c r="F1966" s="8"/>
      <c r="G1966" s="8"/>
      <c r="H1966" s="8"/>
      <c r="I1966" s="10"/>
      <c r="J1966" s="10"/>
      <c r="K1966" s="18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</row>
    <row r="1967" ht="14.25" customHeight="1">
      <c r="A1967" s="9"/>
      <c r="B1967" s="8"/>
      <c r="C1967" s="8"/>
      <c r="D1967" s="8"/>
      <c r="E1967" s="8"/>
      <c r="F1967" s="8"/>
      <c r="G1967" s="8"/>
      <c r="H1967" s="8"/>
      <c r="I1967" s="10"/>
      <c r="J1967" s="10"/>
      <c r="K1967" s="18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</row>
    <row r="1968" ht="14.25" customHeight="1">
      <c r="A1968" s="9"/>
      <c r="B1968" s="8"/>
      <c r="C1968" s="8"/>
      <c r="D1968" s="8"/>
      <c r="E1968" s="8"/>
      <c r="F1968" s="8"/>
      <c r="G1968" s="8"/>
      <c r="H1968" s="8"/>
      <c r="I1968" s="10"/>
      <c r="J1968" s="10"/>
      <c r="K1968" s="18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</row>
    <row r="1969" ht="14.25" customHeight="1">
      <c r="A1969" s="9"/>
      <c r="B1969" s="8"/>
      <c r="C1969" s="8"/>
      <c r="D1969" s="8"/>
      <c r="E1969" s="8"/>
      <c r="F1969" s="8"/>
      <c r="G1969" s="8"/>
      <c r="H1969" s="8"/>
      <c r="I1969" s="10"/>
      <c r="J1969" s="10"/>
      <c r="K1969" s="18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</row>
    <row r="1970" ht="14.25" customHeight="1">
      <c r="A1970" s="9"/>
      <c r="B1970" s="8"/>
      <c r="C1970" s="8"/>
      <c r="D1970" s="8"/>
      <c r="E1970" s="8"/>
      <c r="F1970" s="8"/>
      <c r="G1970" s="8"/>
      <c r="H1970" s="8"/>
      <c r="I1970" s="10"/>
      <c r="J1970" s="10"/>
      <c r="K1970" s="18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</row>
    <row r="1971" ht="14.25" customHeight="1">
      <c r="A1971" s="9"/>
      <c r="B1971" s="8"/>
      <c r="C1971" s="8"/>
      <c r="D1971" s="8"/>
      <c r="E1971" s="8"/>
      <c r="F1971" s="8"/>
      <c r="G1971" s="8"/>
      <c r="H1971" s="8"/>
      <c r="I1971" s="10"/>
      <c r="J1971" s="10"/>
      <c r="K1971" s="18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</row>
    <row r="1972" ht="14.25" customHeight="1">
      <c r="A1972" s="9"/>
      <c r="B1972" s="8"/>
      <c r="C1972" s="8"/>
      <c r="D1972" s="8"/>
      <c r="E1972" s="8"/>
      <c r="F1972" s="8"/>
      <c r="G1972" s="8"/>
      <c r="H1972" s="8"/>
      <c r="I1972" s="10"/>
      <c r="J1972" s="10"/>
      <c r="K1972" s="18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</row>
    <row r="1973" ht="14.25" customHeight="1">
      <c r="A1973" s="9"/>
      <c r="B1973" s="8"/>
      <c r="C1973" s="8"/>
      <c r="D1973" s="8"/>
      <c r="E1973" s="8"/>
      <c r="F1973" s="8"/>
      <c r="G1973" s="8"/>
      <c r="H1973" s="8"/>
      <c r="I1973" s="10"/>
      <c r="J1973" s="10"/>
      <c r="K1973" s="18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</row>
    <row r="1974" ht="14.25" customHeight="1">
      <c r="A1974" s="9"/>
      <c r="B1974" s="8"/>
      <c r="C1974" s="8"/>
      <c r="D1974" s="8"/>
      <c r="E1974" s="8"/>
      <c r="F1974" s="8"/>
      <c r="G1974" s="8"/>
      <c r="H1974" s="8"/>
      <c r="I1974" s="10"/>
      <c r="J1974" s="10"/>
      <c r="K1974" s="18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</row>
    <row r="1975" ht="14.25" customHeight="1">
      <c r="A1975" s="9"/>
      <c r="B1975" s="8"/>
      <c r="C1975" s="8"/>
      <c r="D1975" s="8"/>
      <c r="E1975" s="8"/>
      <c r="F1975" s="8"/>
      <c r="G1975" s="8"/>
      <c r="H1975" s="8"/>
      <c r="I1975" s="10"/>
      <c r="J1975" s="10"/>
      <c r="K1975" s="18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</row>
    <row r="1976" ht="14.25" customHeight="1">
      <c r="A1976" s="9"/>
      <c r="B1976" s="8"/>
      <c r="C1976" s="8"/>
      <c r="D1976" s="8"/>
      <c r="E1976" s="8"/>
      <c r="F1976" s="8"/>
      <c r="G1976" s="8"/>
      <c r="H1976" s="8"/>
      <c r="I1976" s="10"/>
      <c r="J1976" s="10"/>
      <c r="K1976" s="18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</row>
    <row r="1977" ht="14.25" customHeight="1">
      <c r="A1977" s="9"/>
      <c r="B1977" s="8"/>
      <c r="C1977" s="8"/>
      <c r="D1977" s="8"/>
      <c r="E1977" s="8"/>
      <c r="F1977" s="8"/>
      <c r="G1977" s="8"/>
      <c r="H1977" s="8"/>
      <c r="I1977" s="10"/>
      <c r="J1977" s="10"/>
      <c r="K1977" s="18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</row>
    <row r="1978" ht="14.25" customHeight="1">
      <c r="A1978" s="9"/>
      <c r="B1978" s="8"/>
      <c r="C1978" s="8"/>
      <c r="D1978" s="8"/>
      <c r="E1978" s="8"/>
      <c r="F1978" s="8"/>
      <c r="G1978" s="8"/>
      <c r="H1978" s="8"/>
      <c r="I1978" s="10"/>
      <c r="J1978" s="10"/>
      <c r="K1978" s="18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</row>
    <row r="1979" ht="14.25" customHeight="1">
      <c r="A1979" s="9"/>
      <c r="B1979" s="8"/>
      <c r="C1979" s="8"/>
      <c r="D1979" s="8"/>
      <c r="E1979" s="8"/>
      <c r="F1979" s="8"/>
      <c r="G1979" s="8"/>
      <c r="H1979" s="8"/>
      <c r="I1979" s="10"/>
      <c r="J1979" s="10"/>
      <c r="K1979" s="18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</row>
    <row r="1980" ht="14.25" customHeight="1">
      <c r="A1980" s="9"/>
      <c r="B1980" s="8"/>
      <c r="C1980" s="8"/>
      <c r="D1980" s="8"/>
      <c r="E1980" s="8"/>
      <c r="F1980" s="8"/>
      <c r="G1980" s="8"/>
      <c r="H1980" s="8"/>
      <c r="I1980" s="10"/>
      <c r="J1980" s="10"/>
      <c r="K1980" s="18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</row>
    <row r="1981" ht="14.25" customHeight="1">
      <c r="A1981" s="9"/>
      <c r="B1981" s="8"/>
      <c r="C1981" s="8"/>
      <c r="D1981" s="8"/>
      <c r="E1981" s="8"/>
      <c r="F1981" s="8"/>
      <c r="G1981" s="8"/>
      <c r="H1981" s="8"/>
      <c r="I1981" s="10"/>
      <c r="J1981" s="10"/>
      <c r="K1981" s="18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</row>
    <row r="1982" ht="14.25" customHeight="1">
      <c r="A1982" s="9"/>
      <c r="B1982" s="8"/>
      <c r="C1982" s="8"/>
      <c r="D1982" s="8"/>
      <c r="E1982" s="8"/>
      <c r="F1982" s="8"/>
      <c r="G1982" s="8"/>
      <c r="H1982" s="8"/>
      <c r="I1982" s="10"/>
      <c r="J1982" s="10"/>
      <c r="K1982" s="18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</row>
    <row r="1983" ht="14.25" customHeight="1">
      <c r="A1983" s="9"/>
      <c r="B1983" s="8"/>
      <c r="C1983" s="8"/>
      <c r="D1983" s="8"/>
      <c r="E1983" s="8"/>
      <c r="F1983" s="8"/>
      <c r="G1983" s="8"/>
      <c r="H1983" s="8"/>
      <c r="I1983" s="10"/>
      <c r="J1983" s="10"/>
      <c r="K1983" s="18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</row>
    <row r="1984" ht="14.25" customHeight="1">
      <c r="A1984" s="9"/>
      <c r="B1984" s="8"/>
      <c r="C1984" s="8"/>
      <c r="D1984" s="8"/>
      <c r="E1984" s="8"/>
      <c r="F1984" s="8"/>
      <c r="G1984" s="8"/>
      <c r="H1984" s="8"/>
      <c r="I1984" s="10"/>
      <c r="J1984" s="10"/>
      <c r="K1984" s="18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</row>
    <row r="1985" ht="14.25" customHeight="1">
      <c r="A1985" s="9"/>
      <c r="B1985" s="8"/>
      <c r="C1985" s="8"/>
      <c r="D1985" s="8"/>
      <c r="E1985" s="8"/>
      <c r="F1985" s="8"/>
      <c r="G1985" s="8"/>
      <c r="H1985" s="8"/>
      <c r="I1985" s="10"/>
      <c r="J1985" s="10"/>
      <c r="K1985" s="18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</row>
    <row r="1986" ht="14.25" customHeight="1">
      <c r="A1986" s="9"/>
      <c r="B1986" s="8"/>
      <c r="C1986" s="8"/>
      <c r="D1986" s="8"/>
      <c r="E1986" s="8"/>
      <c r="F1986" s="8"/>
      <c r="G1986" s="8"/>
      <c r="H1986" s="8"/>
      <c r="I1986" s="10"/>
      <c r="J1986" s="10"/>
      <c r="K1986" s="18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</row>
    <row r="1987" ht="14.25" customHeight="1">
      <c r="A1987" s="9"/>
      <c r="B1987" s="8"/>
      <c r="C1987" s="8"/>
      <c r="D1987" s="8"/>
      <c r="E1987" s="8"/>
      <c r="F1987" s="8"/>
      <c r="G1987" s="8"/>
      <c r="H1987" s="8"/>
      <c r="I1987" s="10"/>
      <c r="J1987" s="10"/>
      <c r="K1987" s="18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</row>
    <row r="1988" ht="14.25" customHeight="1">
      <c r="A1988" s="9"/>
      <c r="B1988" s="8"/>
      <c r="C1988" s="8"/>
      <c r="D1988" s="8"/>
      <c r="E1988" s="8"/>
      <c r="F1988" s="8"/>
      <c r="G1988" s="8"/>
      <c r="H1988" s="8"/>
      <c r="I1988" s="10"/>
      <c r="J1988" s="10"/>
      <c r="K1988" s="18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</row>
    <row r="1989" ht="14.25" customHeight="1">
      <c r="A1989" s="9"/>
      <c r="B1989" s="8"/>
      <c r="C1989" s="8"/>
      <c r="D1989" s="8"/>
      <c r="E1989" s="8"/>
      <c r="F1989" s="8"/>
      <c r="G1989" s="8"/>
      <c r="H1989" s="8"/>
      <c r="I1989" s="10"/>
      <c r="J1989" s="10"/>
      <c r="K1989" s="18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</row>
    <row r="1990" ht="14.25" customHeight="1">
      <c r="A1990" s="9"/>
      <c r="B1990" s="8"/>
      <c r="C1990" s="8"/>
      <c r="D1990" s="8"/>
      <c r="E1990" s="8"/>
      <c r="F1990" s="8"/>
      <c r="G1990" s="8"/>
      <c r="H1990" s="8"/>
      <c r="I1990" s="10"/>
      <c r="J1990" s="10"/>
      <c r="K1990" s="18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</row>
    <row r="1991" ht="14.25" customHeight="1">
      <c r="A1991" s="9"/>
      <c r="B1991" s="8"/>
      <c r="C1991" s="8"/>
      <c r="D1991" s="8"/>
      <c r="E1991" s="8"/>
      <c r="F1991" s="8"/>
      <c r="G1991" s="8"/>
      <c r="H1991" s="8"/>
      <c r="I1991" s="10"/>
      <c r="J1991" s="10"/>
      <c r="K1991" s="18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</row>
    <row r="1992" ht="14.25" customHeight="1">
      <c r="A1992" s="9"/>
      <c r="B1992" s="8"/>
      <c r="C1992" s="8"/>
      <c r="D1992" s="8"/>
      <c r="E1992" s="8"/>
      <c r="F1992" s="8"/>
      <c r="G1992" s="8"/>
      <c r="H1992" s="8"/>
      <c r="I1992" s="10"/>
      <c r="J1992" s="10"/>
      <c r="K1992" s="18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</row>
    <row r="1993" ht="14.25" customHeight="1">
      <c r="A1993" s="9"/>
      <c r="B1993" s="8"/>
      <c r="C1993" s="8"/>
      <c r="D1993" s="8"/>
      <c r="E1993" s="8"/>
      <c r="F1993" s="8"/>
      <c r="G1993" s="8"/>
      <c r="H1993" s="8"/>
      <c r="I1993" s="10"/>
      <c r="J1993" s="10"/>
      <c r="K1993" s="18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</row>
    <row r="1994" ht="14.25" customHeight="1">
      <c r="A1994" s="9"/>
      <c r="B1994" s="8"/>
      <c r="C1994" s="8"/>
      <c r="D1994" s="8"/>
      <c r="E1994" s="8"/>
      <c r="F1994" s="8"/>
      <c r="G1994" s="8"/>
      <c r="H1994" s="8"/>
      <c r="I1994" s="10"/>
      <c r="J1994" s="10"/>
      <c r="K1994" s="18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</row>
    <row r="1995" ht="14.25" customHeight="1">
      <c r="A1995" s="9"/>
      <c r="B1995" s="8"/>
      <c r="C1995" s="8"/>
      <c r="D1995" s="8"/>
      <c r="E1995" s="8"/>
      <c r="F1995" s="8"/>
      <c r="G1995" s="8"/>
      <c r="H1995" s="8"/>
      <c r="I1995" s="10"/>
      <c r="J1995" s="10"/>
      <c r="K1995" s="18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</row>
    <row r="1996" ht="14.25" customHeight="1">
      <c r="A1996" s="9"/>
      <c r="B1996" s="8"/>
      <c r="C1996" s="8"/>
      <c r="D1996" s="8"/>
      <c r="E1996" s="8"/>
      <c r="F1996" s="8"/>
      <c r="G1996" s="8"/>
      <c r="H1996" s="8"/>
      <c r="I1996" s="10"/>
      <c r="J1996" s="10"/>
      <c r="K1996" s="18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</row>
    <row r="1997" ht="14.25" customHeight="1">
      <c r="A1997" s="9"/>
      <c r="B1997" s="8"/>
      <c r="C1997" s="8"/>
      <c r="D1997" s="8"/>
      <c r="E1997" s="8"/>
      <c r="F1997" s="8"/>
      <c r="G1997" s="8"/>
      <c r="H1997" s="8"/>
      <c r="I1997" s="10"/>
      <c r="J1997" s="10"/>
      <c r="K1997" s="18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</row>
    <row r="1998" ht="14.25" customHeight="1">
      <c r="A1998" s="9"/>
      <c r="B1998" s="8"/>
      <c r="C1998" s="8"/>
      <c r="D1998" s="8"/>
      <c r="E1998" s="8"/>
      <c r="F1998" s="8"/>
      <c r="G1998" s="8"/>
      <c r="H1998" s="8"/>
      <c r="I1998" s="10"/>
      <c r="J1998" s="10"/>
      <c r="K1998" s="18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</row>
    <row r="1999" ht="14.25" customHeight="1">
      <c r="A1999" s="9"/>
      <c r="B1999" s="8"/>
      <c r="C1999" s="8"/>
      <c r="D1999" s="8"/>
      <c r="E1999" s="8"/>
      <c r="F1999" s="8"/>
      <c r="G1999" s="8"/>
      <c r="H1999" s="8"/>
      <c r="I1999" s="10"/>
      <c r="J1999" s="10"/>
      <c r="K1999" s="18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</row>
    <row r="2000" ht="14.25" customHeight="1">
      <c r="A2000" s="9"/>
      <c r="B2000" s="8"/>
      <c r="C2000" s="8"/>
      <c r="D2000" s="8"/>
      <c r="E2000" s="8"/>
      <c r="F2000" s="8"/>
      <c r="G2000" s="8"/>
      <c r="H2000" s="8"/>
      <c r="I2000" s="10"/>
      <c r="J2000" s="10"/>
      <c r="K2000" s="18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</row>
    <row r="2001" ht="14.25" customHeight="1">
      <c r="A2001" s="9"/>
      <c r="B2001" s="8"/>
      <c r="C2001" s="8"/>
      <c r="D2001" s="8"/>
      <c r="E2001" s="8"/>
      <c r="F2001" s="8"/>
      <c r="G2001" s="8"/>
      <c r="H2001" s="8"/>
      <c r="I2001" s="10"/>
      <c r="J2001" s="10"/>
      <c r="K2001" s="18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</row>
    <row r="2002" ht="14.25" customHeight="1">
      <c r="A2002" s="9"/>
      <c r="B2002" s="8"/>
      <c r="C2002" s="8"/>
      <c r="D2002" s="8"/>
      <c r="E2002" s="8"/>
      <c r="F2002" s="8"/>
      <c r="G2002" s="8"/>
      <c r="H2002" s="8"/>
      <c r="I2002" s="10"/>
      <c r="J2002" s="10"/>
      <c r="K2002" s="18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</row>
    <row r="2003" ht="14.25" customHeight="1">
      <c r="A2003" s="9"/>
      <c r="B2003" s="8"/>
      <c r="C2003" s="8"/>
      <c r="D2003" s="8"/>
      <c r="E2003" s="8"/>
      <c r="F2003" s="8"/>
      <c r="G2003" s="8"/>
      <c r="H2003" s="8"/>
      <c r="I2003" s="10"/>
      <c r="J2003" s="10"/>
      <c r="K2003" s="18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</row>
    <row r="2004" ht="14.25" customHeight="1">
      <c r="A2004" s="9"/>
      <c r="B2004" s="8"/>
      <c r="C2004" s="8"/>
      <c r="D2004" s="8"/>
      <c r="E2004" s="8"/>
      <c r="F2004" s="8"/>
      <c r="G2004" s="8"/>
      <c r="H2004" s="8"/>
      <c r="I2004" s="10"/>
      <c r="J2004" s="10"/>
      <c r="K2004" s="18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</row>
    <row r="2005" ht="14.25" customHeight="1">
      <c r="A2005" s="9"/>
      <c r="B2005" s="8"/>
      <c r="C2005" s="8"/>
      <c r="D2005" s="8"/>
      <c r="E2005" s="8"/>
      <c r="F2005" s="8"/>
      <c r="G2005" s="8"/>
      <c r="H2005" s="8"/>
      <c r="I2005" s="10"/>
      <c r="J2005" s="10"/>
      <c r="K2005" s="18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</row>
    <row r="2006" ht="14.25" customHeight="1">
      <c r="A2006" s="9"/>
      <c r="B2006" s="8"/>
      <c r="C2006" s="8"/>
      <c r="D2006" s="8"/>
      <c r="E2006" s="8"/>
      <c r="F2006" s="8"/>
      <c r="G2006" s="8"/>
      <c r="H2006" s="8"/>
      <c r="I2006" s="10"/>
      <c r="J2006" s="10"/>
      <c r="K2006" s="18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</row>
    <row r="2007" ht="14.25" customHeight="1">
      <c r="A2007" s="9"/>
      <c r="B2007" s="8"/>
      <c r="C2007" s="8"/>
      <c r="D2007" s="8"/>
      <c r="E2007" s="8"/>
      <c r="F2007" s="8"/>
      <c r="G2007" s="8"/>
      <c r="H2007" s="8"/>
      <c r="I2007" s="10"/>
      <c r="J2007" s="10"/>
      <c r="K2007" s="18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</row>
    <row r="2008" ht="14.25" customHeight="1">
      <c r="A2008" s="9"/>
      <c r="B2008" s="8"/>
      <c r="C2008" s="8"/>
      <c r="D2008" s="8"/>
      <c r="E2008" s="8"/>
      <c r="F2008" s="8"/>
      <c r="G2008" s="8"/>
      <c r="H2008" s="8"/>
      <c r="I2008" s="10"/>
      <c r="J2008" s="10"/>
      <c r="K2008" s="18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</row>
    <row r="2009" ht="14.25" customHeight="1">
      <c r="A2009" s="9"/>
      <c r="B2009" s="8"/>
      <c r="C2009" s="8"/>
      <c r="D2009" s="8"/>
      <c r="E2009" s="8"/>
      <c r="F2009" s="8"/>
      <c r="G2009" s="8"/>
      <c r="H2009" s="8"/>
      <c r="I2009" s="10"/>
      <c r="J2009" s="10"/>
      <c r="K2009" s="18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</row>
    <row r="2010" ht="14.25" customHeight="1">
      <c r="A2010" s="9"/>
      <c r="B2010" s="8"/>
      <c r="C2010" s="8"/>
      <c r="D2010" s="8"/>
      <c r="E2010" s="8"/>
      <c r="F2010" s="8"/>
      <c r="G2010" s="8"/>
      <c r="H2010" s="8"/>
      <c r="I2010" s="10"/>
      <c r="J2010" s="10"/>
      <c r="K2010" s="18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</row>
    <row r="2011" ht="14.25" customHeight="1">
      <c r="A2011" s="9"/>
      <c r="B2011" s="8"/>
      <c r="C2011" s="8"/>
      <c r="D2011" s="8"/>
      <c r="E2011" s="8"/>
      <c r="F2011" s="8"/>
      <c r="G2011" s="8"/>
      <c r="H2011" s="8"/>
      <c r="I2011" s="10"/>
      <c r="J2011" s="10"/>
      <c r="K2011" s="18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</row>
    <row r="2012" ht="14.25" customHeight="1">
      <c r="A2012" s="9"/>
      <c r="B2012" s="8"/>
      <c r="C2012" s="8"/>
      <c r="D2012" s="8"/>
      <c r="E2012" s="8"/>
      <c r="F2012" s="8"/>
      <c r="G2012" s="8"/>
      <c r="H2012" s="8"/>
      <c r="I2012" s="10"/>
      <c r="J2012" s="10"/>
      <c r="K2012" s="18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</row>
    <row r="2013" ht="14.25" customHeight="1">
      <c r="A2013" s="9"/>
      <c r="B2013" s="8"/>
      <c r="C2013" s="8"/>
      <c r="D2013" s="8"/>
      <c r="E2013" s="8"/>
      <c r="F2013" s="8"/>
      <c r="G2013" s="8"/>
      <c r="H2013" s="8"/>
      <c r="I2013" s="10"/>
      <c r="J2013" s="10"/>
      <c r="K2013" s="18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</row>
    <row r="2014" ht="14.25" customHeight="1">
      <c r="A2014" s="9"/>
      <c r="B2014" s="8"/>
      <c r="C2014" s="8"/>
      <c r="D2014" s="8"/>
      <c r="E2014" s="8"/>
      <c r="F2014" s="8"/>
      <c r="G2014" s="8"/>
      <c r="H2014" s="8"/>
      <c r="I2014" s="10"/>
      <c r="J2014" s="10"/>
      <c r="K2014" s="18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</row>
    <row r="2015" ht="14.25" customHeight="1">
      <c r="A2015" s="9"/>
      <c r="B2015" s="8"/>
      <c r="C2015" s="8"/>
      <c r="D2015" s="8"/>
      <c r="E2015" s="8"/>
      <c r="F2015" s="8"/>
      <c r="G2015" s="8"/>
      <c r="H2015" s="8"/>
      <c r="I2015" s="10"/>
      <c r="J2015" s="10"/>
      <c r="K2015" s="18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</row>
    <row r="2016" ht="14.25" customHeight="1">
      <c r="A2016" s="9"/>
      <c r="B2016" s="8"/>
      <c r="C2016" s="8"/>
      <c r="D2016" s="8"/>
      <c r="E2016" s="8"/>
      <c r="F2016" s="8"/>
      <c r="G2016" s="8"/>
      <c r="H2016" s="8"/>
      <c r="I2016" s="10"/>
      <c r="J2016" s="10"/>
      <c r="K2016" s="18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</row>
    <row r="2017" ht="14.25" customHeight="1">
      <c r="A2017" s="9"/>
      <c r="B2017" s="8"/>
      <c r="C2017" s="8"/>
      <c r="D2017" s="8"/>
      <c r="E2017" s="8"/>
      <c r="F2017" s="8"/>
      <c r="G2017" s="8"/>
      <c r="H2017" s="8"/>
      <c r="I2017" s="10"/>
      <c r="J2017" s="10"/>
      <c r="K2017" s="18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</row>
    <row r="2018" ht="14.25" customHeight="1">
      <c r="A2018" s="9"/>
      <c r="B2018" s="8"/>
      <c r="C2018" s="8"/>
      <c r="D2018" s="8"/>
      <c r="E2018" s="8"/>
      <c r="F2018" s="8"/>
      <c r="G2018" s="8"/>
      <c r="H2018" s="8"/>
      <c r="I2018" s="10"/>
      <c r="J2018" s="10"/>
      <c r="K2018" s="18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</row>
    <row r="2019" ht="14.25" customHeight="1">
      <c r="A2019" s="9"/>
      <c r="B2019" s="8"/>
      <c r="C2019" s="8"/>
      <c r="D2019" s="8"/>
      <c r="E2019" s="8"/>
      <c r="F2019" s="8"/>
      <c r="G2019" s="8"/>
      <c r="H2019" s="8"/>
      <c r="I2019" s="10"/>
      <c r="J2019" s="10"/>
      <c r="K2019" s="18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</row>
    <row r="2020" ht="14.25" customHeight="1">
      <c r="A2020" s="9"/>
      <c r="B2020" s="8"/>
      <c r="C2020" s="8"/>
      <c r="D2020" s="8"/>
      <c r="E2020" s="8"/>
      <c r="F2020" s="8"/>
      <c r="G2020" s="8"/>
      <c r="H2020" s="8"/>
      <c r="I2020" s="10"/>
      <c r="J2020" s="10"/>
      <c r="K2020" s="18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</row>
    <row r="2021" ht="14.25" customHeight="1">
      <c r="A2021" s="9"/>
      <c r="B2021" s="8"/>
      <c r="C2021" s="8"/>
      <c r="D2021" s="8"/>
      <c r="E2021" s="8"/>
      <c r="F2021" s="8"/>
      <c r="G2021" s="8"/>
      <c r="H2021" s="8"/>
      <c r="I2021" s="10"/>
      <c r="J2021" s="10"/>
      <c r="K2021" s="18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</row>
    <row r="2022" ht="14.25" customHeight="1">
      <c r="A2022" s="9"/>
      <c r="B2022" s="8"/>
      <c r="C2022" s="8"/>
      <c r="D2022" s="8"/>
      <c r="E2022" s="8"/>
      <c r="F2022" s="8"/>
      <c r="G2022" s="8"/>
      <c r="H2022" s="8"/>
      <c r="I2022" s="10"/>
      <c r="J2022" s="10"/>
      <c r="K2022" s="18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</row>
    <row r="2023" ht="14.25" customHeight="1">
      <c r="A2023" s="9"/>
      <c r="B2023" s="8"/>
      <c r="C2023" s="8"/>
      <c r="D2023" s="8"/>
      <c r="E2023" s="8"/>
      <c r="F2023" s="8"/>
      <c r="G2023" s="8"/>
      <c r="H2023" s="8"/>
      <c r="I2023" s="10"/>
      <c r="J2023" s="10"/>
      <c r="K2023" s="18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</row>
    <row r="2024" ht="14.25" customHeight="1">
      <c r="A2024" s="9"/>
      <c r="B2024" s="8"/>
      <c r="C2024" s="8"/>
      <c r="D2024" s="8"/>
      <c r="E2024" s="8"/>
      <c r="F2024" s="8"/>
      <c r="G2024" s="8"/>
      <c r="H2024" s="8"/>
      <c r="I2024" s="10"/>
      <c r="J2024" s="10"/>
      <c r="K2024" s="18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</row>
    <row r="2025" ht="14.25" customHeight="1">
      <c r="A2025" s="9"/>
      <c r="B2025" s="8"/>
      <c r="C2025" s="8"/>
      <c r="D2025" s="8"/>
      <c r="E2025" s="8"/>
      <c r="F2025" s="8"/>
      <c r="G2025" s="8"/>
      <c r="H2025" s="8"/>
      <c r="I2025" s="10"/>
      <c r="J2025" s="10"/>
      <c r="K2025" s="18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</row>
    <row r="2026" ht="14.25" customHeight="1">
      <c r="A2026" s="9"/>
      <c r="B2026" s="8"/>
      <c r="C2026" s="8"/>
      <c r="D2026" s="8"/>
      <c r="E2026" s="8"/>
      <c r="F2026" s="8"/>
      <c r="G2026" s="8"/>
      <c r="H2026" s="8"/>
      <c r="I2026" s="10"/>
      <c r="J2026" s="10"/>
      <c r="K2026" s="18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</row>
    <row r="2027" ht="14.25" customHeight="1">
      <c r="A2027" s="9"/>
      <c r="B2027" s="8"/>
      <c r="C2027" s="8"/>
      <c r="D2027" s="8"/>
      <c r="E2027" s="8"/>
      <c r="F2027" s="8"/>
      <c r="G2027" s="8"/>
      <c r="H2027" s="8"/>
      <c r="I2027" s="10"/>
      <c r="J2027" s="10"/>
      <c r="K2027" s="18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</row>
    <row r="2028" ht="14.25" customHeight="1">
      <c r="A2028" s="9"/>
      <c r="B2028" s="8"/>
      <c r="C2028" s="8"/>
      <c r="D2028" s="8"/>
      <c r="E2028" s="8"/>
      <c r="F2028" s="8"/>
      <c r="G2028" s="8"/>
      <c r="H2028" s="8"/>
      <c r="I2028" s="10"/>
      <c r="J2028" s="10"/>
      <c r="K2028" s="18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</row>
    <row r="2029" ht="14.25" customHeight="1">
      <c r="A2029" s="9"/>
      <c r="B2029" s="8"/>
      <c r="C2029" s="8"/>
      <c r="D2029" s="8"/>
      <c r="E2029" s="8"/>
      <c r="F2029" s="8"/>
      <c r="G2029" s="8"/>
      <c r="H2029" s="8"/>
      <c r="I2029" s="10"/>
      <c r="J2029" s="10"/>
      <c r="K2029" s="18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</row>
    <row r="2030" ht="14.25" customHeight="1">
      <c r="A2030" s="9"/>
      <c r="B2030" s="8"/>
      <c r="C2030" s="8"/>
      <c r="D2030" s="8"/>
      <c r="E2030" s="8"/>
      <c r="F2030" s="8"/>
      <c r="G2030" s="8"/>
      <c r="H2030" s="8"/>
      <c r="I2030" s="10"/>
      <c r="J2030" s="10"/>
      <c r="K2030" s="18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</row>
    <row r="2031" ht="14.25" customHeight="1">
      <c r="A2031" s="9"/>
      <c r="B2031" s="8"/>
      <c r="C2031" s="8"/>
      <c r="D2031" s="8"/>
      <c r="E2031" s="8"/>
      <c r="F2031" s="8"/>
      <c r="G2031" s="8"/>
      <c r="H2031" s="8"/>
      <c r="I2031" s="10"/>
      <c r="J2031" s="10"/>
      <c r="K2031" s="18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</row>
    <row r="2032" ht="14.25" customHeight="1">
      <c r="A2032" s="9"/>
      <c r="B2032" s="8"/>
      <c r="C2032" s="8"/>
      <c r="D2032" s="8"/>
      <c r="E2032" s="8"/>
      <c r="F2032" s="8"/>
      <c r="G2032" s="8"/>
      <c r="H2032" s="8"/>
      <c r="I2032" s="10"/>
      <c r="J2032" s="10"/>
      <c r="K2032" s="18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</row>
    <row r="2033" ht="14.25" customHeight="1">
      <c r="A2033" s="9"/>
      <c r="B2033" s="8"/>
      <c r="C2033" s="8"/>
      <c r="D2033" s="8"/>
      <c r="E2033" s="8"/>
      <c r="F2033" s="8"/>
      <c r="G2033" s="8"/>
      <c r="H2033" s="8"/>
      <c r="I2033" s="10"/>
      <c r="J2033" s="10"/>
      <c r="K2033" s="18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</row>
    <row r="2034" ht="14.25" customHeight="1">
      <c r="A2034" s="9"/>
      <c r="B2034" s="8"/>
      <c r="C2034" s="8"/>
      <c r="D2034" s="8"/>
      <c r="E2034" s="8"/>
      <c r="F2034" s="8"/>
      <c r="G2034" s="8"/>
      <c r="H2034" s="8"/>
      <c r="I2034" s="10"/>
      <c r="J2034" s="10"/>
      <c r="K2034" s="18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</row>
    <row r="2035" ht="14.25" customHeight="1">
      <c r="A2035" s="9"/>
      <c r="B2035" s="8"/>
      <c r="C2035" s="8"/>
      <c r="D2035" s="8"/>
      <c r="E2035" s="8"/>
      <c r="F2035" s="8"/>
      <c r="G2035" s="8"/>
      <c r="H2035" s="8"/>
      <c r="I2035" s="10"/>
      <c r="J2035" s="10"/>
      <c r="K2035" s="18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</row>
    <row r="2036" ht="14.25" customHeight="1">
      <c r="A2036" s="9"/>
      <c r="B2036" s="8"/>
      <c r="C2036" s="8"/>
      <c r="D2036" s="8"/>
      <c r="E2036" s="8"/>
      <c r="F2036" s="8"/>
      <c r="G2036" s="8"/>
      <c r="H2036" s="8"/>
      <c r="I2036" s="10"/>
      <c r="J2036" s="10"/>
      <c r="K2036" s="18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</row>
    <row r="2037" ht="14.25" customHeight="1">
      <c r="A2037" s="9"/>
      <c r="B2037" s="8"/>
      <c r="C2037" s="8"/>
      <c r="D2037" s="8"/>
      <c r="E2037" s="8"/>
      <c r="F2037" s="8"/>
      <c r="G2037" s="8"/>
      <c r="H2037" s="8"/>
      <c r="I2037" s="10"/>
      <c r="J2037" s="10"/>
      <c r="K2037" s="18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</row>
    <row r="2038" ht="14.25" customHeight="1">
      <c r="A2038" s="9"/>
      <c r="B2038" s="8"/>
      <c r="C2038" s="8"/>
      <c r="D2038" s="8"/>
      <c r="E2038" s="8"/>
      <c r="F2038" s="8"/>
      <c r="G2038" s="8"/>
      <c r="H2038" s="8"/>
      <c r="I2038" s="10"/>
      <c r="J2038" s="10"/>
      <c r="K2038" s="18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</row>
    <row r="2039" ht="14.25" customHeight="1">
      <c r="A2039" s="9"/>
      <c r="B2039" s="8"/>
      <c r="C2039" s="8"/>
      <c r="D2039" s="8"/>
      <c r="E2039" s="8"/>
      <c r="F2039" s="8"/>
      <c r="G2039" s="8"/>
      <c r="H2039" s="8"/>
      <c r="I2039" s="10"/>
      <c r="J2039" s="10"/>
      <c r="K2039" s="18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</row>
    <row r="2040" ht="14.25" customHeight="1">
      <c r="A2040" s="9"/>
      <c r="B2040" s="8"/>
      <c r="C2040" s="8"/>
      <c r="D2040" s="8"/>
      <c r="E2040" s="8"/>
      <c r="F2040" s="8"/>
      <c r="G2040" s="8"/>
      <c r="H2040" s="8"/>
      <c r="I2040" s="10"/>
      <c r="J2040" s="10"/>
      <c r="K2040" s="18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</row>
    <row r="2041" ht="14.25" customHeight="1">
      <c r="A2041" s="9"/>
      <c r="B2041" s="8"/>
      <c r="C2041" s="8"/>
      <c r="D2041" s="8"/>
      <c r="E2041" s="8"/>
      <c r="F2041" s="8"/>
      <c r="G2041" s="8"/>
      <c r="H2041" s="8"/>
      <c r="I2041" s="10"/>
      <c r="J2041" s="10"/>
      <c r="K2041" s="18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</row>
    <row r="2042" ht="14.25" customHeight="1">
      <c r="A2042" s="9"/>
      <c r="B2042" s="8"/>
      <c r="C2042" s="8"/>
      <c r="D2042" s="8"/>
      <c r="E2042" s="8"/>
      <c r="F2042" s="8"/>
      <c r="G2042" s="8"/>
      <c r="H2042" s="8"/>
      <c r="I2042" s="10"/>
      <c r="J2042" s="10"/>
      <c r="K2042" s="18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</row>
    <row r="2043" ht="14.25" customHeight="1">
      <c r="A2043" s="9"/>
      <c r="B2043" s="8"/>
      <c r="C2043" s="8"/>
      <c r="D2043" s="8"/>
      <c r="E2043" s="8"/>
      <c r="F2043" s="8"/>
      <c r="G2043" s="8"/>
      <c r="H2043" s="8"/>
      <c r="I2043" s="10"/>
      <c r="J2043" s="10"/>
      <c r="K2043" s="18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</row>
    <row r="2044" ht="14.25" customHeight="1">
      <c r="A2044" s="9"/>
      <c r="B2044" s="8"/>
      <c r="C2044" s="8"/>
      <c r="D2044" s="8"/>
      <c r="E2044" s="8"/>
      <c r="F2044" s="8"/>
      <c r="G2044" s="8"/>
      <c r="H2044" s="8"/>
      <c r="I2044" s="10"/>
      <c r="J2044" s="10"/>
      <c r="K2044" s="18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</row>
    <row r="2045" ht="14.25" customHeight="1">
      <c r="A2045" s="9"/>
      <c r="B2045" s="8"/>
      <c r="C2045" s="8"/>
      <c r="D2045" s="8"/>
      <c r="E2045" s="8"/>
      <c r="F2045" s="8"/>
      <c r="G2045" s="8"/>
      <c r="H2045" s="8"/>
      <c r="I2045" s="10"/>
      <c r="J2045" s="10"/>
      <c r="K2045" s="18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</row>
    <row r="2046" ht="14.25" customHeight="1">
      <c r="A2046" s="9"/>
      <c r="B2046" s="8"/>
      <c r="C2046" s="8"/>
      <c r="D2046" s="8"/>
      <c r="E2046" s="8"/>
      <c r="F2046" s="8"/>
      <c r="G2046" s="8"/>
      <c r="H2046" s="8"/>
      <c r="I2046" s="10"/>
      <c r="J2046" s="10"/>
      <c r="K2046" s="18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</row>
    <row r="2047" ht="14.25" customHeight="1">
      <c r="A2047" s="9"/>
      <c r="B2047" s="8"/>
      <c r="C2047" s="8"/>
      <c r="D2047" s="8"/>
      <c r="E2047" s="8"/>
      <c r="F2047" s="8"/>
      <c r="G2047" s="8"/>
      <c r="H2047" s="8"/>
      <c r="I2047" s="10"/>
      <c r="J2047" s="10"/>
      <c r="K2047" s="18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</row>
    <row r="2048" ht="14.25" customHeight="1">
      <c r="A2048" s="9"/>
      <c r="B2048" s="8"/>
      <c r="C2048" s="8"/>
      <c r="D2048" s="8"/>
      <c r="E2048" s="8"/>
      <c r="F2048" s="8"/>
      <c r="G2048" s="8"/>
      <c r="H2048" s="8"/>
      <c r="I2048" s="10"/>
      <c r="J2048" s="10"/>
      <c r="K2048" s="18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</row>
    <row r="2049" ht="14.25" customHeight="1">
      <c r="A2049" s="9"/>
      <c r="B2049" s="8"/>
      <c r="C2049" s="8"/>
      <c r="D2049" s="8"/>
      <c r="E2049" s="8"/>
      <c r="F2049" s="8"/>
      <c r="G2049" s="8"/>
      <c r="H2049" s="8"/>
      <c r="I2049" s="10"/>
      <c r="J2049" s="10"/>
      <c r="K2049" s="18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</row>
    <row r="2050" ht="14.25" customHeight="1">
      <c r="A2050" s="9"/>
      <c r="B2050" s="8"/>
      <c r="C2050" s="8"/>
      <c r="D2050" s="8"/>
      <c r="E2050" s="8"/>
      <c r="F2050" s="8"/>
      <c r="G2050" s="8"/>
      <c r="H2050" s="8"/>
      <c r="I2050" s="10"/>
      <c r="J2050" s="10"/>
      <c r="K2050" s="18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</row>
    <row r="2051" ht="14.25" customHeight="1">
      <c r="A2051" s="9"/>
      <c r="B2051" s="8"/>
      <c r="C2051" s="8"/>
      <c r="D2051" s="8"/>
      <c r="E2051" s="8"/>
      <c r="F2051" s="8"/>
      <c r="G2051" s="8"/>
      <c r="H2051" s="8"/>
      <c r="I2051" s="10"/>
      <c r="J2051" s="10"/>
      <c r="K2051" s="18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</row>
    <row r="2052" ht="14.25" customHeight="1">
      <c r="A2052" s="9"/>
      <c r="B2052" s="8"/>
      <c r="C2052" s="8"/>
      <c r="D2052" s="8"/>
      <c r="E2052" s="8"/>
      <c r="F2052" s="8"/>
      <c r="G2052" s="8"/>
      <c r="H2052" s="8"/>
      <c r="I2052" s="10"/>
      <c r="J2052" s="10"/>
      <c r="K2052" s="18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</row>
    <row r="2053" ht="14.25" customHeight="1">
      <c r="A2053" s="9"/>
      <c r="B2053" s="8"/>
      <c r="C2053" s="8"/>
      <c r="D2053" s="8"/>
      <c r="E2053" s="8"/>
      <c r="F2053" s="8"/>
      <c r="G2053" s="8"/>
      <c r="H2053" s="8"/>
      <c r="I2053" s="10"/>
      <c r="J2053" s="10"/>
      <c r="K2053" s="18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</row>
    <row r="2054" ht="14.25" customHeight="1">
      <c r="A2054" s="9"/>
      <c r="B2054" s="8"/>
      <c r="C2054" s="8"/>
      <c r="D2054" s="8"/>
      <c r="E2054" s="8"/>
      <c r="F2054" s="8"/>
      <c r="G2054" s="8"/>
      <c r="H2054" s="8"/>
      <c r="I2054" s="10"/>
      <c r="J2054" s="10"/>
      <c r="K2054" s="18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</row>
    <row r="2055" ht="14.25" customHeight="1">
      <c r="A2055" s="9"/>
      <c r="B2055" s="8"/>
      <c r="C2055" s="8"/>
      <c r="D2055" s="8"/>
      <c r="E2055" s="8"/>
      <c r="F2055" s="8"/>
      <c r="G2055" s="8"/>
      <c r="H2055" s="8"/>
      <c r="I2055" s="10"/>
      <c r="J2055" s="10"/>
      <c r="K2055" s="18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</row>
    <row r="2056" ht="14.25" customHeight="1">
      <c r="A2056" s="9"/>
      <c r="B2056" s="8"/>
      <c r="C2056" s="8"/>
      <c r="D2056" s="8"/>
      <c r="E2056" s="8"/>
      <c r="F2056" s="8"/>
      <c r="G2056" s="8"/>
      <c r="H2056" s="8"/>
      <c r="I2056" s="10"/>
      <c r="J2056" s="10"/>
      <c r="K2056" s="18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</row>
    <row r="2057" ht="14.25" customHeight="1">
      <c r="A2057" s="9"/>
      <c r="B2057" s="8"/>
      <c r="C2057" s="8"/>
      <c r="D2057" s="8"/>
      <c r="E2057" s="8"/>
      <c r="F2057" s="8"/>
      <c r="G2057" s="8"/>
      <c r="H2057" s="8"/>
      <c r="I2057" s="10"/>
      <c r="J2057" s="10"/>
      <c r="K2057" s="18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</row>
    <row r="2058" ht="14.25" customHeight="1">
      <c r="A2058" s="9"/>
      <c r="B2058" s="8"/>
      <c r="C2058" s="8"/>
      <c r="D2058" s="8"/>
      <c r="E2058" s="8"/>
      <c r="F2058" s="8"/>
      <c r="G2058" s="8"/>
      <c r="H2058" s="8"/>
      <c r="I2058" s="10"/>
      <c r="J2058" s="10"/>
      <c r="K2058" s="18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</row>
    <row r="2059" ht="14.25" customHeight="1">
      <c r="A2059" s="9"/>
      <c r="B2059" s="8"/>
      <c r="C2059" s="8"/>
      <c r="D2059" s="8"/>
      <c r="E2059" s="8"/>
      <c r="F2059" s="8"/>
      <c r="G2059" s="8"/>
      <c r="H2059" s="8"/>
      <c r="I2059" s="10"/>
      <c r="J2059" s="10"/>
      <c r="K2059" s="18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</row>
    <row r="2060" ht="14.25" customHeight="1">
      <c r="A2060" s="9"/>
      <c r="B2060" s="8"/>
      <c r="C2060" s="8"/>
      <c r="D2060" s="8"/>
      <c r="E2060" s="8"/>
      <c r="F2060" s="8"/>
      <c r="G2060" s="8"/>
      <c r="H2060" s="8"/>
      <c r="I2060" s="10"/>
      <c r="J2060" s="10"/>
      <c r="K2060" s="18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</row>
    <row r="2061" ht="14.25" customHeight="1">
      <c r="A2061" s="9"/>
      <c r="B2061" s="8"/>
      <c r="C2061" s="8"/>
      <c r="D2061" s="8"/>
      <c r="E2061" s="8"/>
      <c r="F2061" s="8"/>
      <c r="G2061" s="8"/>
      <c r="H2061" s="8"/>
      <c r="I2061" s="10"/>
      <c r="J2061" s="10"/>
      <c r="K2061" s="18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</row>
    <row r="2062" ht="14.25" customHeight="1">
      <c r="A2062" s="9"/>
      <c r="B2062" s="8"/>
      <c r="C2062" s="8"/>
      <c r="D2062" s="8"/>
      <c r="E2062" s="8"/>
      <c r="F2062" s="8"/>
      <c r="G2062" s="8"/>
      <c r="H2062" s="8"/>
      <c r="I2062" s="10"/>
      <c r="J2062" s="10"/>
      <c r="K2062" s="18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</row>
    <row r="2063" ht="14.25" customHeight="1">
      <c r="A2063" s="9"/>
      <c r="B2063" s="8"/>
      <c r="C2063" s="8"/>
      <c r="D2063" s="8"/>
      <c r="E2063" s="8"/>
      <c r="F2063" s="8"/>
      <c r="G2063" s="8"/>
      <c r="H2063" s="8"/>
      <c r="I2063" s="10"/>
      <c r="J2063" s="10"/>
      <c r="K2063" s="18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</row>
    <row r="2064" ht="14.25" customHeight="1">
      <c r="A2064" s="9"/>
      <c r="B2064" s="8"/>
      <c r="C2064" s="8"/>
      <c r="D2064" s="8"/>
      <c r="E2064" s="8"/>
      <c r="F2064" s="8"/>
      <c r="G2064" s="8"/>
      <c r="H2064" s="8"/>
      <c r="I2064" s="10"/>
      <c r="J2064" s="10"/>
      <c r="K2064" s="18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</row>
    <row r="2065" ht="14.25" customHeight="1">
      <c r="A2065" s="9"/>
      <c r="B2065" s="8"/>
      <c r="C2065" s="8"/>
      <c r="D2065" s="8"/>
      <c r="E2065" s="8"/>
      <c r="F2065" s="8"/>
      <c r="G2065" s="8"/>
      <c r="H2065" s="8"/>
      <c r="I2065" s="10"/>
      <c r="J2065" s="10"/>
      <c r="K2065" s="18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</row>
    <row r="2066" ht="14.25" customHeight="1">
      <c r="A2066" s="9"/>
      <c r="B2066" s="8"/>
      <c r="C2066" s="8"/>
      <c r="D2066" s="8"/>
      <c r="E2066" s="8"/>
      <c r="F2066" s="8"/>
      <c r="G2066" s="8"/>
      <c r="H2066" s="8"/>
      <c r="I2066" s="10"/>
      <c r="J2066" s="10"/>
      <c r="K2066" s="18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</row>
    <row r="2067" ht="14.25" customHeight="1">
      <c r="A2067" s="9"/>
      <c r="B2067" s="8"/>
      <c r="C2067" s="8"/>
      <c r="D2067" s="8"/>
      <c r="E2067" s="8"/>
      <c r="F2067" s="8"/>
      <c r="G2067" s="8"/>
      <c r="H2067" s="8"/>
      <c r="I2067" s="10"/>
      <c r="J2067" s="10"/>
      <c r="K2067" s="18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</row>
    <row r="2068" ht="14.25" customHeight="1">
      <c r="A2068" s="9"/>
      <c r="B2068" s="8"/>
      <c r="C2068" s="8"/>
      <c r="D2068" s="8"/>
      <c r="E2068" s="8"/>
      <c r="F2068" s="8"/>
      <c r="G2068" s="8"/>
      <c r="H2068" s="8"/>
      <c r="I2068" s="10"/>
      <c r="J2068" s="10"/>
      <c r="K2068" s="18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</row>
    <row r="2069" ht="14.25" customHeight="1">
      <c r="A2069" s="9"/>
      <c r="B2069" s="8"/>
      <c r="C2069" s="8"/>
      <c r="D2069" s="8"/>
      <c r="E2069" s="8"/>
      <c r="F2069" s="8"/>
      <c r="G2069" s="8"/>
      <c r="H2069" s="8"/>
      <c r="I2069" s="10"/>
      <c r="J2069" s="10"/>
      <c r="K2069" s="18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</row>
    <row r="2070" ht="14.25" customHeight="1">
      <c r="A2070" s="9"/>
      <c r="B2070" s="8"/>
      <c r="C2070" s="8"/>
      <c r="D2070" s="8"/>
      <c r="E2070" s="8"/>
      <c r="F2070" s="8"/>
      <c r="G2070" s="8"/>
      <c r="H2070" s="8"/>
      <c r="I2070" s="10"/>
      <c r="J2070" s="10"/>
      <c r="K2070" s="18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</row>
    <row r="2071" ht="14.25" customHeight="1">
      <c r="A2071" s="9"/>
      <c r="B2071" s="8"/>
      <c r="C2071" s="8"/>
      <c r="D2071" s="8"/>
      <c r="E2071" s="8"/>
      <c r="F2071" s="8"/>
      <c r="G2071" s="8"/>
      <c r="H2071" s="8"/>
      <c r="I2071" s="10"/>
      <c r="J2071" s="10"/>
      <c r="K2071" s="18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</row>
    <row r="2072" ht="14.25" customHeight="1">
      <c r="A2072" s="9"/>
      <c r="B2072" s="8"/>
      <c r="C2072" s="8"/>
      <c r="D2072" s="8"/>
      <c r="E2072" s="8"/>
      <c r="F2072" s="8"/>
      <c r="G2072" s="8"/>
      <c r="H2072" s="8"/>
      <c r="I2072" s="10"/>
      <c r="J2072" s="10"/>
      <c r="K2072" s="18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</row>
    <row r="2073" ht="14.25" customHeight="1">
      <c r="A2073" s="9"/>
      <c r="B2073" s="8"/>
      <c r="C2073" s="8"/>
      <c r="D2073" s="8"/>
      <c r="E2073" s="8"/>
      <c r="F2073" s="8"/>
      <c r="G2073" s="8"/>
      <c r="H2073" s="8"/>
      <c r="I2073" s="10"/>
      <c r="J2073" s="10"/>
      <c r="K2073" s="18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</row>
    <row r="2074" ht="14.25" customHeight="1">
      <c r="A2074" s="9"/>
      <c r="B2074" s="8"/>
      <c r="C2074" s="8"/>
      <c r="D2074" s="8"/>
      <c r="E2074" s="8"/>
      <c r="F2074" s="8"/>
      <c r="G2074" s="8"/>
      <c r="H2074" s="8"/>
      <c r="I2074" s="10"/>
      <c r="J2074" s="10"/>
      <c r="K2074" s="18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</row>
    <row r="2075" ht="14.25" customHeight="1">
      <c r="A2075" s="9"/>
      <c r="B2075" s="8"/>
      <c r="C2075" s="8"/>
      <c r="D2075" s="8"/>
      <c r="E2075" s="8"/>
      <c r="F2075" s="8"/>
      <c r="G2075" s="8"/>
      <c r="H2075" s="8"/>
      <c r="I2075" s="10"/>
      <c r="J2075" s="10"/>
      <c r="K2075" s="18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</row>
    <row r="2076" ht="14.25" customHeight="1">
      <c r="A2076" s="9"/>
      <c r="B2076" s="8"/>
      <c r="C2076" s="8"/>
      <c r="D2076" s="8"/>
      <c r="E2076" s="8"/>
      <c r="F2076" s="8"/>
      <c r="G2076" s="8"/>
      <c r="H2076" s="8"/>
      <c r="I2076" s="10"/>
      <c r="J2076" s="10"/>
      <c r="K2076" s="18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</row>
    <row r="2077" ht="14.25" customHeight="1">
      <c r="A2077" s="9"/>
      <c r="B2077" s="8"/>
      <c r="C2077" s="8"/>
      <c r="D2077" s="8"/>
      <c r="E2077" s="8"/>
      <c r="F2077" s="8"/>
      <c r="G2077" s="8"/>
      <c r="H2077" s="8"/>
      <c r="I2077" s="10"/>
      <c r="J2077" s="10"/>
      <c r="K2077" s="18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</row>
    <row r="2078" ht="14.25" customHeight="1">
      <c r="A2078" s="9"/>
      <c r="B2078" s="8"/>
      <c r="C2078" s="8"/>
      <c r="D2078" s="8"/>
      <c r="E2078" s="8"/>
      <c r="F2078" s="8"/>
      <c r="G2078" s="8"/>
      <c r="H2078" s="8"/>
      <c r="I2078" s="10"/>
      <c r="J2078" s="10"/>
      <c r="K2078" s="18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</row>
    <row r="2079" ht="14.25" customHeight="1">
      <c r="A2079" s="9"/>
      <c r="B2079" s="8"/>
      <c r="C2079" s="8"/>
      <c r="D2079" s="8"/>
      <c r="E2079" s="8"/>
      <c r="F2079" s="8"/>
      <c r="G2079" s="8"/>
      <c r="H2079" s="8"/>
      <c r="I2079" s="10"/>
      <c r="J2079" s="10"/>
      <c r="K2079" s="18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</row>
    <row r="2080" ht="14.25" customHeight="1">
      <c r="A2080" s="9"/>
      <c r="B2080" s="8"/>
      <c r="C2080" s="8"/>
      <c r="D2080" s="8"/>
      <c r="E2080" s="8"/>
      <c r="F2080" s="8"/>
      <c r="G2080" s="8"/>
      <c r="H2080" s="8"/>
      <c r="I2080" s="10"/>
      <c r="J2080" s="10"/>
      <c r="K2080" s="18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</row>
    <row r="2081" ht="14.25" customHeight="1">
      <c r="A2081" s="9"/>
      <c r="B2081" s="8"/>
      <c r="C2081" s="8"/>
      <c r="D2081" s="8"/>
      <c r="E2081" s="8"/>
      <c r="F2081" s="8"/>
      <c r="G2081" s="8"/>
      <c r="H2081" s="8"/>
      <c r="I2081" s="10"/>
      <c r="J2081" s="10"/>
      <c r="K2081" s="18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</row>
    <row r="2082" ht="14.25" customHeight="1">
      <c r="A2082" s="9"/>
      <c r="B2082" s="8"/>
      <c r="C2082" s="8"/>
      <c r="D2082" s="8"/>
      <c r="E2082" s="8"/>
      <c r="F2082" s="8"/>
      <c r="G2082" s="8"/>
      <c r="H2082" s="8"/>
      <c r="I2082" s="10"/>
      <c r="J2082" s="10"/>
      <c r="K2082" s="18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</row>
    <row r="2083" ht="14.25" customHeight="1">
      <c r="A2083" s="9"/>
      <c r="B2083" s="8"/>
      <c r="C2083" s="8"/>
      <c r="D2083" s="8"/>
      <c r="E2083" s="8"/>
      <c r="F2083" s="8"/>
      <c r="G2083" s="8"/>
      <c r="H2083" s="8"/>
      <c r="I2083" s="10"/>
      <c r="J2083" s="10"/>
      <c r="K2083" s="18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</row>
    <row r="2084" ht="14.25" customHeight="1">
      <c r="A2084" s="9"/>
      <c r="B2084" s="8"/>
      <c r="C2084" s="8"/>
      <c r="D2084" s="8"/>
      <c r="E2084" s="8"/>
      <c r="F2084" s="8"/>
      <c r="G2084" s="8"/>
      <c r="H2084" s="8"/>
      <c r="I2084" s="10"/>
      <c r="J2084" s="10"/>
      <c r="K2084" s="18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</row>
    <row r="2085" ht="14.25" customHeight="1">
      <c r="A2085" s="9"/>
      <c r="B2085" s="8"/>
      <c r="C2085" s="8"/>
      <c r="D2085" s="8"/>
      <c r="E2085" s="8"/>
      <c r="F2085" s="8"/>
      <c r="G2085" s="8"/>
      <c r="H2085" s="8"/>
      <c r="I2085" s="10"/>
      <c r="J2085" s="10"/>
      <c r="K2085" s="18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</row>
    <row r="2086" ht="14.25" customHeight="1">
      <c r="A2086" s="9"/>
      <c r="B2086" s="8"/>
      <c r="C2086" s="8"/>
      <c r="D2086" s="8"/>
      <c r="E2086" s="8"/>
      <c r="F2086" s="8"/>
      <c r="G2086" s="8"/>
      <c r="H2086" s="8"/>
      <c r="I2086" s="10"/>
      <c r="J2086" s="10"/>
      <c r="K2086" s="18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</row>
    <row r="2087" ht="14.25" customHeight="1">
      <c r="A2087" s="9"/>
      <c r="B2087" s="8"/>
      <c r="C2087" s="8"/>
      <c r="D2087" s="8"/>
      <c r="E2087" s="8"/>
      <c r="F2087" s="8"/>
      <c r="G2087" s="8"/>
      <c r="H2087" s="8"/>
      <c r="I2087" s="10"/>
      <c r="J2087" s="10"/>
      <c r="K2087" s="18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</row>
    <row r="2088" ht="14.25" customHeight="1">
      <c r="A2088" s="9"/>
      <c r="B2088" s="8"/>
      <c r="C2088" s="8"/>
      <c r="D2088" s="8"/>
      <c r="E2088" s="8"/>
      <c r="F2088" s="8"/>
      <c r="G2088" s="8"/>
      <c r="H2088" s="8"/>
      <c r="I2088" s="10"/>
      <c r="J2088" s="10"/>
      <c r="K2088" s="18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</row>
    <row r="2089" ht="14.25" customHeight="1">
      <c r="A2089" s="9"/>
      <c r="B2089" s="8"/>
      <c r="C2089" s="8"/>
      <c r="D2089" s="8"/>
      <c r="E2089" s="8"/>
      <c r="F2089" s="8"/>
      <c r="G2089" s="8"/>
      <c r="H2089" s="8"/>
      <c r="I2089" s="10"/>
      <c r="J2089" s="10"/>
      <c r="K2089" s="18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</row>
    <row r="2090" ht="14.25" customHeight="1">
      <c r="A2090" s="9"/>
      <c r="B2090" s="8"/>
      <c r="C2090" s="8"/>
      <c r="D2090" s="8"/>
      <c r="E2090" s="8"/>
      <c r="F2090" s="8"/>
      <c r="G2090" s="8"/>
      <c r="H2090" s="8"/>
      <c r="I2090" s="10"/>
      <c r="J2090" s="10"/>
      <c r="K2090" s="18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</row>
    <row r="2091" ht="14.25" customHeight="1">
      <c r="A2091" s="9"/>
      <c r="B2091" s="8"/>
      <c r="C2091" s="8"/>
      <c r="D2091" s="8"/>
      <c r="E2091" s="8"/>
      <c r="F2091" s="8"/>
      <c r="G2091" s="8"/>
      <c r="H2091" s="8"/>
      <c r="I2091" s="10"/>
      <c r="J2091" s="10"/>
      <c r="K2091" s="18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</row>
    <row r="2092" ht="14.25" customHeight="1">
      <c r="A2092" s="9"/>
      <c r="B2092" s="8"/>
      <c r="C2092" s="8"/>
      <c r="D2092" s="8"/>
      <c r="E2092" s="8"/>
      <c r="F2092" s="8"/>
      <c r="G2092" s="8"/>
      <c r="H2092" s="8"/>
      <c r="I2092" s="10"/>
      <c r="J2092" s="10"/>
      <c r="K2092" s="18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</row>
    <row r="2093" ht="14.25" customHeight="1">
      <c r="A2093" s="9"/>
      <c r="B2093" s="8"/>
      <c r="C2093" s="8"/>
      <c r="D2093" s="8"/>
      <c r="E2093" s="8"/>
      <c r="F2093" s="8"/>
      <c r="G2093" s="8"/>
      <c r="H2093" s="8"/>
      <c r="I2093" s="10"/>
      <c r="J2093" s="10"/>
      <c r="K2093" s="18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</row>
    <row r="2094" ht="14.25" customHeight="1">
      <c r="A2094" s="9"/>
      <c r="B2094" s="8"/>
      <c r="C2094" s="8"/>
      <c r="D2094" s="8"/>
      <c r="E2094" s="8"/>
      <c r="F2094" s="8"/>
      <c r="G2094" s="8"/>
      <c r="H2094" s="8"/>
      <c r="I2094" s="10"/>
      <c r="J2094" s="10"/>
      <c r="K2094" s="18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</row>
    <row r="2095" ht="14.25" customHeight="1">
      <c r="A2095" s="9"/>
      <c r="B2095" s="8"/>
      <c r="C2095" s="8"/>
      <c r="D2095" s="8"/>
      <c r="E2095" s="8"/>
      <c r="F2095" s="8"/>
      <c r="G2095" s="8"/>
      <c r="H2095" s="8"/>
      <c r="I2095" s="10"/>
      <c r="J2095" s="10"/>
      <c r="K2095" s="18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</row>
    <row r="2096" ht="14.25" customHeight="1">
      <c r="A2096" s="9"/>
      <c r="B2096" s="8"/>
      <c r="C2096" s="8"/>
      <c r="D2096" s="8"/>
      <c r="E2096" s="8"/>
      <c r="F2096" s="8"/>
      <c r="G2096" s="8"/>
      <c r="H2096" s="8"/>
      <c r="I2096" s="10"/>
      <c r="J2096" s="10"/>
      <c r="K2096" s="18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</row>
    <row r="2097" ht="14.25" customHeight="1">
      <c r="A2097" s="9"/>
      <c r="B2097" s="8"/>
      <c r="C2097" s="8"/>
      <c r="D2097" s="8"/>
      <c r="E2097" s="8"/>
      <c r="F2097" s="8"/>
      <c r="G2097" s="8"/>
      <c r="H2097" s="8"/>
      <c r="I2097" s="10"/>
      <c r="J2097" s="10"/>
      <c r="K2097" s="18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</row>
    <row r="2098" ht="14.25" customHeight="1">
      <c r="A2098" s="9"/>
      <c r="B2098" s="8"/>
      <c r="C2098" s="8"/>
      <c r="D2098" s="8"/>
      <c r="E2098" s="8"/>
      <c r="F2098" s="8"/>
      <c r="G2098" s="8"/>
      <c r="H2098" s="8"/>
      <c r="I2098" s="10"/>
      <c r="J2098" s="10"/>
      <c r="K2098" s="18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</row>
    <row r="2099" ht="14.25" customHeight="1">
      <c r="A2099" s="9"/>
      <c r="B2099" s="8"/>
      <c r="C2099" s="8"/>
      <c r="D2099" s="8"/>
      <c r="E2099" s="8"/>
      <c r="F2099" s="8"/>
      <c r="G2099" s="8"/>
      <c r="H2099" s="8"/>
      <c r="I2099" s="10"/>
      <c r="J2099" s="10"/>
      <c r="K2099" s="18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</row>
    <row r="2100" ht="14.25" customHeight="1">
      <c r="A2100" s="9"/>
      <c r="B2100" s="8"/>
      <c r="C2100" s="8"/>
      <c r="D2100" s="8"/>
      <c r="E2100" s="8"/>
      <c r="F2100" s="8"/>
      <c r="G2100" s="8"/>
      <c r="H2100" s="8"/>
      <c r="I2100" s="10"/>
      <c r="J2100" s="10"/>
      <c r="K2100" s="18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</row>
    <row r="2101" ht="14.25" customHeight="1">
      <c r="A2101" s="9"/>
      <c r="B2101" s="8"/>
      <c r="C2101" s="8"/>
      <c r="D2101" s="8"/>
      <c r="E2101" s="8"/>
      <c r="F2101" s="8"/>
      <c r="G2101" s="8"/>
      <c r="H2101" s="8"/>
      <c r="I2101" s="10"/>
      <c r="J2101" s="10"/>
      <c r="K2101" s="18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</row>
    <row r="2102" ht="14.25" customHeight="1">
      <c r="A2102" s="9"/>
      <c r="B2102" s="8"/>
      <c r="C2102" s="8"/>
      <c r="D2102" s="8"/>
      <c r="E2102" s="8"/>
      <c r="F2102" s="8"/>
      <c r="G2102" s="8"/>
      <c r="H2102" s="8"/>
      <c r="I2102" s="10"/>
      <c r="J2102" s="10"/>
      <c r="K2102" s="18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</row>
    <row r="2103" ht="14.25" customHeight="1">
      <c r="A2103" s="9"/>
      <c r="B2103" s="8"/>
      <c r="C2103" s="8"/>
      <c r="D2103" s="8"/>
      <c r="E2103" s="8"/>
      <c r="F2103" s="8"/>
      <c r="G2103" s="8"/>
      <c r="H2103" s="8"/>
      <c r="I2103" s="10"/>
      <c r="J2103" s="10"/>
      <c r="K2103" s="18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</row>
    <row r="2104" ht="14.25" customHeight="1">
      <c r="A2104" s="9"/>
      <c r="B2104" s="8"/>
      <c r="C2104" s="8"/>
      <c r="D2104" s="8"/>
      <c r="E2104" s="8"/>
      <c r="F2104" s="8"/>
      <c r="G2104" s="8"/>
      <c r="H2104" s="8"/>
      <c r="I2104" s="10"/>
      <c r="J2104" s="10"/>
      <c r="K2104" s="18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</row>
    <row r="2105" ht="14.25" customHeight="1">
      <c r="A2105" s="9"/>
      <c r="B2105" s="8"/>
      <c r="C2105" s="8"/>
      <c r="D2105" s="8"/>
      <c r="E2105" s="8"/>
      <c r="F2105" s="8"/>
      <c r="G2105" s="8"/>
      <c r="H2105" s="8"/>
      <c r="I2105" s="10"/>
      <c r="J2105" s="10"/>
      <c r="K2105" s="18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</row>
    <row r="2106" ht="14.25" customHeight="1">
      <c r="A2106" s="9"/>
      <c r="B2106" s="8"/>
      <c r="C2106" s="8"/>
      <c r="D2106" s="8"/>
      <c r="E2106" s="8"/>
      <c r="F2106" s="8"/>
      <c r="G2106" s="8"/>
      <c r="H2106" s="8"/>
      <c r="I2106" s="10"/>
      <c r="J2106" s="10"/>
      <c r="K2106" s="18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</row>
    <row r="2107" ht="14.25" customHeight="1">
      <c r="A2107" s="9"/>
      <c r="B2107" s="8"/>
      <c r="C2107" s="8"/>
      <c r="D2107" s="8"/>
      <c r="E2107" s="8"/>
      <c r="F2107" s="8"/>
      <c r="G2107" s="8"/>
      <c r="H2107" s="8"/>
      <c r="I2107" s="10"/>
      <c r="J2107" s="10"/>
      <c r="K2107" s="18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</row>
    <row r="2108" ht="14.25" customHeight="1">
      <c r="A2108" s="9"/>
      <c r="B2108" s="8"/>
      <c r="C2108" s="8"/>
      <c r="D2108" s="8"/>
      <c r="E2108" s="8"/>
      <c r="F2108" s="8"/>
      <c r="G2108" s="8"/>
      <c r="H2108" s="8"/>
      <c r="I2108" s="10"/>
      <c r="J2108" s="10"/>
      <c r="K2108" s="18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</row>
    <row r="2109" ht="14.25" customHeight="1">
      <c r="A2109" s="9"/>
      <c r="B2109" s="8"/>
      <c r="C2109" s="8"/>
      <c r="D2109" s="8"/>
      <c r="E2109" s="8"/>
      <c r="F2109" s="8"/>
      <c r="G2109" s="8"/>
      <c r="H2109" s="8"/>
      <c r="I2109" s="10"/>
      <c r="J2109" s="10"/>
      <c r="K2109" s="18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</row>
    <row r="2110" ht="14.25" customHeight="1">
      <c r="A2110" s="9"/>
      <c r="B2110" s="8"/>
      <c r="C2110" s="8"/>
      <c r="D2110" s="8"/>
      <c r="E2110" s="8"/>
      <c r="F2110" s="8"/>
      <c r="G2110" s="8"/>
      <c r="H2110" s="8"/>
      <c r="I2110" s="10"/>
      <c r="J2110" s="10"/>
      <c r="K2110" s="18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</row>
    <row r="2111" ht="14.25" customHeight="1">
      <c r="A2111" s="9"/>
      <c r="B2111" s="8"/>
      <c r="C2111" s="8"/>
      <c r="D2111" s="8"/>
      <c r="E2111" s="8"/>
      <c r="F2111" s="8"/>
      <c r="G2111" s="8"/>
      <c r="H2111" s="8"/>
      <c r="I2111" s="10"/>
      <c r="J2111" s="10"/>
      <c r="K2111" s="18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</row>
    <row r="2112" ht="14.25" customHeight="1">
      <c r="A2112" s="9"/>
      <c r="B2112" s="8"/>
      <c r="C2112" s="8"/>
      <c r="D2112" s="8"/>
      <c r="E2112" s="8"/>
      <c r="F2112" s="8"/>
      <c r="G2112" s="8"/>
      <c r="H2112" s="8"/>
      <c r="I2112" s="10"/>
      <c r="J2112" s="10"/>
      <c r="K2112" s="18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</row>
    <row r="2113" ht="14.25" customHeight="1">
      <c r="A2113" s="9"/>
      <c r="B2113" s="8"/>
      <c r="C2113" s="8"/>
      <c r="D2113" s="8"/>
      <c r="E2113" s="8"/>
      <c r="F2113" s="8"/>
      <c r="G2113" s="8"/>
      <c r="H2113" s="8"/>
      <c r="I2113" s="10"/>
      <c r="J2113" s="10"/>
      <c r="K2113" s="18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</row>
    <row r="2114" ht="14.25" customHeight="1">
      <c r="A2114" s="9"/>
      <c r="B2114" s="8"/>
      <c r="C2114" s="8"/>
      <c r="D2114" s="8"/>
      <c r="E2114" s="8"/>
      <c r="F2114" s="8"/>
      <c r="G2114" s="8"/>
      <c r="H2114" s="8"/>
      <c r="I2114" s="10"/>
      <c r="J2114" s="10"/>
      <c r="K2114" s="18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</row>
    <row r="2115" ht="14.25" customHeight="1">
      <c r="A2115" s="9"/>
      <c r="B2115" s="8"/>
      <c r="C2115" s="8"/>
      <c r="D2115" s="8"/>
      <c r="E2115" s="8"/>
      <c r="F2115" s="8"/>
      <c r="G2115" s="8"/>
      <c r="H2115" s="8"/>
      <c r="I2115" s="10"/>
      <c r="J2115" s="10"/>
      <c r="K2115" s="18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</row>
    <row r="2116" ht="14.25" customHeight="1">
      <c r="A2116" s="9"/>
      <c r="B2116" s="8"/>
      <c r="C2116" s="8"/>
      <c r="D2116" s="8"/>
      <c r="E2116" s="8"/>
      <c r="F2116" s="8"/>
      <c r="G2116" s="8"/>
      <c r="H2116" s="8"/>
      <c r="I2116" s="10"/>
      <c r="J2116" s="10"/>
      <c r="K2116" s="18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</row>
    <row r="2117" ht="14.25" customHeight="1">
      <c r="A2117" s="9"/>
      <c r="B2117" s="8"/>
      <c r="C2117" s="8"/>
      <c r="D2117" s="8"/>
      <c r="E2117" s="8"/>
      <c r="F2117" s="8"/>
      <c r="G2117" s="8"/>
      <c r="H2117" s="8"/>
      <c r="I2117" s="10"/>
      <c r="J2117" s="10"/>
      <c r="K2117" s="18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</row>
    <row r="2118" ht="14.25" customHeight="1">
      <c r="A2118" s="9"/>
      <c r="B2118" s="8"/>
      <c r="C2118" s="8"/>
      <c r="D2118" s="8"/>
      <c r="E2118" s="8"/>
      <c r="F2118" s="8"/>
      <c r="G2118" s="8"/>
      <c r="H2118" s="8"/>
      <c r="I2118" s="10"/>
      <c r="J2118" s="10"/>
      <c r="K2118" s="18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</row>
    <row r="2119" ht="14.25" customHeight="1">
      <c r="A2119" s="9"/>
      <c r="B2119" s="8"/>
      <c r="C2119" s="8"/>
      <c r="D2119" s="8"/>
      <c r="E2119" s="8"/>
      <c r="F2119" s="8"/>
      <c r="G2119" s="8"/>
      <c r="H2119" s="8"/>
      <c r="I2119" s="10"/>
      <c r="J2119" s="10"/>
      <c r="K2119" s="18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</row>
    <row r="2120" ht="14.25" customHeight="1">
      <c r="A2120" s="9"/>
      <c r="B2120" s="8"/>
      <c r="C2120" s="8"/>
      <c r="D2120" s="8"/>
      <c r="E2120" s="8"/>
      <c r="F2120" s="8"/>
      <c r="G2120" s="8"/>
      <c r="H2120" s="8"/>
      <c r="I2120" s="10"/>
      <c r="J2120" s="10"/>
      <c r="K2120" s="18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</row>
    <row r="2121" ht="14.25" customHeight="1">
      <c r="A2121" s="9"/>
      <c r="B2121" s="8"/>
      <c r="C2121" s="8"/>
      <c r="D2121" s="8"/>
      <c r="E2121" s="8"/>
      <c r="F2121" s="8"/>
      <c r="G2121" s="8"/>
      <c r="H2121" s="8"/>
      <c r="I2121" s="10"/>
      <c r="J2121" s="10"/>
      <c r="K2121" s="18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</row>
    <row r="2122" ht="14.25" customHeight="1">
      <c r="A2122" s="9"/>
      <c r="B2122" s="8"/>
      <c r="C2122" s="8"/>
      <c r="D2122" s="8"/>
      <c r="E2122" s="8"/>
      <c r="F2122" s="8"/>
      <c r="G2122" s="8"/>
      <c r="H2122" s="8"/>
      <c r="I2122" s="10"/>
      <c r="J2122" s="10"/>
      <c r="K2122" s="18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</row>
    <row r="2123" ht="14.25" customHeight="1">
      <c r="A2123" s="9"/>
      <c r="B2123" s="8"/>
      <c r="C2123" s="8"/>
      <c r="D2123" s="8"/>
      <c r="E2123" s="8"/>
      <c r="F2123" s="8"/>
      <c r="G2123" s="8"/>
      <c r="H2123" s="8"/>
      <c r="I2123" s="10"/>
      <c r="J2123" s="10"/>
      <c r="K2123" s="18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</row>
    <row r="2124" ht="14.25" customHeight="1">
      <c r="A2124" s="9"/>
      <c r="B2124" s="8"/>
      <c r="C2124" s="8"/>
      <c r="D2124" s="8"/>
      <c r="E2124" s="8"/>
      <c r="F2124" s="8"/>
      <c r="G2124" s="8"/>
      <c r="H2124" s="8"/>
      <c r="I2124" s="10"/>
      <c r="J2124" s="10"/>
      <c r="K2124" s="18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</row>
    <row r="2125" ht="14.25" customHeight="1">
      <c r="A2125" s="9"/>
      <c r="B2125" s="8"/>
      <c r="C2125" s="8"/>
      <c r="D2125" s="8"/>
      <c r="E2125" s="8"/>
      <c r="F2125" s="8"/>
      <c r="G2125" s="8"/>
      <c r="H2125" s="8"/>
      <c r="I2125" s="10"/>
      <c r="J2125" s="10"/>
      <c r="K2125" s="18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</row>
    <row r="2126" ht="14.25" customHeight="1">
      <c r="A2126" s="9"/>
      <c r="B2126" s="8"/>
      <c r="C2126" s="8"/>
      <c r="D2126" s="8"/>
      <c r="E2126" s="8"/>
      <c r="F2126" s="8"/>
      <c r="G2126" s="8"/>
      <c r="H2126" s="8"/>
      <c r="I2126" s="10"/>
      <c r="J2126" s="10"/>
      <c r="K2126" s="18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</row>
    <row r="2127" ht="14.25" customHeight="1">
      <c r="A2127" s="9"/>
      <c r="B2127" s="8"/>
      <c r="C2127" s="8"/>
      <c r="D2127" s="8"/>
      <c r="E2127" s="8"/>
      <c r="F2127" s="8"/>
      <c r="G2127" s="8"/>
      <c r="H2127" s="8"/>
      <c r="I2127" s="10"/>
      <c r="J2127" s="10"/>
      <c r="K2127" s="18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</row>
    <row r="2128" ht="14.25" customHeight="1">
      <c r="A2128" s="9"/>
      <c r="B2128" s="8"/>
      <c r="C2128" s="8"/>
      <c r="D2128" s="8"/>
      <c r="E2128" s="8"/>
      <c r="F2128" s="8"/>
      <c r="G2128" s="8"/>
      <c r="H2128" s="8"/>
      <c r="I2128" s="10"/>
      <c r="J2128" s="10"/>
      <c r="K2128" s="18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</row>
    <row r="2129" ht="14.25" customHeight="1">
      <c r="A2129" s="9"/>
      <c r="B2129" s="8"/>
      <c r="C2129" s="8"/>
      <c r="D2129" s="8"/>
      <c r="E2129" s="8"/>
      <c r="F2129" s="8"/>
      <c r="G2129" s="8"/>
      <c r="H2129" s="8"/>
      <c r="I2129" s="10"/>
      <c r="J2129" s="10"/>
      <c r="K2129" s="18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</row>
    <row r="2130" ht="14.25" customHeight="1">
      <c r="A2130" s="9"/>
      <c r="B2130" s="8"/>
      <c r="C2130" s="8"/>
      <c r="D2130" s="8"/>
      <c r="E2130" s="8"/>
      <c r="F2130" s="8"/>
      <c r="G2130" s="8"/>
      <c r="H2130" s="8"/>
      <c r="I2130" s="10"/>
      <c r="J2130" s="10"/>
      <c r="K2130" s="18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</row>
    <row r="2131" ht="14.25" customHeight="1">
      <c r="A2131" s="9"/>
      <c r="B2131" s="8"/>
      <c r="C2131" s="8"/>
      <c r="D2131" s="8"/>
      <c r="E2131" s="8"/>
      <c r="F2131" s="8"/>
      <c r="G2131" s="8"/>
      <c r="H2131" s="8"/>
      <c r="I2131" s="10"/>
      <c r="J2131" s="10"/>
      <c r="K2131" s="18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</row>
    <row r="2132" ht="14.25" customHeight="1">
      <c r="A2132" s="9"/>
      <c r="B2132" s="8"/>
      <c r="C2132" s="8"/>
      <c r="D2132" s="8"/>
      <c r="E2132" s="8"/>
      <c r="F2132" s="8"/>
      <c r="G2132" s="8"/>
      <c r="H2132" s="8"/>
      <c r="I2132" s="10"/>
      <c r="J2132" s="10"/>
      <c r="K2132" s="18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</row>
    <row r="2133" ht="14.25" customHeight="1">
      <c r="A2133" s="9"/>
      <c r="B2133" s="8"/>
      <c r="C2133" s="8"/>
      <c r="D2133" s="8"/>
      <c r="E2133" s="8"/>
      <c r="F2133" s="8"/>
      <c r="G2133" s="8"/>
      <c r="H2133" s="8"/>
      <c r="I2133" s="10"/>
      <c r="J2133" s="10"/>
      <c r="K2133" s="18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</row>
    <row r="2134" ht="14.25" customHeight="1">
      <c r="A2134" s="9"/>
      <c r="B2134" s="8"/>
      <c r="C2134" s="8"/>
      <c r="D2134" s="8"/>
      <c r="E2134" s="8"/>
      <c r="F2134" s="8"/>
      <c r="G2134" s="8"/>
      <c r="H2134" s="8"/>
      <c r="I2134" s="10"/>
      <c r="J2134" s="10"/>
      <c r="K2134" s="18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</row>
    <row r="2135" ht="14.25" customHeight="1">
      <c r="A2135" s="9"/>
      <c r="B2135" s="8"/>
      <c r="C2135" s="8"/>
      <c r="D2135" s="8"/>
      <c r="E2135" s="8"/>
      <c r="F2135" s="8"/>
      <c r="G2135" s="8"/>
      <c r="H2135" s="8"/>
      <c r="I2135" s="10"/>
      <c r="J2135" s="10"/>
      <c r="K2135" s="18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</row>
    <row r="2136" ht="14.25" customHeight="1">
      <c r="A2136" s="9"/>
      <c r="B2136" s="8"/>
      <c r="C2136" s="8"/>
      <c r="D2136" s="8"/>
      <c r="E2136" s="8"/>
      <c r="F2136" s="8"/>
      <c r="G2136" s="8"/>
      <c r="H2136" s="8"/>
      <c r="I2136" s="10"/>
      <c r="J2136" s="10"/>
      <c r="K2136" s="18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</row>
    <row r="2137" ht="14.25" customHeight="1">
      <c r="A2137" s="9"/>
      <c r="B2137" s="8"/>
      <c r="C2137" s="8"/>
      <c r="D2137" s="8"/>
      <c r="E2137" s="8"/>
      <c r="F2137" s="8"/>
      <c r="G2137" s="8"/>
      <c r="H2137" s="8"/>
      <c r="I2137" s="10"/>
      <c r="J2137" s="10"/>
      <c r="K2137" s="18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</row>
    <row r="2138" ht="14.25" customHeight="1">
      <c r="A2138" s="9"/>
      <c r="B2138" s="8"/>
      <c r="C2138" s="8"/>
      <c r="D2138" s="8"/>
      <c r="E2138" s="8"/>
      <c r="F2138" s="8"/>
      <c r="G2138" s="8"/>
      <c r="H2138" s="8"/>
      <c r="I2138" s="10"/>
      <c r="J2138" s="10"/>
      <c r="K2138" s="18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</row>
    <row r="2139" ht="14.25" customHeight="1">
      <c r="A2139" s="9"/>
      <c r="B2139" s="8"/>
      <c r="C2139" s="8"/>
      <c r="D2139" s="8"/>
      <c r="E2139" s="8"/>
      <c r="F2139" s="8"/>
      <c r="G2139" s="8"/>
      <c r="H2139" s="8"/>
      <c r="I2139" s="10"/>
      <c r="J2139" s="10"/>
      <c r="K2139" s="18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</row>
    <row r="2140" ht="14.25" customHeight="1">
      <c r="A2140" s="9"/>
      <c r="B2140" s="8"/>
      <c r="C2140" s="8"/>
      <c r="D2140" s="8"/>
      <c r="E2140" s="8"/>
      <c r="F2140" s="8"/>
      <c r="G2140" s="8"/>
      <c r="H2140" s="8"/>
      <c r="I2140" s="10"/>
      <c r="J2140" s="10"/>
      <c r="K2140" s="18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</row>
    <row r="2141" ht="14.25" customHeight="1">
      <c r="A2141" s="9"/>
      <c r="B2141" s="8"/>
      <c r="C2141" s="8"/>
      <c r="D2141" s="8"/>
      <c r="E2141" s="8"/>
      <c r="F2141" s="8"/>
      <c r="G2141" s="8"/>
      <c r="H2141" s="8"/>
      <c r="I2141" s="10"/>
      <c r="J2141" s="10"/>
      <c r="K2141" s="18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</row>
    <row r="2142" ht="14.25" customHeight="1">
      <c r="A2142" s="9"/>
      <c r="B2142" s="8"/>
      <c r="C2142" s="8"/>
      <c r="D2142" s="8"/>
      <c r="E2142" s="8"/>
      <c r="F2142" s="8"/>
      <c r="G2142" s="8"/>
      <c r="H2142" s="8"/>
      <c r="I2142" s="10"/>
      <c r="J2142" s="10"/>
      <c r="K2142" s="18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</row>
    <row r="2143" ht="14.25" customHeight="1">
      <c r="A2143" s="9"/>
      <c r="B2143" s="8"/>
      <c r="C2143" s="8"/>
      <c r="D2143" s="8"/>
      <c r="E2143" s="8"/>
      <c r="F2143" s="8"/>
      <c r="G2143" s="8"/>
      <c r="H2143" s="8"/>
      <c r="I2143" s="10"/>
      <c r="J2143" s="10"/>
      <c r="K2143" s="18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</row>
    <row r="2144" ht="14.25" customHeight="1">
      <c r="A2144" s="9"/>
      <c r="B2144" s="8"/>
      <c r="C2144" s="8"/>
      <c r="D2144" s="8"/>
      <c r="E2144" s="8"/>
      <c r="F2144" s="8"/>
      <c r="G2144" s="8"/>
      <c r="H2144" s="8"/>
      <c r="I2144" s="10"/>
      <c r="J2144" s="10"/>
      <c r="K2144" s="18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</row>
    <row r="2145" ht="14.25" customHeight="1">
      <c r="A2145" s="9"/>
      <c r="B2145" s="8"/>
      <c r="C2145" s="8"/>
      <c r="D2145" s="8"/>
      <c r="E2145" s="8"/>
      <c r="F2145" s="8"/>
      <c r="G2145" s="8"/>
      <c r="H2145" s="8"/>
      <c r="I2145" s="10"/>
      <c r="J2145" s="10"/>
      <c r="K2145" s="18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</row>
    <row r="2146" ht="14.25" customHeight="1">
      <c r="A2146" s="9"/>
      <c r="B2146" s="8"/>
      <c r="C2146" s="8"/>
      <c r="D2146" s="8"/>
      <c r="E2146" s="8"/>
      <c r="F2146" s="8"/>
      <c r="G2146" s="8"/>
      <c r="H2146" s="8"/>
      <c r="I2146" s="10"/>
      <c r="J2146" s="10"/>
      <c r="K2146" s="18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</row>
    <row r="2147" ht="14.25" customHeight="1">
      <c r="A2147" s="9"/>
      <c r="B2147" s="8"/>
      <c r="C2147" s="8"/>
      <c r="D2147" s="8"/>
      <c r="E2147" s="8"/>
      <c r="F2147" s="8"/>
      <c r="G2147" s="8"/>
      <c r="H2147" s="8"/>
      <c r="I2147" s="10"/>
      <c r="J2147" s="10"/>
      <c r="K2147" s="18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</row>
    <row r="2148" ht="14.25" customHeight="1">
      <c r="A2148" s="9"/>
      <c r="B2148" s="8"/>
      <c r="C2148" s="8"/>
      <c r="D2148" s="8"/>
      <c r="E2148" s="8"/>
      <c r="F2148" s="8"/>
      <c r="G2148" s="8"/>
      <c r="H2148" s="8"/>
      <c r="I2148" s="10"/>
      <c r="J2148" s="10"/>
      <c r="K2148" s="18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</row>
    <row r="2149" ht="14.25" customHeight="1">
      <c r="A2149" s="9"/>
      <c r="B2149" s="8"/>
      <c r="C2149" s="8"/>
      <c r="D2149" s="8"/>
      <c r="E2149" s="8"/>
      <c r="F2149" s="8"/>
      <c r="G2149" s="8"/>
      <c r="H2149" s="8"/>
      <c r="I2149" s="10"/>
      <c r="J2149" s="10"/>
      <c r="K2149" s="18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</row>
    <row r="2150" ht="14.25" customHeight="1">
      <c r="A2150" s="9"/>
      <c r="B2150" s="8"/>
      <c r="C2150" s="8"/>
      <c r="D2150" s="8"/>
      <c r="E2150" s="8"/>
      <c r="F2150" s="8"/>
      <c r="G2150" s="8"/>
      <c r="H2150" s="8"/>
      <c r="I2150" s="10"/>
      <c r="J2150" s="10"/>
      <c r="K2150" s="18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</row>
    <row r="2151" ht="14.25" customHeight="1">
      <c r="A2151" s="9"/>
      <c r="B2151" s="8"/>
      <c r="C2151" s="8"/>
      <c r="D2151" s="8"/>
      <c r="E2151" s="8"/>
      <c r="F2151" s="8"/>
      <c r="G2151" s="8"/>
      <c r="H2151" s="8"/>
      <c r="I2151" s="10"/>
      <c r="J2151" s="10"/>
      <c r="K2151" s="18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</row>
    <row r="2152" ht="14.25" customHeight="1">
      <c r="A2152" s="9"/>
      <c r="B2152" s="8"/>
      <c r="C2152" s="8"/>
      <c r="D2152" s="8"/>
      <c r="E2152" s="8"/>
      <c r="F2152" s="8"/>
      <c r="G2152" s="8"/>
      <c r="H2152" s="8"/>
      <c r="I2152" s="10"/>
      <c r="J2152" s="10"/>
      <c r="K2152" s="18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</row>
    <row r="2153" ht="14.25" customHeight="1">
      <c r="A2153" s="9"/>
      <c r="B2153" s="8"/>
      <c r="C2153" s="8"/>
      <c r="D2153" s="8"/>
      <c r="E2153" s="8"/>
      <c r="F2153" s="8"/>
      <c r="G2153" s="8"/>
      <c r="H2153" s="8"/>
      <c r="I2153" s="10"/>
      <c r="J2153" s="10"/>
      <c r="K2153" s="18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</row>
    <row r="2154" ht="14.25" customHeight="1">
      <c r="A2154" s="9"/>
      <c r="B2154" s="8"/>
      <c r="C2154" s="8"/>
      <c r="D2154" s="8"/>
      <c r="E2154" s="8"/>
      <c r="F2154" s="8"/>
      <c r="G2154" s="8"/>
      <c r="H2154" s="8"/>
      <c r="I2154" s="10"/>
      <c r="J2154" s="10"/>
      <c r="K2154" s="18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</row>
    <row r="2155" ht="14.25" customHeight="1">
      <c r="A2155" s="9"/>
      <c r="B2155" s="8"/>
      <c r="C2155" s="8"/>
      <c r="D2155" s="8"/>
      <c r="E2155" s="8"/>
      <c r="F2155" s="8"/>
      <c r="G2155" s="8"/>
      <c r="H2155" s="8"/>
      <c r="I2155" s="10"/>
      <c r="J2155" s="10"/>
      <c r="K2155" s="18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</row>
    <row r="2156" ht="14.25" customHeight="1">
      <c r="A2156" s="9"/>
      <c r="B2156" s="8"/>
      <c r="C2156" s="8"/>
      <c r="D2156" s="8"/>
      <c r="E2156" s="8"/>
      <c r="F2156" s="8"/>
      <c r="G2156" s="8"/>
      <c r="H2156" s="8"/>
      <c r="I2156" s="10"/>
      <c r="J2156" s="10"/>
      <c r="K2156" s="18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</row>
    <row r="2157" ht="14.25" customHeight="1">
      <c r="A2157" s="9"/>
      <c r="B2157" s="8"/>
      <c r="C2157" s="8"/>
      <c r="D2157" s="8"/>
      <c r="E2157" s="8"/>
      <c r="F2157" s="8"/>
      <c r="G2157" s="8"/>
      <c r="H2157" s="8"/>
      <c r="I2157" s="10"/>
      <c r="J2157" s="10"/>
      <c r="K2157" s="18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</row>
    <row r="2158" ht="14.25" customHeight="1">
      <c r="A2158" s="9"/>
      <c r="B2158" s="8"/>
      <c r="C2158" s="8"/>
      <c r="D2158" s="8"/>
      <c r="E2158" s="8"/>
      <c r="F2158" s="8"/>
      <c r="G2158" s="8"/>
      <c r="H2158" s="8"/>
      <c r="I2158" s="10"/>
      <c r="J2158" s="10"/>
      <c r="K2158" s="18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</row>
    <row r="2159" ht="14.25" customHeight="1">
      <c r="A2159" s="9"/>
      <c r="B2159" s="8"/>
      <c r="C2159" s="8"/>
      <c r="D2159" s="8"/>
      <c r="E2159" s="8"/>
      <c r="F2159" s="8"/>
      <c r="G2159" s="8"/>
      <c r="H2159" s="8"/>
      <c r="I2159" s="10"/>
      <c r="J2159" s="10"/>
      <c r="K2159" s="18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</row>
    <row r="2160" ht="14.25" customHeight="1">
      <c r="A2160" s="9"/>
      <c r="B2160" s="8"/>
      <c r="C2160" s="8"/>
      <c r="D2160" s="8"/>
      <c r="E2160" s="8"/>
      <c r="F2160" s="8"/>
      <c r="G2160" s="8"/>
      <c r="H2160" s="8"/>
      <c r="I2160" s="10"/>
      <c r="J2160" s="10"/>
      <c r="K2160" s="18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</row>
    <row r="2161" ht="14.25" customHeight="1">
      <c r="A2161" s="9"/>
      <c r="B2161" s="8"/>
      <c r="C2161" s="8"/>
      <c r="D2161" s="8"/>
      <c r="E2161" s="8"/>
      <c r="F2161" s="8"/>
      <c r="G2161" s="8"/>
      <c r="H2161" s="8"/>
      <c r="I2161" s="10"/>
      <c r="J2161" s="10"/>
      <c r="K2161" s="18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</row>
    <row r="2162" ht="14.25" customHeight="1">
      <c r="A2162" s="9"/>
      <c r="B2162" s="8"/>
      <c r="C2162" s="8"/>
      <c r="D2162" s="8"/>
      <c r="E2162" s="8"/>
      <c r="F2162" s="8"/>
      <c r="G2162" s="8"/>
      <c r="H2162" s="8"/>
      <c r="I2162" s="10"/>
      <c r="J2162" s="10"/>
      <c r="K2162" s="18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</row>
    <row r="2163" ht="14.25" customHeight="1">
      <c r="A2163" s="9"/>
      <c r="B2163" s="8"/>
      <c r="C2163" s="8"/>
      <c r="D2163" s="8"/>
      <c r="E2163" s="8"/>
      <c r="F2163" s="8"/>
      <c r="G2163" s="8"/>
      <c r="H2163" s="8"/>
      <c r="I2163" s="10"/>
      <c r="J2163" s="10"/>
      <c r="K2163" s="18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</row>
    <row r="2164" ht="14.25" customHeight="1">
      <c r="A2164" s="9"/>
      <c r="B2164" s="8"/>
      <c r="C2164" s="8"/>
      <c r="D2164" s="8"/>
      <c r="E2164" s="8"/>
      <c r="F2164" s="8"/>
      <c r="G2164" s="8"/>
      <c r="H2164" s="8"/>
      <c r="I2164" s="10"/>
      <c r="J2164" s="10"/>
      <c r="K2164" s="18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</row>
    <row r="2165" ht="14.25" customHeight="1">
      <c r="A2165" s="9"/>
      <c r="B2165" s="8"/>
      <c r="C2165" s="8"/>
      <c r="D2165" s="8"/>
      <c r="E2165" s="8"/>
      <c r="F2165" s="8"/>
      <c r="G2165" s="8"/>
      <c r="H2165" s="8"/>
      <c r="I2165" s="10"/>
      <c r="J2165" s="10"/>
      <c r="K2165" s="18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</row>
    <row r="2166" ht="14.25" customHeight="1">
      <c r="A2166" s="9"/>
      <c r="B2166" s="8"/>
      <c r="C2166" s="8"/>
      <c r="D2166" s="8"/>
      <c r="E2166" s="8"/>
      <c r="F2166" s="8"/>
      <c r="G2166" s="8"/>
      <c r="H2166" s="8"/>
      <c r="I2166" s="10"/>
      <c r="J2166" s="10"/>
      <c r="K2166" s="18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</row>
    <row r="2167" ht="14.25" customHeight="1">
      <c r="A2167" s="9"/>
      <c r="B2167" s="8"/>
      <c r="C2167" s="8"/>
      <c r="D2167" s="8"/>
      <c r="E2167" s="8"/>
      <c r="F2167" s="8"/>
      <c r="G2167" s="8"/>
      <c r="H2167" s="8"/>
      <c r="I2167" s="10"/>
      <c r="J2167" s="10"/>
      <c r="K2167" s="18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</row>
    <row r="2168" ht="14.25" customHeight="1">
      <c r="A2168" s="9"/>
      <c r="B2168" s="8"/>
      <c r="C2168" s="8"/>
      <c r="D2168" s="8"/>
      <c r="E2168" s="8"/>
      <c r="F2168" s="8"/>
      <c r="G2168" s="8"/>
      <c r="H2168" s="8"/>
      <c r="I2168" s="10"/>
      <c r="J2168" s="10"/>
      <c r="K2168" s="18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</row>
    <row r="2169" ht="14.25" customHeight="1">
      <c r="A2169" s="9"/>
      <c r="B2169" s="8"/>
      <c r="C2169" s="8"/>
      <c r="D2169" s="8"/>
      <c r="E2169" s="8"/>
      <c r="F2169" s="8"/>
      <c r="G2169" s="8"/>
      <c r="H2169" s="8"/>
      <c r="I2169" s="10"/>
      <c r="J2169" s="10"/>
      <c r="K2169" s="18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</row>
    <row r="2170" ht="14.25" customHeight="1">
      <c r="A2170" s="9"/>
      <c r="B2170" s="8"/>
      <c r="C2170" s="8"/>
      <c r="D2170" s="8"/>
      <c r="E2170" s="8"/>
      <c r="F2170" s="8"/>
      <c r="G2170" s="8"/>
      <c r="H2170" s="8"/>
      <c r="I2170" s="10"/>
      <c r="J2170" s="10"/>
      <c r="K2170" s="18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</row>
    <row r="2171" ht="14.25" customHeight="1">
      <c r="A2171" s="9"/>
      <c r="B2171" s="8"/>
      <c r="C2171" s="8"/>
      <c r="D2171" s="8"/>
      <c r="E2171" s="8"/>
      <c r="F2171" s="8"/>
      <c r="G2171" s="8"/>
      <c r="H2171" s="8"/>
      <c r="I2171" s="10"/>
      <c r="J2171" s="10"/>
      <c r="K2171" s="18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</row>
    <row r="2172" ht="14.25" customHeight="1">
      <c r="A2172" s="9"/>
      <c r="B2172" s="8"/>
      <c r="C2172" s="8"/>
      <c r="D2172" s="8"/>
      <c r="E2172" s="8"/>
      <c r="F2172" s="8"/>
      <c r="G2172" s="8"/>
      <c r="H2172" s="8"/>
      <c r="I2172" s="10"/>
      <c r="J2172" s="10"/>
      <c r="K2172" s="18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</row>
    <row r="2173" ht="14.25" customHeight="1">
      <c r="A2173" s="9"/>
      <c r="B2173" s="8"/>
      <c r="C2173" s="8"/>
      <c r="D2173" s="8"/>
      <c r="E2173" s="8"/>
      <c r="F2173" s="8"/>
      <c r="G2173" s="8"/>
      <c r="H2173" s="8"/>
      <c r="I2173" s="10"/>
      <c r="J2173" s="10"/>
      <c r="K2173" s="18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</row>
    <row r="2174" ht="14.25" customHeight="1">
      <c r="A2174" s="9"/>
      <c r="B2174" s="8"/>
      <c r="C2174" s="8"/>
      <c r="D2174" s="8"/>
      <c r="E2174" s="8"/>
      <c r="F2174" s="8"/>
      <c r="G2174" s="8"/>
      <c r="H2174" s="8"/>
      <c r="I2174" s="10"/>
      <c r="J2174" s="10"/>
      <c r="K2174" s="18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</row>
    <row r="2175" ht="14.25" customHeight="1">
      <c r="A2175" s="9"/>
      <c r="B2175" s="8"/>
      <c r="C2175" s="8"/>
      <c r="D2175" s="8"/>
      <c r="E2175" s="8"/>
      <c r="F2175" s="8"/>
      <c r="G2175" s="8"/>
      <c r="H2175" s="8"/>
      <c r="I2175" s="10"/>
      <c r="J2175" s="10"/>
      <c r="K2175" s="18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</row>
    <row r="2176" ht="14.25" customHeight="1">
      <c r="A2176" s="9"/>
      <c r="B2176" s="8"/>
      <c r="C2176" s="8"/>
      <c r="D2176" s="8"/>
      <c r="E2176" s="8"/>
      <c r="F2176" s="8"/>
      <c r="G2176" s="8"/>
      <c r="H2176" s="8"/>
      <c r="I2176" s="10"/>
      <c r="J2176" s="10"/>
      <c r="K2176" s="18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</row>
    <row r="2177" ht="14.25" customHeight="1">
      <c r="A2177" s="9"/>
      <c r="B2177" s="8"/>
      <c r="C2177" s="8"/>
      <c r="D2177" s="8"/>
      <c r="E2177" s="8"/>
      <c r="F2177" s="8"/>
      <c r="G2177" s="8"/>
      <c r="H2177" s="8"/>
      <c r="I2177" s="10"/>
      <c r="J2177" s="10"/>
      <c r="K2177" s="18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</row>
    <row r="2178" ht="14.25" customHeight="1">
      <c r="A2178" s="9"/>
      <c r="B2178" s="8"/>
      <c r="C2178" s="8"/>
      <c r="D2178" s="8"/>
      <c r="E2178" s="8"/>
      <c r="F2178" s="8"/>
      <c r="G2178" s="8"/>
      <c r="H2178" s="8"/>
      <c r="I2178" s="10"/>
      <c r="J2178" s="10"/>
      <c r="K2178" s="18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</row>
    <row r="2179" ht="14.25" customHeight="1">
      <c r="A2179" s="9"/>
      <c r="B2179" s="8"/>
      <c r="C2179" s="8"/>
      <c r="D2179" s="8"/>
      <c r="E2179" s="8"/>
      <c r="F2179" s="8"/>
      <c r="G2179" s="8"/>
      <c r="H2179" s="8"/>
      <c r="I2179" s="10"/>
      <c r="J2179" s="10"/>
      <c r="K2179" s="18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</row>
    <row r="2180" ht="14.25" customHeight="1">
      <c r="A2180" s="9"/>
      <c r="B2180" s="8"/>
      <c r="C2180" s="8"/>
      <c r="D2180" s="8"/>
      <c r="E2180" s="8"/>
      <c r="F2180" s="8"/>
      <c r="G2180" s="8"/>
      <c r="H2180" s="8"/>
      <c r="I2180" s="10"/>
      <c r="J2180" s="10"/>
      <c r="K2180" s="18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</row>
    <row r="2181" ht="14.25" customHeight="1">
      <c r="A2181" s="9"/>
      <c r="B2181" s="8"/>
      <c r="C2181" s="8"/>
      <c r="D2181" s="8"/>
      <c r="E2181" s="8"/>
      <c r="F2181" s="8"/>
      <c r="G2181" s="8"/>
      <c r="H2181" s="8"/>
      <c r="I2181" s="10"/>
      <c r="J2181" s="10"/>
      <c r="K2181" s="18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</row>
    <row r="2182" ht="14.25" customHeight="1">
      <c r="A2182" s="9"/>
      <c r="B2182" s="8"/>
      <c r="C2182" s="8"/>
      <c r="D2182" s="8"/>
      <c r="E2182" s="8"/>
      <c r="F2182" s="8"/>
      <c r="G2182" s="8"/>
      <c r="H2182" s="8"/>
      <c r="I2182" s="10"/>
      <c r="J2182" s="10"/>
      <c r="K2182" s="18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</row>
    <row r="2183" ht="14.25" customHeight="1">
      <c r="A2183" s="9"/>
      <c r="B2183" s="8"/>
      <c r="C2183" s="8"/>
      <c r="D2183" s="8"/>
      <c r="E2183" s="8"/>
      <c r="F2183" s="8"/>
      <c r="G2183" s="8"/>
      <c r="H2183" s="8"/>
      <c r="I2183" s="10"/>
      <c r="J2183" s="10"/>
      <c r="K2183" s="18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</row>
    <row r="2184" ht="14.25" customHeight="1">
      <c r="A2184" s="9"/>
      <c r="B2184" s="8"/>
      <c r="C2184" s="8"/>
      <c r="D2184" s="8"/>
      <c r="E2184" s="8"/>
      <c r="F2184" s="8"/>
      <c r="G2184" s="8"/>
      <c r="H2184" s="8"/>
      <c r="I2184" s="10"/>
      <c r="J2184" s="10"/>
      <c r="K2184" s="18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</row>
    <row r="2185" ht="14.25" customHeight="1">
      <c r="A2185" s="9"/>
      <c r="B2185" s="8"/>
      <c r="C2185" s="8"/>
      <c r="D2185" s="8"/>
      <c r="E2185" s="8"/>
      <c r="F2185" s="8"/>
      <c r="G2185" s="8"/>
      <c r="H2185" s="8"/>
      <c r="I2185" s="10"/>
      <c r="J2185" s="10"/>
      <c r="K2185" s="18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</row>
    <row r="2186" ht="14.25" customHeight="1">
      <c r="A2186" s="9"/>
      <c r="B2186" s="8"/>
      <c r="C2186" s="8"/>
      <c r="D2186" s="8"/>
      <c r="E2186" s="8"/>
      <c r="F2186" s="8"/>
      <c r="G2186" s="8"/>
      <c r="H2186" s="8"/>
      <c r="I2186" s="10"/>
      <c r="J2186" s="10"/>
      <c r="K2186" s="18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</row>
    <row r="2187" ht="14.25" customHeight="1">
      <c r="A2187" s="9"/>
      <c r="B2187" s="8"/>
      <c r="C2187" s="8"/>
      <c r="D2187" s="8"/>
      <c r="E2187" s="8"/>
      <c r="F2187" s="8"/>
      <c r="G2187" s="8"/>
      <c r="H2187" s="8"/>
      <c r="I2187" s="10"/>
      <c r="J2187" s="10"/>
      <c r="K2187" s="18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</row>
    <row r="2188" ht="14.25" customHeight="1">
      <c r="A2188" s="9"/>
      <c r="B2188" s="8"/>
      <c r="C2188" s="8"/>
      <c r="D2188" s="8"/>
      <c r="E2188" s="8"/>
      <c r="F2188" s="8"/>
      <c r="G2188" s="8"/>
      <c r="H2188" s="8"/>
      <c r="I2188" s="10"/>
      <c r="J2188" s="10"/>
      <c r="K2188" s="18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</row>
    <row r="2189" ht="14.25" customHeight="1">
      <c r="A2189" s="9"/>
      <c r="B2189" s="8"/>
      <c r="C2189" s="8"/>
      <c r="D2189" s="8"/>
      <c r="E2189" s="8"/>
      <c r="F2189" s="8"/>
      <c r="G2189" s="8"/>
      <c r="H2189" s="8"/>
      <c r="I2189" s="10"/>
      <c r="J2189" s="10"/>
      <c r="K2189" s="18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</row>
    <row r="2190" ht="14.25" customHeight="1">
      <c r="A2190" s="9"/>
      <c r="B2190" s="8"/>
      <c r="C2190" s="8"/>
      <c r="D2190" s="8"/>
      <c r="E2190" s="8"/>
      <c r="F2190" s="8"/>
      <c r="G2190" s="8"/>
      <c r="H2190" s="8"/>
      <c r="I2190" s="10"/>
      <c r="J2190" s="10"/>
      <c r="K2190" s="18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</row>
    <row r="2191" ht="14.25" customHeight="1">
      <c r="A2191" s="9"/>
      <c r="B2191" s="8"/>
      <c r="C2191" s="8"/>
      <c r="D2191" s="8"/>
      <c r="E2191" s="8"/>
      <c r="F2191" s="8"/>
      <c r="G2191" s="8"/>
      <c r="H2191" s="8"/>
      <c r="I2191" s="10"/>
      <c r="J2191" s="10"/>
      <c r="K2191" s="18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</row>
    <row r="2192" ht="14.25" customHeight="1">
      <c r="A2192" s="9"/>
      <c r="B2192" s="8"/>
      <c r="C2192" s="8"/>
      <c r="D2192" s="8"/>
      <c r="E2192" s="8"/>
      <c r="F2192" s="8"/>
      <c r="G2192" s="8"/>
      <c r="H2192" s="8"/>
      <c r="I2192" s="10"/>
      <c r="J2192" s="10"/>
      <c r="K2192" s="18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</row>
    <row r="2193" ht="14.25" customHeight="1">
      <c r="A2193" s="9"/>
      <c r="B2193" s="8"/>
      <c r="C2193" s="8"/>
      <c r="D2193" s="8"/>
      <c r="E2193" s="8"/>
      <c r="F2193" s="8"/>
      <c r="G2193" s="8"/>
      <c r="H2193" s="8"/>
      <c r="I2193" s="10"/>
      <c r="J2193" s="10"/>
      <c r="K2193" s="18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</row>
    <row r="2194" ht="14.25" customHeight="1">
      <c r="A2194" s="9"/>
      <c r="B2194" s="8"/>
      <c r="C2194" s="8"/>
      <c r="D2194" s="8"/>
      <c r="E2194" s="8"/>
      <c r="F2194" s="8"/>
      <c r="G2194" s="8"/>
      <c r="H2194" s="8"/>
      <c r="I2194" s="10"/>
      <c r="J2194" s="10"/>
      <c r="K2194" s="18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</row>
    <row r="2195" ht="14.25" customHeight="1">
      <c r="A2195" s="9"/>
      <c r="B2195" s="8"/>
      <c r="C2195" s="8"/>
      <c r="D2195" s="8"/>
      <c r="E2195" s="8"/>
      <c r="F2195" s="8"/>
      <c r="G2195" s="8"/>
      <c r="H2195" s="8"/>
      <c r="I2195" s="10"/>
      <c r="J2195" s="10"/>
      <c r="K2195" s="18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</row>
    <row r="2196" ht="14.25" customHeight="1">
      <c r="A2196" s="9"/>
      <c r="B2196" s="8"/>
      <c r="C2196" s="8"/>
      <c r="D2196" s="8"/>
      <c r="E2196" s="8"/>
      <c r="F2196" s="8"/>
      <c r="G2196" s="8"/>
      <c r="H2196" s="8"/>
      <c r="I2196" s="10"/>
      <c r="J2196" s="10"/>
      <c r="K2196" s="18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</row>
    <row r="2197" ht="14.25" customHeight="1">
      <c r="A2197" s="9"/>
      <c r="B2197" s="8"/>
      <c r="C2197" s="8"/>
      <c r="D2197" s="8"/>
      <c r="E2197" s="8"/>
      <c r="F2197" s="8"/>
      <c r="G2197" s="8"/>
      <c r="H2197" s="8"/>
      <c r="I2197" s="10"/>
      <c r="J2197" s="10"/>
      <c r="K2197" s="18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</row>
    <row r="2198" ht="14.25" customHeight="1">
      <c r="A2198" s="9"/>
      <c r="B2198" s="8"/>
      <c r="C2198" s="8"/>
      <c r="D2198" s="8"/>
      <c r="E2198" s="8"/>
      <c r="F2198" s="8"/>
      <c r="G2198" s="8"/>
      <c r="H2198" s="8"/>
      <c r="I2198" s="10"/>
      <c r="J2198" s="10"/>
      <c r="K2198" s="18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</row>
    <row r="2199" ht="14.25" customHeight="1">
      <c r="A2199" s="9"/>
      <c r="B2199" s="8"/>
      <c r="C2199" s="8"/>
      <c r="D2199" s="8"/>
      <c r="E2199" s="8"/>
      <c r="F2199" s="8"/>
      <c r="G2199" s="8"/>
      <c r="H2199" s="8"/>
      <c r="I2199" s="10"/>
      <c r="J2199" s="10"/>
      <c r="K2199" s="18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</row>
    <row r="2200" ht="14.25" customHeight="1">
      <c r="A2200" s="9"/>
      <c r="B2200" s="8"/>
      <c r="C2200" s="8"/>
      <c r="D2200" s="8"/>
      <c r="E2200" s="8"/>
      <c r="F2200" s="8"/>
      <c r="G2200" s="8"/>
      <c r="H2200" s="8"/>
      <c r="I2200" s="10"/>
      <c r="J2200" s="10"/>
      <c r="K2200" s="18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</row>
    <row r="2201" ht="14.25" customHeight="1">
      <c r="A2201" s="9"/>
      <c r="B2201" s="8"/>
      <c r="C2201" s="8"/>
      <c r="D2201" s="8"/>
      <c r="E2201" s="8"/>
      <c r="F2201" s="8"/>
      <c r="G2201" s="8"/>
      <c r="H2201" s="8"/>
      <c r="I2201" s="10"/>
      <c r="J2201" s="10"/>
      <c r="K2201" s="18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</row>
    <row r="2202" ht="14.25" customHeight="1">
      <c r="A2202" s="9"/>
      <c r="B2202" s="8"/>
      <c r="C2202" s="8"/>
      <c r="D2202" s="8"/>
      <c r="E2202" s="8"/>
      <c r="F2202" s="8"/>
      <c r="G2202" s="8"/>
      <c r="H2202" s="8"/>
      <c r="I2202" s="10"/>
      <c r="J2202" s="10"/>
      <c r="K2202" s="18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</row>
    <row r="2203" ht="14.25" customHeight="1">
      <c r="A2203" s="9"/>
      <c r="B2203" s="8"/>
      <c r="C2203" s="8"/>
      <c r="D2203" s="8"/>
      <c r="E2203" s="8"/>
      <c r="F2203" s="8"/>
      <c r="G2203" s="8"/>
      <c r="H2203" s="8"/>
      <c r="I2203" s="10"/>
      <c r="J2203" s="10"/>
      <c r="K2203" s="18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</row>
    <row r="2204" ht="14.25" customHeight="1">
      <c r="A2204" s="9"/>
      <c r="B2204" s="8"/>
      <c r="C2204" s="8"/>
      <c r="D2204" s="8"/>
      <c r="E2204" s="8"/>
      <c r="F2204" s="8"/>
      <c r="G2204" s="8"/>
      <c r="H2204" s="8"/>
      <c r="I2204" s="10"/>
      <c r="J2204" s="10"/>
      <c r="K2204" s="18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</row>
    <row r="2205" ht="14.25" customHeight="1">
      <c r="A2205" s="9"/>
      <c r="B2205" s="8"/>
      <c r="C2205" s="8"/>
      <c r="D2205" s="8"/>
      <c r="E2205" s="8"/>
      <c r="F2205" s="8"/>
      <c r="G2205" s="8"/>
      <c r="H2205" s="8"/>
      <c r="I2205" s="10"/>
      <c r="J2205" s="10"/>
      <c r="K2205" s="18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</row>
    <row r="2206" ht="14.25" customHeight="1">
      <c r="A2206" s="9"/>
      <c r="B2206" s="8"/>
      <c r="C2206" s="8"/>
      <c r="D2206" s="8"/>
      <c r="E2206" s="8"/>
      <c r="F2206" s="8"/>
      <c r="G2206" s="8"/>
      <c r="H2206" s="8"/>
      <c r="I2206" s="10"/>
      <c r="J2206" s="10"/>
      <c r="K2206" s="18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</row>
    <row r="2207" ht="14.25" customHeight="1">
      <c r="A2207" s="9"/>
      <c r="B2207" s="8"/>
      <c r="C2207" s="8"/>
      <c r="D2207" s="8"/>
      <c r="E2207" s="8"/>
      <c r="F2207" s="8"/>
      <c r="G2207" s="8"/>
      <c r="H2207" s="8"/>
      <c r="I2207" s="10"/>
      <c r="J2207" s="10"/>
      <c r="K2207" s="18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</row>
    <row r="2208" ht="14.25" customHeight="1">
      <c r="A2208" s="9"/>
      <c r="B2208" s="8"/>
      <c r="C2208" s="8"/>
      <c r="D2208" s="8"/>
      <c r="E2208" s="8"/>
      <c r="F2208" s="8"/>
      <c r="G2208" s="8"/>
      <c r="H2208" s="8"/>
      <c r="I2208" s="10"/>
      <c r="J2208" s="10"/>
      <c r="K2208" s="18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</row>
    <row r="2209" ht="14.25" customHeight="1">
      <c r="A2209" s="9"/>
      <c r="B2209" s="8"/>
      <c r="C2209" s="8"/>
      <c r="D2209" s="8"/>
      <c r="E2209" s="8"/>
      <c r="F2209" s="8"/>
      <c r="G2209" s="8"/>
      <c r="H2209" s="8"/>
      <c r="I2209" s="10"/>
      <c r="J2209" s="10"/>
      <c r="K2209" s="18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</row>
    <row r="2210" ht="14.25" customHeight="1">
      <c r="A2210" s="9"/>
      <c r="B2210" s="8"/>
      <c r="C2210" s="8"/>
      <c r="D2210" s="8"/>
      <c r="E2210" s="8"/>
      <c r="F2210" s="8"/>
      <c r="G2210" s="8"/>
      <c r="H2210" s="8"/>
      <c r="I2210" s="10"/>
      <c r="J2210" s="10"/>
      <c r="K2210" s="18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</row>
    <row r="2211" ht="14.25" customHeight="1">
      <c r="A2211" s="9"/>
      <c r="B2211" s="8"/>
      <c r="C2211" s="8"/>
      <c r="D2211" s="8"/>
      <c r="E2211" s="8"/>
      <c r="F2211" s="8"/>
      <c r="G2211" s="8"/>
      <c r="H2211" s="8"/>
      <c r="I2211" s="10"/>
      <c r="J2211" s="10"/>
      <c r="K2211" s="18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</row>
    <row r="2212" ht="14.25" customHeight="1">
      <c r="A2212" s="9"/>
      <c r="B2212" s="8"/>
      <c r="C2212" s="8"/>
      <c r="D2212" s="8"/>
      <c r="E2212" s="8"/>
      <c r="F2212" s="8"/>
      <c r="G2212" s="8"/>
      <c r="H2212" s="8"/>
      <c r="I2212" s="10"/>
      <c r="J2212" s="10"/>
      <c r="K2212" s="18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</row>
    <row r="2213" ht="14.25" customHeight="1">
      <c r="A2213" s="9"/>
      <c r="B2213" s="8"/>
      <c r="C2213" s="8"/>
      <c r="D2213" s="8"/>
      <c r="E2213" s="8"/>
      <c r="F2213" s="8"/>
      <c r="G2213" s="8"/>
      <c r="H2213" s="8"/>
      <c r="I2213" s="10"/>
      <c r="J2213" s="10"/>
      <c r="K2213" s="18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</row>
    <row r="2214" ht="14.25" customHeight="1">
      <c r="A2214" s="9"/>
      <c r="B2214" s="8"/>
      <c r="C2214" s="8"/>
      <c r="D2214" s="8"/>
      <c r="E2214" s="8"/>
      <c r="F2214" s="8"/>
      <c r="G2214" s="8"/>
      <c r="H2214" s="8"/>
      <c r="I2214" s="10"/>
      <c r="J2214" s="10"/>
      <c r="K2214" s="18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</row>
    <row r="2215" ht="14.25" customHeight="1">
      <c r="A2215" s="9"/>
      <c r="B2215" s="8"/>
      <c r="C2215" s="8"/>
      <c r="D2215" s="8"/>
      <c r="E2215" s="8"/>
      <c r="F2215" s="8"/>
      <c r="G2215" s="8"/>
      <c r="H2215" s="8"/>
      <c r="I2215" s="10"/>
      <c r="J2215" s="10"/>
      <c r="K2215" s="18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</row>
    <row r="2216" ht="14.25" customHeight="1">
      <c r="A2216" s="9"/>
      <c r="B2216" s="8"/>
      <c r="C2216" s="8"/>
      <c r="D2216" s="8"/>
      <c r="E2216" s="8"/>
      <c r="F2216" s="8"/>
      <c r="G2216" s="8"/>
      <c r="H2216" s="8"/>
      <c r="I2216" s="10"/>
      <c r="J2216" s="10"/>
      <c r="K2216" s="18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</row>
    <row r="2217" ht="14.25" customHeight="1">
      <c r="A2217" s="9"/>
      <c r="B2217" s="8"/>
      <c r="C2217" s="8"/>
      <c r="D2217" s="8"/>
      <c r="E2217" s="8"/>
      <c r="F2217" s="8"/>
      <c r="G2217" s="8"/>
      <c r="H2217" s="8"/>
      <c r="I2217" s="10"/>
      <c r="J2217" s="10"/>
      <c r="K2217" s="18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</row>
    <row r="2218" ht="14.25" customHeight="1">
      <c r="A2218" s="9"/>
      <c r="B2218" s="8"/>
      <c r="C2218" s="8"/>
      <c r="D2218" s="8"/>
      <c r="E2218" s="8"/>
      <c r="F2218" s="8"/>
      <c r="G2218" s="8"/>
      <c r="H2218" s="8"/>
      <c r="I2218" s="10"/>
      <c r="J2218" s="10"/>
      <c r="K2218" s="18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</row>
    <row r="2219" ht="14.25" customHeight="1">
      <c r="A2219" s="9"/>
      <c r="B2219" s="8"/>
      <c r="C2219" s="8"/>
      <c r="D2219" s="8"/>
      <c r="E2219" s="8"/>
      <c r="F2219" s="8"/>
      <c r="G2219" s="8"/>
      <c r="H2219" s="8"/>
      <c r="I2219" s="10"/>
      <c r="J2219" s="10"/>
      <c r="K2219" s="18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</row>
    <row r="2220" ht="14.25" customHeight="1">
      <c r="A2220" s="9"/>
      <c r="B2220" s="8"/>
      <c r="C2220" s="8"/>
      <c r="D2220" s="8"/>
      <c r="E2220" s="8"/>
      <c r="F2220" s="8"/>
      <c r="G2220" s="8"/>
      <c r="H2220" s="8"/>
      <c r="I2220" s="10"/>
      <c r="J2220" s="10"/>
      <c r="K2220" s="18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</row>
    <row r="2221" ht="14.25" customHeight="1">
      <c r="A2221" s="9"/>
      <c r="B2221" s="8"/>
      <c r="C2221" s="8"/>
      <c r="D2221" s="8"/>
      <c r="E2221" s="8"/>
      <c r="F2221" s="8"/>
      <c r="G2221" s="8"/>
      <c r="H2221" s="8"/>
      <c r="I2221" s="10"/>
      <c r="J2221" s="10"/>
      <c r="K2221" s="18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</row>
    <row r="2222" ht="14.25" customHeight="1">
      <c r="A2222" s="9"/>
      <c r="B2222" s="8"/>
      <c r="C2222" s="8"/>
      <c r="D2222" s="8"/>
      <c r="E2222" s="8"/>
      <c r="F2222" s="8"/>
      <c r="G2222" s="8"/>
      <c r="H2222" s="8"/>
      <c r="I2222" s="10"/>
      <c r="J2222" s="10"/>
      <c r="K2222" s="18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</row>
    <row r="2223" ht="14.25" customHeight="1">
      <c r="A2223" s="9"/>
      <c r="B2223" s="8"/>
      <c r="C2223" s="8"/>
      <c r="D2223" s="8"/>
      <c r="E2223" s="8"/>
      <c r="F2223" s="8"/>
      <c r="G2223" s="8"/>
      <c r="H2223" s="8"/>
      <c r="I2223" s="10"/>
      <c r="J2223" s="10"/>
      <c r="K2223" s="18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</row>
    <row r="2224" ht="14.25" customHeight="1">
      <c r="A2224" s="9"/>
      <c r="B2224" s="8"/>
      <c r="C2224" s="8"/>
      <c r="D2224" s="8"/>
      <c r="E2224" s="8"/>
      <c r="F2224" s="8"/>
      <c r="G2224" s="8"/>
      <c r="H2224" s="8"/>
      <c r="I2224" s="10"/>
      <c r="J2224" s="10"/>
      <c r="K2224" s="18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</row>
    <row r="2225" ht="14.25" customHeight="1">
      <c r="A2225" s="9"/>
      <c r="B2225" s="8"/>
      <c r="C2225" s="8"/>
      <c r="D2225" s="8"/>
      <c r="E2225" s="8"/>
      <c r="F2225" s="8"/>
      <c r="G2225" s="8"/>
      <c r="H2225" s="8"/>
      <c r="I2225" s="10"/>
      <c r="J2225" s="10"/>
      <c r="K2225" s="18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</row>
    <row r="2226" ht="14.25" customHeight="1">
      <c r="A2226" s="9"/>
      <c r="B2226" s="8"/>
      <c r="C2226" s="8"/>
      <c r="D2226" s="8"/>
      <c r="E2226" s="8"/>
      <c r="F2226" s="8"/>
      <c r="G2226" s="8"/>
      <c r="H2226" s="8"/>
      <c r="I2226" s="10"/>
      <c r="J2226" s="10"/>
      <c r="K2226" s="18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</row>
    <row r="2227" ht="14.25" customHeight="1">
      <c r="A2227" s="9"/>
      <c r="B2227" s="8"/>
      <c r="C2227" s="8"/>
      <c r="D2227" s="8"/>
      <c r="E2227" s="8"/>
      <c r="F2227" s="8"/>
      <c r="G2227" s="8"/>
      <c r="H2227" s="8"/>
      <c r="I2227" s="10"/>
      <c r="J2227" s="10"/>
      <c r="K2227" s="18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</row>
    <row r="2228" ht="14.25" customHeight="1">
      <c r="A2228" s="9"/>
      <c r="B2228" s="8"/>
      <c r="C2228" s="8"/>
      <c r="D2228" s="8"/>
      <c r="E2228" s="8"/>
      <c r="F2228" s="8"/>
      <c r="G2228" s="8"/>
      <c r="H2228" s="8"/>
      <c r="I2228" s="10"/>
      <c r="J2228" s="10"/>
      <c r="K2228" s="18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</row>
    <row r="2229" ht="14.25" customHeight="1">
      <c r="A2229" s="9"/>
      <c r="B2229" s="8"/>
      <c r="C2229" s="8"/>
      <c r="D2229" s="8"/>
      <c r="E2229" s="8"/>
      <c r="F2229" s="8"/>
      <c r="G2229" s="8"/>
      <c r="H2229" s="8"/>
      <c r="I2229" s="10"/>
      <c r="J2229" s="10"/>
      <c r="K2229" s="18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</row>
    <row r="2230" ht="14.25" customHeight="1">
      <c r="A2230" s="9"/>
      <c r="B2230" s="8"/>
      <c r="C2230" s="8"/>
      <c r="D2230" s="8"/>
      <c r="E2230" s="8"/>
      <c r="F2230" s="8"/>
      <c r="G2230" s="8"/>
      <c r="H2230" s="8"/>
      <c r="I2230" s="10"/>
      <c r="J2230" s="10"/>
      <c r="K2230" s="18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</row>
    <row r="2231" ht="14.25" customHeight="1">
      <c r="A2231" s="9"/>
      <c r="B2231" s="8"/>
      <c r="C2231" s="8"/>
      <c r="D2231" s="8"/>
      <c r="E2231" s="8"/>
      <c r="F2231" s="8"/>
      <c r="G2231" s="8"/>
      <c r="H2231" s="8"/>
      <c r="I2231" s="10"/>
      <c r="J2231" s="10"/>
      <c r="K2231" s="18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</row>
    <row r="2232" ht="14.25" customHeight="1">
      <c r="A2232" s="9"/>
      <c r="B2232" s="8"/>
      <c r="C2232" s="8"/>
      <c r="D2232" s="8"/>
      <c r="E2232" s="8"/>
      <c r="F2232" s="8"/>
      <c r="G2232" s="8"/>
      <c r="H2232" s="8"/>
      <c r="I2232" s="10"/>
      <c r="J2232" s="10"/>
      <c r="K2232" s="18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</row>
    <row r="2233" ht="14.25" customHeight="1">
      <c r="A2233" s="9"/>
      <c r="B2233" s="8"/>
      <c r="C2233" s="8"/>
      <c r="D2233" s="8"/>
      <c r="E2233" s="8"/>
      <c r="F2233" s="8"/>
      <c r="G2233" s="8"/>
      <c r="H2233" s="8"/>
      <c r="I2233" s="10"/>
      <c r="J2233" s="10"/>
      <c r="K2233" s="18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</row>
    <row r="2234" ht="14.25" customHeight="1">
      <c r="A2234" s="9"/>
      <c r="B2234" s="8"/>
      <c r="C2234" s="8"/>
      <c r="D2234" s="8"/>
      <c r="E2234" s="8"/>
      <c r="F2234" s="8"/>
      <c r="G2234" s="8"/>
      <c r="H2234" s="8"/>
      <c r="I2234" s="10"/>
      <c r="J2234" s="10"/>
      <c r="K2234" s="18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</row>
    <row r="2235" ht="14.25" customHeight="1">
      <c r="A2235" s="9"/>
      <c r="B2235" s="8"/>
      <c r="C2235" s="8"/>
      <c r="D2235" s="8"/>
      <c r="E2235" s="8"/>
      <c r="F2235" s="8"/>
      <c r="G2235" s="8"/>
      <c r="H2235" s="8"/>
      <c r="I2235" s="10"/>
      <c r="J2235" s="10"/>
      <c r="K2235" s="18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</row>
    <row r="2236" ht="14.25" customHeight="1">
      <c r="A2236" s="9"/>
      <c r="B2236" s="8"/>
      <c r="C2236" s="8"/>
      <c r="D2236" s="8"/>
      <c r="E2236" s="8"/>
      <c r="F2236" s="8"/>
      <c r="G2236" s="8"/>
      <c r="H2236" s="8"/>
      <c r="I2236" s="10"/>
      <c r="J2236" s="10"/>
      <c r="K2236" s="18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</row>
    <row r="2237" ht="14.25" customHeight="1">
      <c r="A2237" s="9"/>
      <c r="B2237" s="8"/>
      <c r="C2237" s="8"/>
      <c r="D2237" s="8"/>
      <c r="E2237" s="8"/>
      <c r="F2237" s="8"/>
      <c r="G2237" s="8"/>
      <c r="H2237" s="8"/>
      <c r="I2237" s="10"/>
      <c r="J2237" s="10"/>
      <c r="K2237" s="18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</row>
    <row r="2238" ht="14.25" customHeight="1">
      <c r="A2238" s="9"/>
      <c r="B2238" s="8"/>
      <c r="C2238" s="8"/>
      <c r="D2238" s="8"/>
      <c r="E2238" s="8"/>
      <c r="F2238" s="8"/>
      <c r="G2238" s="8"/>
      <c r="H2238" s="8"/>
      <c r="I2238" s="10"/>
      <c r="J2238" s="10"/>
      <c r="K2238" s="18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</row>
    <row r="2239" ht="14.25" customHeight="1">
      <c r="A2239" s="9"/>
      <c r="B2239" s="8"/>
      <c r="C2239" s="8"/>
      <c r="D2239" s="8"/>
      <c r="E2239" s="8"/>
      <c r="F2239" s="8"/>
      <c r="G2239" s="8"/>
      <c r="H2239" s="8"/>
      <c r="I2239" s="10"/>
      <c r="J2239" s="10"/>
      <c r="K2239" s="18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</row>
    <row r="2240" ht="14.25" customHeight="1">
      <c r="A2240" s="9"/>
      <c r="B2240" s="8"/>
      <c r="C2240" s="8"/>
      <c r="D2240" s="8"/>
      <c r="E2240" s="8"/>
      <c r="F2240" s="8"/>
      <c r="G2240" s="8"/>
      <c r="H2240" s="8"/>
      <c r="I2240" s="10"/>
      <c r="J2240" s="10"/>
      <c r="K2240" s="18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</row>
    <row r="2241" ht="14.25" customHeight="1">
      <c r="A2241" s="9"/>
      <c r="B2241" s="8"/>
      <c r="C2241" s="8"/>
      <c r="D2241" s="8"/>
      <c r="E2241" s="8"/>
      <c r="F2241" s="8"/>
      <c r="G2241" s="8"/>
      <c r="H2241" s="8"/>
      <c r="I2241" s="10"/>
      <c r="J2241" s="10"/>
      <c r="K2241" s="18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</row>
    <row r="2242" ht="14.25" customHeight="1">
      <c r="A2242" s="9"/>
      <c r="B2242" s="8"/>
      <c r="C2242" s="8"/>
      <c r="D2242" s="8"/>
      <c r="E2242" s="8"/>
      <c r="F2242" s="8"/>
      <c r="G2242" s="8"/>
      <c r="H2242" s="8"/>
      <c r="I2242" s="10"/>
      <c r="J2242" s="10"/>
      <c r="K2242" s="18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</row>
    <row r="2243" ht="14.25" customHeight="1">
      <c r="A2243" s="9"/>
      <c r="B2243" s="8"/>
      <c r="C2243" s="8"/>
      <c r="D2243" s="8"/>
      <c r="E2243" s="8"/>
      <c r="F2243" s="8"/>
      <c r="G2243" s="8"/>
      <c r="H2243" s="8"/>
      <c r="I2243" s="10"/>
      <c r="J2243" s="10"/>
      <c r="K2243" s="18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</row>
    <row r="2244" ht="14.25" customHeight="1">
      <c r="A2244" s="9"/>
      <c r="B2244" s="8"/>
      <c r="C2244" s="8"/>
      <c r="D2244" s="8"/>
      <c r="E2244" s="8"/>
      <c r="F2244" s="8"/>
      <c r="G2244" s="8"/>
      <c r="H2244" s="8"/>
      <c r="I2244" s="10"/>
      <c r="J2244" s="10"/>
      <c r="K2244" s="18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</row>
    <row r="2245" ht="14.25" customHeight="1">
      <c r="A2245" s="9"/>
      <c r="B2245" s="8"/>
      <c r="C2245" s="8"/>
      <c r="D2245" s="8"/>
      <c r="E2245" s="8"/>
      <c r="F2245" s="8"/>
      <c r="G2245" s="8"/>
      <c r="H2245" s="8"/>
      <c r="I2245" s="10"/>
      <c r="J2245" s="10"/>
      <c r="K2245" s="18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</row>
    <row r="2246" ht="14.25" customHeight="1">
      <c r="A2246" s="9"/>
      <c r="B2246" s="8"/>
      <c r="C2246" s="8"/>
      <c r="D2246" s="8"/>
      <c r="E2246" s="8"/>
      <c r="F2246" s="8"/>
      <c r="G2246" s="8"/>
      <c r="H2246" s="8"/>
      <c r="I2246" s="10"/>
      <c r="J2246" s="10"/>
      <c r="K2246" s="18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</row>
    <row r="2247" ht="14.25" customHeight="1">
      <c r="A2247" s="9"/>
      <c r="B2247" s="8"/>
      <c r="C2247" s="8"/>
      <c r="D2247" s="8"/>
      <c r="E2247" s="8"/>
      <c r="F2247" s="8"/>
      <c r="G2247" s="8"/>
      <c r="H2247" s="8"/>
      <c r="I2247" s="10"/>
      <c r="J2247" s="10"/>
      <c r="K2247" s="18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</row>
    <row r="2248" ht="14.25" customHeight="1">
      <c r="A2248" s="9"/>
      <c r="B2248" s="8"/>
      <c r="C2248" s="8"/>
      <c r="D2248" s="8"/>
      <c r="E2248" s="8"/>
      <c r="F2248" s="8"/>
      <c r="G2248" s="8"/>
      <c r="H2248" s="8"/>
      <c r="I2248" s="10"/>
      <c r="J2248" s="10"/>
      <c r="K2248" s="18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</row>
  </sheetData>
  <mergeCells count="1">
    <mergeCell ref="A1:J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3" width="21.57"/>
    <col customWidth="1" min="4" max="5" width="14.43"/>
    <col customWidth="1" min="6" max="6" width="35.86"/>
    <col customWidth="1" min="7" max="7" width="14.43"/>
    <col customWidth="1" min="8" max="8" width="25.86"/>
    <col customWidth="1" min="9" max="11" width="14.43"/>
    <col customWidth="1" min="12" max="26" width="8.71"/>
  </cols>
  <sheetData>
    <row r="1" ht="37.5" customHeight="1">
      <c r="A1" s="1" t="s">
        <v>3</v>
      </c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4" t="str">
        <f>IFERROR(__xludf.DUMMYFUNCTION("query('WOMENS A  AA'!A2:L1280,""select A, B, C, D, E, F, G, H, I, J, K WHERE L = 4 ORDER BY A ASC"",1)"),"LAST")</f>
        <v>LAST</v>
      </c>
      <c r="B2" s="5" t="str">
        <f>IFERROR(__xludf.DUMMYFUNCTION("""COMPUTED_VALUE"""),"FIRST")</f>
        <v>FIRST</v>
      </c>
      <c r="C2" s="5" t="str">
        <f>IFERROR(__xludf.DUMMYFUNCTION("""COMPUTED_VALUE"""),"CITY")</f>
        <v>CITY</v>
      </c>
      <c r="D2" s="5" t="str">
        <f>IFERROR(__xludf.DUMMYFUNCTION("""COMPUTED_VALUE"""),"STATE")</f>
        <v>STATE</v>
      </c>
      <c r="E2" s="5" t="str">
        <f>IFERROR(__xludf.DUMMYFUNCTION("""COMPUTED_VALUE"""),"COUNTRY")</f>
        <v>COUNTRY</v>
      </c>
      <c r="F2" s="5" t="str">
        <f>IFERROR(__xludf.DUMMYFUNCTION("""COMPUTED_VALUE"""),"EVENT")</f>
        <v>EVENT</v>
      </c>
      <c r="G2" s="5" t="str">
        <f>IFERROR(__xludf.DUMMYFUNCTION("""COMPUTED_VALUE"""),"PLACE")</f>
        <v>PLACE</v>
      </c>
      <c r="H2" s="5" t="str">
        <f>IFERROR(__xludf.DUMMYFUNCTION("""COMPUTED_VALUE"""),"LOCATION")</f>
        <v>LOCATION</v>
      </c>
      <c r="I2" s="5" t="str">
        <f>IFERROR(__xludf.DUMMYFUNCTION("""COMPUTED_VALUE"""),"ON LIST")</f>
        <v>ON LIST</v>
      </c>
      <c r="J2" s="5" t="str">
        <f>IFERROR(__xludf.DUMMYFUNCTION("""COMPUTED_VALUE"""),"OFF AA LIST")</f>
        <v>OFF AA LIST</v>
      </c>
      <c r="K2" s="5" t="str">
        <f>IFERROR(__xludf.DUMMYFUNCTION("""COMPUTED_VALUE"""),"OFF A LIST")</f>
        <v>OFF A LIST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7" t="str">
        <f>IFERROR(__xludf.DUMMYFUNCTION("""COMPUTED_VALUE"""),"Anderson")</f>
        <v>Anderson</v>
      </c>
      <c r="B3" s="8" t="str">
        <f>IFERROR(__xludf.DUMMYFUNCTION("""COMPUTED_VALUE"""),"Amanda")</f>
        <v>Amanda</v>
      </c>
      <c r="C3" s="8" t="str">
        <f>IFERROR(__xludf.DUMMYFUNCTION("""COMPUTED_VALUE"""),"Houlton")</f>
        <v>Houlton</v>
      </c>
      <c r="D3" s="8" t="str">
        <f>IFERROR(__xludf.DUMMYFUNCTION("""COMPUTED_VALUE"""),"WI")</f>
        <v>WI</v>
      </c>
      <c r="E3" s="8" t="str">
        <f>IFERROR(__xludf.DUMMYFUNCTION("""COMPUTED_VALUE"""),"USA")</f>
        <v>USA</v>
      </c>
      <c r="F3" s="8" t="str">
        <f>IFERROR(__xludf.DUMMYFUNCTION("""COMPUTED_VALUE"""),"Women A 501 Doubles")</f>
        <v>Women A 501 Doubles</v>
      </c>
      <c r="G3" s="8" t="str">
        <f>IFERROR(__xludf.DUMMYFUNCTION("""COMPUTED_VALUE"""),"1st")</f>
        <v>1st</v>
      </c>
      <c r="H3" s="8" t="str">
        <f>IFERROR(__xludf.DUMMYFUNCTION("""COMPUTED_VALUE"""),"BullShooter 34 Finals")</f>
        <v>BullShooter 34 Finals</v>
      </c>
      <c r="I3" s="10">
        <f>IFERROR(__xludf.DUMMYFUNCTION("""COMPUTED_VALUE"""),43617.0)</f>
        <v>43617</v>
      </c>
      <c r="J3" s="10">
        <f>IFERROR(__xludf.DUMMYFUNCTION("""COMPUTED_VALUE"""),44713.0)</f>
        <v>44713</v>
      </c>
      <c r="K3" s="15">
        <f>IFERROR(__xludf.DUMMYFUNCTION("""COMPUTED_VALUE"""),45809.0)</f>
        <v>45809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9" t="str">
        <f>IFERROR(__xludf.DUMMYFUNCTION("""COMPUTED_VALUE"""),"Arredondo")</f>
        <v>Arredondo</v>
      </c>
      <c r="B4" s="8" t="str">
        <f>IFERROR(__xludf.DUMMYFUNCTION("""COMPUTED_VALUE"""),"Missy")</f>
        <v>Missy</v>
      </c>
      <c r="C4" s="8" t="str">
        <f>IFERROR(__xludf.DUMMYFUNCTION("""COMPUTED_VALUE"""),"Whiting")</f>
        <v>Whiting</v>
      </c>
      <c r="D4" s="8" t="str">
        <f>IFERROR(__xludf.DUMMYFUNCTION("""COMPUTED_VALUE"""),"IN")</f>
        <v>IN</v>
      </c>
      <c r="E4" s="8" t="str">
        <f>IFERROR(__xludf.DUMMYFUNCTION("""COMPUTED_VALUE"""),"USA")</f>
        <v>USA</v>
      </c>
      <c r="F4" s="8" t="str">
        <f>IFERROR(__xludf.DUMMYFUNCTION("""COMPUTED_VALUE"""),"Womens A Doubles")</f>
        <v>Womens A Doubles</v>
      </c>
      <c r="G4" s="8" t="str">
        <f>IFERROR(__xludf.DUMMYFUNCTION("""COMPUTED_VALUE"""),"2nd")</f>
        <v>2nd</v>
      </c>
      <c r="H4" s="8" t="str">
        <f>IFERROR(__xludf.DUMMYFUNCTION("""COMPUTED_VALUE"""),"BullShooter 32")</f>
        <v>BullShooter 32</v>
      </c>
      <c r="I4" s="10">
        <f>IFERROR(__xludf.DUMMYFUNCTION("""COMPUTED_VALUE"""),42887.0)</f>
        <v>42887</v>
      </c>
      <c r="J4" s="10">
        <f>IFERROR(__xludf.DUMMYFUNCTION("""COMPUTED_VALUE"""),43983.0)</f>
        <v>43983</v>
      </c>
      <c r="K4" s="15">
        <f>IFERROR(__xludf.DUMMYFUNCTION("""COMPUTED_VALUE"""),45078.0)</f>
        <v>45078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12" t="str">
        <f>IFERROR(__xludf.DUMMYFUNCTION("""COMPUTED_VALUE"""),"Ayers")</f>
        <v>Ayers</v>
      </c>
      <c r="B5" s="13" t="str">
        <f>IFERROR(__xludf.DUMMYFUNCTION("""COMPUTED_VALUE"""),"Lisa")</f>
        <v>Lisa</v>
      </c>
      <c r="C5" s="13" t="str">
        <f>IFERROR(__xludf.DUMMYFUNCTION("""COMPUTED_VALUE"""),"")</f>
        <v/>
      </c>
      <c r="D5" s="13" t="str">
        <f>IFERROR(__xludf.DUMMYFUNCTION("""COMPUTED_VALUE"""),"UNK")</f>
        <v>UNK</v>
      </c>
      <c r="E5" s="13" t="str">
        <f>IFERROR(__xludf.DUMMYFUNCTION("""COMPUTED_VALUE"""),"UNK")</f>
        <v>UNK</v>
      </c>
      <c r="F5" s="13" t="str">
        <f>IFERROR(__xludf.DUMMYFUNCTION("""COMPUTED_VALUE"""),"ADO 2018")</f>
        <v>ADO 2018</v>
      </c>
      <c r="G5" s="13" t="str">
        <f>IFERROR(__xludf.DUMMYFUNCTION("""COMPUTED_VALUE"""),"2nd")</f>
        <v>2nd</v>
      </c>
      <c r="H5" s="13" t="str">
        <f>IFERROR(__xludf.DUMMYFUNCTION("""COMPUTED_VALUE"""),"ADO 2018")</f>
        <v>ADO 2018</v>
      </c>
      <c r="I5" s="14">
        <f>IFERROR(__xludf.DUMMYFUNCTION("""COMPUTED_VALUE"""),43132.0)</f>
        <v>43132</v>
      </c>
      <c r="J5" s="14">
        <f>IFERROR(__xludf.DUMMYFUNCTION("""COMPUTED_VALUE"""),44348.0)</f>
        <v>44348</v>
      </c>
      <c r="K5" s="15">
        <f>IFERROR(__xludf.DUMMYFUNCTION("""COMPUTED_VALUE"""),45444.0)</f>
        <v>45444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9" t="str">
        <f>IFERROR(__xludf.DUMMYFUNCTION("""COMPUTED_VALUE"""),"Bdydaiseggen")</f>
        <v>Bdydaiseggen</v>
      </c>
      <c r="B6" s="8" t="str">
        <f>IFERROR(__xludf.DUMMYFUNCTION("""COMPUTED_VALUE"""),"Irene")</f>
        <v>Irene</v>
      </c>
      <c r="C6" s="8" t="str">
        <f>IFERROR(__xludf.DUMMYFUNCTION("""COMPUTED_VALUE"""),"")</f>
        <v/>
      </c>
      <c r="D6" s="8" t="str">
        <f>IFERROR(__xludf.DUMMYFUNCTION("""COMPUTED_VALUE"""),"UNK")</f>
        <v>UNK</v>
      </c>
      <c r="E6" s="8" t="str">
        <f>IFERROR(__xludf.DUMMYFUNCTION("""COMPUTED_VALUE"""),"Norway")</f>
        <v>Norway</v>
      </c>
      <c r="F6" s="8" t="str">
        <f>IFERROR(__xludf.DUMMYFUNCTION("""COMPUTED_VALUE"""),"Womens A Cricket Sgle")</f>
        <v>Womens A Cricket Sgle</v>
      </c>
      <c r="G6" s="8" t="str">
        <f>IFERROR(__xludf.DUMMYFUNCTION("""COMPUTED_VALUE"""),"3rd")</f>
        <v>3rd</v>
      </c>
      <c r="H6" s="8" t="str">
        <f>IFERROR(__xludf.DUMMYFUNCTION("""COMPUTED_VALUE"""),"Euro Bullshooter XXV")</f>
        <v>Euro Bullshooter XXV</v>
      </c>
      <c r="I6" s="10">
        <f>IFERROR(__xludf.DUMMYFUNCTION("""COMPUTED_VALUE"""),42828.0)</f>
        <v>42828</v>
      </c>
      <c r="J6" s="10">
        <f>IFERROR(__xludf.DUMMYFUNCTION("""COMPUTED_VALUE"""),43983.0)</f>
        <v>43983</v>
      </c>
      <c r="K6" s="15">
        <f>IFERROR(__xludf.DUMMYFUNCTION("""COMPUTED_VALUE"""),45078.0)</f>
        <v>45078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A7" s="9" t="str">
        <f>IFERROR(__xludf.DUMMYFUNCTION("""COMPUTED_VALUE"""),"Bellay-Rouselle")</f>
        <v>Bellay-Rouselle</v>
      </c>
      <c r="B7" s="8" t="str">
        <f>IFERROR(__xludf.DUMMYFUNCTION("""COMPUTED_VALUE"""),"Kim")</f>
        <v>Kim</v>
      </c>
      <c r="C7" s="8" t="str">
        <f>IFERROR(__xludf.DUMMYFUNCTION("""COMPUTED_VALUE"""),"")</f>
        <v/>
      </c>
      <c r="D7" s="8" t="str">
        <f>IFERROR(__xludf.DUMMYFUNCTION("""COMPUTED_VALUE"""),"UNK")</f>
        <v>UNK</v>
      </c>
      <c r="E7" s="8" t="str">
        <f>IFERROR(__xludf.DUMMYFUNCTION("""COMPUTED_VALUE"""),"CAN")</f>
        <v>CAN</v>
      </c>
      <c r="F7" s="8" t="str">
        <f>IFERROR(__xludf.DUMMYFUNCTION("""COMPUTED_VALUE"""),"NAPDA 2018")</f>
        <v>NAPDA 2018</v>
      </c>
      <c r="G7" s="8" t="str">
        <f>IFERROR(__xludf.DUMMYFUNCTION("""COMPUTED_VALUE"""),"17TH")</f>
        <v>17TH</v>
      </c>
      <c r="H7" s="8" t="str">
        <f>IFERROR(__xludf.DUMMYFUNCTION("""COMPUTED_VALUE"""),"NAPDA 2018")</f>
        <v>NAPDA 2018</v>
      </c>
      <c r="I7" s="10">
        <f>IFERROR(__xludf.DUMMYFUNCTION("""COMPUTED_VALUE"""),42767.0)</f>
        <v>42767</v>
      </c>
      <c r="J7" s="10">
        <f>IFERROR(__xludf.DUMMYFUNCTION("""COMPUTED_VALUE"""),44348.0)</f>
        <v>44348</v>
      </c>
      <c r="K7" s="15">
        <f>IFERROR(__xludf.DUMMYFUNCTION("""COMPUTED_VALUE"""),45444.0)</f>
        <v>45444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9" t="str">
        <f>IFERROR(__xludf.DUMMYFUNCTION("""COMPUTED_VALUE"""),"Boutilier")</f>
        <v>Boutilier</v>
      </c>
      <c r="B8" s="8" t="str">
        <f>IFERROR(__xludf.DUMMYFUNCTION("""COMPUTED_VALUE"""),"Karrah")</f>
        <v>Karrah</v>
      </c>
      <c r="C8" s="8" t="str">
        <f>IFERROR(__xludf.DUMMYFUNCTION("""COMPUTED_VALUE"""),"")</f>
        <v/>
      </c>
      <c r="D8" s="8" t="str">
        <f>IFERROR(__xludf.DUMMYFUNCTION("""COMPUTED_VALUE"""),"UNK")</f>
        <v>UNK</v>
      </c>
      <c r="E8" s="8" t="str">
        <f>IFERROR(__xludf.DUMMYFUNCTION("""COMPUTED_VALUE"""),"CAN")</f>
        <v>CAN</v>
      </c>
      <c r="F8" s="8" t="str">
        <f>IFERROR(__xludf.DUMMYFUNCTION("""COMPUTED_VALUE"""),"NAPDA 2018")</f>
        <v>NAPDA 2018</v>
      </c>
      <c r="G8" s="8" t="str">
        <f>IFERROR(__xludf.DUMMYFUNCTION("""COMPUTED_VALUE"""),"11th")</f>
        <v>11th</v>
      </c>
      <c r="H8" s="8" t="str">
        <f>IFERROR(__xludf.DUMMYFUNCTION("""COMPUTED_VALUE"""),"NAPDA 2018")</f>
        <v>NAPDA 2018</v>
      </c>
      <c r="I8" s="10">
        <f>IFERROR(__xludf.DUMMYFUNCTION("""COMPUTED_VALUE"""),43132.0)</f>
        <v>43132</v>
      </c>
      <c r="J8" s="10">
        <f>IFERROR(__xludf.DUMMYFUNCTION("""COMPUTED_VALUE"""),44348.0)</f>
        <v>44348</v>
      </c>
      <c r="K8" s="15">
        <f>IFERROR(__xludf.DUMMYFUNCTION("""COMPUTED_VALUE"""),45444.0)</f>
        <v>45444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4.25" customHeight="1">
      <c r="A9" s="9" t="str">
        <f>IFERROR(__xludf.DUMMYFUNCTION("""COMPUTED_VALUE"""),"Boyke")</f>
        <v>Boyke</v>
      </c>
      <c r="B9" s="8" t="str">
        <f>IFERROR(__xludf.DUMMYFUNCTION("""COMPUTED_VALUE"""),"Justine")</f>
        <v>Justine</v>
      </c>
      <c r="C9" s="8" t="str">
        <f>IFERROR(__xludf.DUMMYFUNCTION("""COMPUTED_VALUE"""),"Pingree Grove")</f>
        <v>Pingree Grove</v>
      </c>
      <c r="D9" s="8" t="str">
        <f>IFERROR(__xludf.DUMMYFUNCTION("""COMPUTED_VALUE"""),"IL")</f>
        <v>IL</v>
      </c>
      <c r="E9" s="8" t="str">
        <f>IFERROR(__xludf.DUMMYFUNCTION("""COMPUTED_VALUE"""),"USA")</f>
        <v>USA</v>
      </c>
      <c r="F9" s="8" t="str">
        <f>IFERROR(__xludf.DUMMYFUNCTION("""COMPUTED_VALUE"""),"Women A Cricket Doubles")</f>
        <v>Women A Cricket Doubles</v>
      </c>
      <c r="G9" s="8" t="str">
        <f>IFERROR(__xludf.DUMMYFUNCTION("""COMPUTED_VALUE"""),"2nd")</f>
        <v>2nd</v>
      </c>
      <c r="H9" s="8" t="str">
        <f>IFERROR(__xludf.DUMMYFUNCTION("""COMPUTED_VALUE"""),"BullShooter 34 Finals")</f>
        <v>BullShooter 34 Finals</v>
      </c>
      <c r="I9" s="10">
        <f>IFERROR(__xludf.DUMMYFUNCTION("""COMPUTED_VALUE"""),43617.0)</f>
        <v>43617</v>
      </c>
      <c r="J9" s="10">
        <f>IFERROR(__xludf.DUMMYFUNCTION("""COMPUTED_VALUE"""),44713.0)</f>
        <v>44713</v>
      </c>
      <c r="K9" s="15">
        <f>IFERROR(__xludf.DUMMYFUNCTION("""COMPUTED_VALUE"""),45809.0)</f>
        <v>45809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customHeight="1">
      <c r="A10" s="9" t="str">
        <f>IFERROR(__xludf.DUMMYFUNCTION("""COMPUTED_VALUE"""),"Briggs")</f>
        <v>Briggs</v>
      </c>
      <c r="B10" s="8" t="str">
        <f>IFERROR(__xludf.DUMMYFUNCTION("""COMPUTED_VALUE"""),"Pam")</f>
        <v>Pam</v>
      </c>
      <c r="C10" s="8" t="str">
        <f>IFERROR(__xludf.DUMMYFUNCTION("""COMPUTED_VALUE"""),"")</f>
        <v/>
      </c>
      <c r="D10" s="8" t="str">
        <f>IFERROR(__xludf.DUMMYFUNCTION("""COMPUTED_VALUE"""),"ME")</f>
        <v>ME</v>
      </c>
      <c r="E10" s="8" t="str">
        <f>IFERROR(__xludf.DUMMYFUNCTION("""COMPUTED_VALUE"""),"USA")</f>
        <v>USA</v>
      </c>
      <c r="F10" s="8" t="str">
        <f>IFERROR(__xludf.DUMMYFUNCTION("""COMPUTED_VALUE"""),"ADO 2018")</f>
        <v>ADO 2018</v>
      </c>
      <c r="G10" s="8" t="str">
        <f>IFERROR(__xludf.DUMMYFUNCTION("""COMPUTED_VALUE"""),"24th")</f>
        <v>24th</v>
      </c>
      <c r="H10" s="8" t="str">
        <f>IFERROR(__xludf.DUMMYFUNCTION("""COMPUTED_VALUE"""),"ADO 2018")</f>
        <v>ADO 2018</v>
      </c>
      <c r="I10" s="10">
        <f>IFERROR(__xludf.DUMMYFUNCTION("""COMPUTED_VALUE"""),43132.0)</f>
        <v>43132</v>
      </c>
      <c r="J10" s="10">
        <f>IFERROR(__xludf.DUMMYFUNCTION("""COMPUTED_VALUE"""),44348.0)</f>
        <v>44348</v>
      </c>
      <c r="K10" s="15">
        <f>IFERROR(__xludf.DUMMYFUNCTION("""COMPUTED_VALUE"""),45444.0)</f>
        <v>45444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4.25" customHeight="1">
      <c r="A11" s="12" t="str">
        <f>IFERROR(__xludf.DUMMYFUNCTION("""COMPUTED_VALUE"""),"Brugier")</f>
        <v>Brugier</v>
      </c>
      <c r="B11" s="13" t="str">
        <f>IFERROR(__xludf.DUMMYFUNCTION("""COMPUTED_VALUE"""),"Misty")</f>
        <v>Misty</v>
      </c>
      <c r="C11" s="13" t="str">
        <f>IFERROR(__xludf.DUMMYFUNCTION("""COMPUTED_VALUE"""),"Lake Andes")</f>
        <v>Lake Andes</v>
      </c>
      <c r="D11" s="13" t="str">
        <f>IFERROR(__xludf.DUMMYFUNCTION("""COMPUTED_VALUE"""),"SD")</f>
        <v>SD</v>
      </c>
      <c r="E11" s="13" t="str">
        <f>IFERROR(__xludf.DUMMYFUNCTION("""COMPUTED_VALUE"""),"USA")</f>
        <v>USA</v>
      </c>
      <c r="F11" s="13" t="str">
        <f>IFERROR(__xludf.DUMMYFUNCTION("""COMPUTED_VALUE"""),"Womens A Doubles")</f>
        <v>Womens A Doubles</v>
      </c>
      <c r="G11" s="13" t="str">
        <f>IFERROR(__xludf.DUMMYFUNCTION("""COMPUTED_VALUE"""),"4th")</f>
        <v>4th</v>
      </c>
      <c r="H11" s="13" t="str">
        <f>IFERROR(__xludf.DUMMYFUNCTION("""COMPUTED_VALUE"""),"BS 33 Finals")</f>
        <v>BS 33 Finals</v>
      </c>
      <c r="I11" s="14">
        <f>IFERROR(__xludf.DUMMYFUNCTION("""COMPUTED_VALUE"""),43252.0)</f>
        <v>43252</v>
      </c>
      <c r="J11" s="14">
        <f>IFERROR(__xludf.DUMMYFUNCTION("""COMPUTED_VALUE"""),44348.0)</f>
        <v>44348</v>
      </c>
      <c r="K11" s="15">
        <f>IFERROR(__xludf.DUMMYFUNCTION("""COMPUTED_VALUE"""),45444.0)</f>
        <v>45444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4.25" customHeight="1">
      <c r="A12" s="9" t="str">
        <f>IFERROR(__xludf.DUMMYFUNCTION("""COMPUTED_VALUE"""),"Burrous")</f>
        <v>Burrous</v>
      </c>
      <c r="B12" s="8" t="str">
        <f>IFERROR(__xludf.DUMMYFUNCTION("""COMPUTED_VALUE"""),"Rachel")</f>
        <v>Rachel</v>
      </c>
      <c r="C12" s="8" t="str">
        <f>IFERROR(__xludf.DUMMYFUNCTION("""COMPUTED_VALUE"""),"Lodi")</f>
        <v>Lodi</v>
      </c>
      <c r="D12" s="8" t="str">
        <f>IFERROR(__xludf.DUMMYFUNCTION("""COMPUTED_VALUE"""),"NJ")</f>
        <v>NJ</v>
      </c>
      <c r="E12" s="8" t="str">
        <f>IFERROR(__xludf.DUMMYFUNCTION("""COMPUTED_VALUE"""),"USA")</f>
        <v>USA</v>
      </c>
      <c r="F12" s="8" t="str">
        <f>IFERROR(__xludf.DUMMYFUNCTION("""COMPUTED_VALUE"""),"ADO 2017")</f>
        <v>ADO 2017</v>
      </c>
      <c r="G12" s="8" t="str">
        <f>IFERROR(__xludf.DUMMYFUNCTION("""COMPUTED_VALUE"""),"8th")</f>
        <v>8th</v>
      </c>
      <c r="H12" s="8" t="str">
        <f>IFERROR(__xludf.DUMMYFUNCTION("""COMPUTED_VALUE"""),"ADO 2017")</f>
        <v>ADO 2017</v>
      </c>
      <c r="I12" s="10">
        <f>IFERROR(__xludf.DUMMYFUNCTION("""COMPUTED_VALUE"""),42765.0)</f>
        <v>42765</v>
      </c>
      <c r="J12" s="10">
        <f>IFERROR(__xludf.DUMMYFUNCTION("""COMPUTED_VALUE"""),43983.0)</f>
        <v>43983</v>
      </c>
      <c r="K12" s="15">
        <f>IFERROR(__xludf.DUMMYFUNCTION("""COMPUTED_VALUE"""),45078.0)</f>
        <v>45078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4.25" customHeight="1">
      <c r="A13" s="9" t="str">
        <f>IFERROR(__xludf.DUMMYFUNCTION("""COMPUTED_VALUE"""),"Butts")</f>
        <v>Butts</v>
      </c>
      <c r="B13" s="8" t="str">
        <f>IFERROR(__xludf.DUMMYFUNCTION("""COMPUTED_VALUE"""),"Jennifer")</f>
        <v>Jennifer</v>
      </c>
      <c r="C13" s="8" t="str">
        <f>IFERROR(__xludf.DUMMYFUNCTION("""COMPUTED_VALUE"""),"Dekalb")</f>
        <v>Dekalb</v>
      </c>
      <c r="D13" s="8" t="str">
        <f>IFERROR(__xludf.DUMMYFUNCTION("""COMPUTED_VALUE"""),"IL")</f>
        <v>IL</v>
      </c>
      <c r="E13" s="8" t="str">
        <f>IFERROR(__xludf.DUMMYFUNCTION("""COMPUTED_VALUE"""),"USA")</f>
        <v>USA</v>
      </c>
      <c r="F13" s="8" t="str">
        <f>IFERROR(__xludf.DUMMYFUNCTION("""COMPUTED_VALUE"""),"Womens A Cricket")</f>
        <v>Womens A Cricket</v>
      </c>
      <c r="G13" s="8" t="str">
        <f>IFERROR(__xludf.DUMMYFUNCTION("""COMPUTED_VALUE"""),"3rd")</f>
        <v>3rd</v>
      </c>
      <c r="H13" s="8" t="str">
        <f>IFERROR(__xludf.DUMMYFUNCTION("""COMPUTED_VALUE"""),"BS 33 Finals")</f>
        <v>BS 33 Finals</v>
      </c>
      <c r="I13" s="10">
        <f>IFERROR(__xludf.DUMMYFUNCTION("""COMPUTED_VALUE"""),42887.0)</f>
        <v>42887</v>
      </c>
      <c r="J13" s="10">
        <f>IFERROR(__xludf.DUMMYFUNCTION("""COMPUTED_VALUE"""),44348.0)</f>
        <v>44348</v>
      </c>
      <c r="K13" s="15">
        <f>IFERROR(__xludf.DUMMYFUNCTION("""COMPUTED_VALUE"""),45444.0)</f>
        <v>45444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4.25" customHeight="1">
      <c r="A14" s="9" t="str">
        <f>IFERROR(__xludf.DUMMYFUNCTION("""COMPUTED_VALUE"""),"Buzzell")</f>
        <v>Buzzell</v>
      </c>
      <c r="B14" s="8" t="str">
        <f>IFERROR(__xludf.DUMMYFUNCTION("""COMPUTED_VALUE"""),"Brittany")</f>
        <v>Brittany</v>
      </c>
      <c r="C14" s="8" t="str">
        <f>IFERROR(__xludf.DUMMYFUNCTION("""COMPUTED_VALUE"""),"")</f>
        <v/>
      </c>
      <c r="D14" s="8" t="str">
        <f>IFERROR(__xludf.DUMMYFUNCTION("""COMPUTED_VALUE"""),"UNK")</f>
        <v>UNK</v>
      </c>
      <c r="E14" s="8" t="str">
        <f>IFERROR(__xludf.DUMMYFUNCTION("""COMPUTED_VALUE"""),"USA")</f>
        <v>USA</v>
      </c>
      <c r="F14" s="8" t="str">
        <f>IFERROR(__xludf.DUMMYFUNCTION("""COMPUTED_VALUE"""),"ADO 2018")</f>
        <v>ADO 2018</v>
      </c>
      <c r="G14" s="8" t="str">
        <f>IFERROR(__xludf.DUMMYFUNCTION("""COMPUTED_VALUE"""),"17th")</f>
        <v>17th</v>
      </c>
      <c r="H14" s="8" t="str">
        <f>IFERROR(__xludf.DUMMYFUNCTION("""COMPUTED_VALUE"""),"ADO 2018")</f>
        <v>ADO 2018</v>
      </c>
      <c r="I14" s="10">
        <f>IFERROR(__xludf.DUMMYFUNCTION("""COMPUTED_VALUE"""),43132.0)</f>
        <v>43132</v>
      </c>
      <c r="J14" s="10">
        <f>IFERROR(__xludf.DUMMYFUNCTION("""COMPUTED_VALUE"""),44348.0)</f>
        <v>44348</v>
      </c>
      <c r="K14" s="15">
        <f>IFERROR(__xludf.DUMMYFUNCTION("""COMPUTED_VALUE"""),45444.0)</f>
        <v>45444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customHeight="1">
      <c r="A15" s="9" t="str">
        <f>IFERROR(__xludf.DUMMYFUNCTION("""COMPUTED_VALUE"""),"Cocchi")</f>
        <v>Cocchi</v>
      </c>
      <c r="B15" s="8" t="str">
        <f>IFERROR(__xludf.DUMMYFUNCTION("""COMPUTED_VALUE"""),"Jennifer")</f>
        <v>Jennifer</v>
      </c>
      <c r="C15" s="8" t="str">
        <f>IFERROR(__xludf.DUMMYFUNCTION("""COMPUTED_VALUE"""),"")</f>
        <v/>
      </c>
      <c r="D15" s="8" t="str">
        <f>IFERROR(__xludf.DUMMYFUNCTION("""COMPUTED_VALUE"""),"UNK")</f>
        <v>UNK</v>
      </c>
      <c r="E15" s="8" t="str">
        <f>IFERROR(__xludf.DUMMYFUNCTION("""COMPUTED_VALUE"""),"USA")</f>
        <v>USA</v>
      </c>
      <c r="F15" s="8" t="str">
        <f>IFERROR(__xludf.DUMMYFUNCTION("""COMPUTED_VALUE"""),"ADO 2018")</f>
        <v>ADO 2018</v>
      </c>
      <c r="G15" s="8" t="str">
        <f>IFERROR(__xludf.DUMMYFUNCTION("""COMPUTED_VALUE"""),"30th")</f>
        <v>30th</v>
      </c>
      <c r="H15" s="8" t="str">
        <f>IFERROR(__xludf.DUMMYFUNCTION("""COMPUTED_VALUE"""),"ADO 2018")</f>
        <v>ADO 2018</v>
      </c>
      <c r="I15" s="10">
        <f>IFERROR(__xludf.DUMMYFUNCTION("""COMPUTED_VALUE"""),43132.0)</f>
        <v>43132</v>
      </c>
      <c r="J15" s="10">
        <f>IFERROR(__xludf.DUMMYFUNCTION("""COMPUTED_VALUE"""),44348.0)</f>
        <v>44348</v>
      </c>
      <c r="K15" s="15">
        <f>IFERROR(__xludf.DUMMYFUNCTION("""COMPUTED_VALUE"""),45444.0)</f>
        <v>45444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9" t="str">
        <f>IFERROR(__xludf.DUMMYFUNCTION("""COMPUTED_VALUE"""),"Cunningham")</f>
        <v>Cunningham</v>
      </c>
      <c r="B16" s="8" t="str">
        <f>IFERROR(__xludf.DUMMYFUNCTION("""COMPUTED_VALUE"""),"Bette")</f>
        <v>Bette</v>
      </c>
      <c r="C16" s="8" t="str">
        <f>IFERROR(__xludf.DUMMYFUNCTION("""COMPUTED_VALUE"""),"")</f>
        <v/>
      </c>
      <c r="D16" s="8" t="str">
        <f>IFERROR(__xludf.DUMMYFUNCTION("""COMPUTED_VALUE"""),"UNK")</f>
        <v>UNK</v>
      </c>
      <c r="E16" s="8" t="str">
        <f>IFERROR(__xludf.DUMMYFUNCTION("""COMPUTED_VALUE"""),"UNK")</f>
        <v>UNK</v>
      </c>
      <c r="F16" s="8" t="str">
        <f>IFERROR(__xludf.DUMMYFUNCTION("""COMPUTED_VALUE"""),"ADO 2018")</f>
        <v>ADO 2018</v>
      </c>
      <c r="G16" s="8" t="str">
        <f>IFERROR(__xludf.DUMMYFUNCTION("""COMPUTED_VALUE"""),"8th")</f>
        <v>8th</v>
      </c>
      <c r="H16" s="8" t="str">
        <f>IFERROR(__xludf.DUMMYFUNCTION("""COMPUTED_VALUE"""),"ADO 2018")</f>
        <v>ADO 2018</v>
      </c>
      <c r="I16" s="10">
        <f>IFERROR(__xludf.DUMMYFUNCTION("""COMPUTED_VALUE"""),43132.0)</f>
        <v>43132</v>
      </c>
      <c r="J16" s="10">
        <f>IFERROR(__xludf.DUMMYFUNCTION("""COMPUTED_VALUE"""),44348.0)</f>
        <v>44348</v>
      </c>
      <c r="K16" s="15">
        <f>IFERROR(__xludf.DUMMYFUNCTION("""COMPUTED_VALUE"""),45444.0)</f>
        <v>45444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>
      <c r="A17" s="9" t="str">
        <f>IFERROR(__xludf.DUMMYFUNCTION("""COMPUTED_VALUE"""),"Curry")</f>
        <v>Curry</v>
      </c>
      <c r="B17" s="8" t="str">
        <f>IFERROR(__xludf.DUMMYFUNCTION("""COMPUTED_VALUE"""),"Robin")</f>
        <v>Robin</v>
      </c>
      <c r="C17" s="8" t="str">
        <f>IFERROR(__xludf.DUMMYFUNCTION("""COMPUTED_VALUE"""),"")</f>
        <v/>
      </c>
      <c r="D17" s="8" t="str">
        <f>IFERROR(__xludf.DUMMYFUNCTION("""COMPUTED_VALUE"""),"UNK")</f>
        <v>UNK</v>
      </c>
      <c r="E17" s="8" t="str">
        <f>IFERROR(__xludf.DUMMYFUNCTION("""COMPUTED_VALUE"""),"USA")</f>
        <v>USA</v>
      </c>
      <c r="F17" s="8" t="str">
        <f>IFERROR(__xludf.DUMMYFUNCTION("""COMPUTED_VALUE"""),"ADO 2018")</f>
        <v>ADO 2018</v>
      </c>
      <c r="G17" s="8" t="str">
        <f>IFERROR(__xludf.DUMMYFUNCTION("""COMPUTED_VALUE"""),"5th")</f>
        <v>5th</v>
      </c>
      <c r="H17" s="8" t="str">
        <f>IFERROR(__xludf.DUMMYFUNCTION("""COMPUTED_VALUE"""),"ADO 2018")</f>
        <v>ADO 2018</v>
      </c>
      <c r="I17" s="10">
        <f>IFERROR(__xludf.DUMMYFUNCTION("""COMPUTED_VALUE"""),43132.0)</f>
        <v>43132</v>
      </c>
      <c r="J17" s="10">
        <f>IFERROR(__xludf.DUMMYFUNCTION("""COMPUTED_VALUE"""),44348.0)</f>
        <v>44348</v>
      </c>
      <c r="K17" s="15">
        <f>IFERROR(__xludf.DUMMYFUNCTION("""COMPUTED_VALUE"""),45444.0)</f>
        <v>45444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9" t="str">
        <f>IFERROR(__xludf.DUMMYFUNCTION("""COMPUTED_VALUE"""),"Deboeck")</f>
        <v>Deboeck</v>
      </c>
      <c r="B18" s="8" t="str">
        <f>IFERROR(__xludf.DUMMYFUNCTION("""COMPUTED_VALUE"""),"Cindy")</f>
        <v>Cindy</v>
      </c>
      <c r="C18" s="8" t="str">
        <f>IFERROR(__xludf.DUMMYFUNCTION("""COMPUTED_VALUE"""),"")</f>
        <v/>
      </c>
      <c r="D18" s="8" t="str">
        <f>IFERROR(__xludf.DUMMYFUNCTION("""COMPUTED_VALUE"""),"UNK")</f>
        <v>UNK</v>
      </c>
      <c r="E18" s="8" t="str">
        <f>IFERROR(__xludf.DUMMYFUNCTION("""COMPUTED_VALUE"""),"Belgium")</f>
        <v>Belgium</v>
      </c>
      <c r="F18" s="8" t="str">
        <f>IFERROR(__xludf.DUMMYFUNCTION("""COMPUTED_VALUE"""),"Womens A Singles")</f>
        <v>Womens A Singles</v>
      </c>
      <c r="G18" s="8" t="str">
        <f>IFERROR(__xludf.DUMMYFUNCTION("""COMPUTED_VALUE"""),"3rd")</f>
        <v>3rd</v>
      </c>
      <c r="H18" s="8" t="str">
        <f>IFERROR(__xludf.DUMMYFUNCTION("""COMPUTED_VALUE"""),"Euro Bullshooter XXV")</f>
        <v>Euro Bullshooter XXV</v>
      </c>
      <c r="I18" s="10">
        <f>IFERROR(__xludf.DUMMYFUNCTION("""COMPUTED_VALUE"""),42828.0)</f>
        <v>42828</v>
      </c>
      <c r="J18" s="10">
        <f>IFERROR(__xludf.DUMMYFUNCTION("""COMPUTED_VALUE"""),43983.0)</f>
        <v>43983</v>
      </c>
      <c r="K18" s="15">
        <f>IFERROR(__xludf.DUMMYFUNCTION("""COMPUTED_VALUE"""),45078.0)</f>
        <v>45078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9" t="str">
        <f>IFERROR(__xludf.DUMMYFUNCTION("""COMPUTED_VALUE"""),"Erdman")</f>
        <v>Erdman</v>
      </c>
      <c r="B19" s="8" t="str">
        <f>IFERROR(__xludf.DUMMYFUNCTION("""COMPUTED_VALUE"""),"Sandra")</f>
        <v>Sandra</v>
      </c>
      <c r="C19" s="8" t="str">
        <f>IFERROR(__xludf.DUMMYFUNCTION("""COMPUTED_VALUE"""),"Waterford")</f>
        <v>Waterford</v>
      </c>
      <c r="D19" s="8" t="str">
        <f>IFERROR(__xludf.DUMMYFUNCTION("""COMPUTED_VALUE"""),"MI")</f>
        <v>MI</v>
      </c>
      <c r="E19" s="8" t="str">
        <f>IFERROR(__xludf.DUMMYFUNCTION("""COMPUTED_VALUE"""),"USA")</f>
        <v>USA</v>
      </c>
      <c r="F19" s="8" t="str">
        <f>IFERROR(__xludf.DUMMYFUNCTION("""COMPUTED_VALUE"""),"Womens A Doubles")</f>
        <v>Womens A Doubles</v>
      </c>
      <c r="G19" s="8" t="str">
        <f>IFERROR(__xludf.DUMMYFUNCTION("""COMPUTED_VALUE"""),"3rd")</f>
        <v>3rd</v>
      </c>
      <c r="H19" s="8" t="str">
        <f>IFERROR(__xludf.DUMMYFUNCTION("""COMPUTED_VALUE"""),"BullShooter 32")</f>
        <v>BullShooter 32</v>
      </c>
      <c r="I19" s="10">
        <f>IFERROR(__xludf.DUMMYFUNCTION("""COMPUTED_VALUE"""),42887.0)</f>
        <v>42887</v>
      </c>
      <c r="J19" s="10">
        <f>IFERROR(__xludf.DUMMYFUNCTION("""COMPUTED_VALUE"""),43983.0)</f>
        <v>43983</v>
      </c>
      <c r="K19" s="15">
        <f>IFERROR(__xludf.DUMMYFUNCTION("""COMPUTED_VALUE"""),45078.0)</f>
        <v>45078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9" t="str">
        <f>IFERROR(__xludf.DUMMYFUNCTION("""COMPUTED_VALUE"""),"Espinoza")</f>
        <v>Espinoza</v>
      </c>
      <c r="B20" s="8" t="str">
        <f>IFERROR(__xludf.DUMMYFUNCTION("""COMPUTED_VALUE"""),"Wendy")</f>
        <v>Wendy</v>
      </c>
      <c r="C20" s="8" t="str">
        <f>IFERROR(__xludf.DUMMYFUNCTION("""COMPUTED_VALUE"""),"Owatonna")</f>
        <v>Owatonna</v>
      </c>
      <c r="D20" s="8" t="str">
        <f>IFERROR(__xludf.DUMMYFUNCTION("""COMPUTED_VALUE"""),"MN")</f>
        <v>MN</v>
      </c>
      <c r="E20" s="8" t="str">
        <f>IFERROR(__xludf.DUMMYFUNCTION("""COMPUTED_VALUE"""),"USA")</f>
        <v>USA</v>
      </c>
      <c r="F20" s="8" t="str">
        <f>IFERROR(__xludf.DUMMYFUNCTION("""COMPUTED_VALUE"""),"Women AA 501 Doubles")</f>
        <v>Women AA 501 Doubles</v>
      </c>
      <c r="G20" s="8" t="str">
        <f>IFERROR(__xludf.DUMMYFUNCTION("""COMPUTED_VALUE"""),"4th")</f>
        <v>4th</v>
      </c>
      <c r="H20" s="8" t="str">
        <f>IFERROR(__xludf.DUMMYFUNCTION("""COMPUTED_VALUE"""),"BullShooter 34 Finals")</f>
        <v>BullShooter 34 Finals</v>
      </c>
      <c r="I20" s="10">
        <f>IFERROR(__xludf.DUMMYFUNCTION("""COMPUTED_VALUE"""),43617.0)</f>
        <v>43617</v>
      </c>
      <c r="J20" s="10">
        <f>IFERROR(__xludf.DUMMYFUNCTION("""COMPUTED_VALUE"""),44713.0)</f>
        <v>44713</v>
      </c>
      <c r="K20" s="15">
        <f>IFERROR(__xludf.DUMMYFUNCTION("""COMPUTED_VALUE"""),45809.0)</f>
        <v>45809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9" t="str">
        <f>IFERROR(__xludf.DUMMYFUNCTION("""COMPUTED_VALUE"""),"Farmer")</f>
        <v>Farmer</v>
      </c>
      <c r="B21" s="8" t="str">
        <f>IFERROR(__xludf.DUMMYFUNCTION("""COMPUTED_VALUE"""),"Tanja")</f>
        <v>Tanja</v>
      </c>
      <c r="C21" s="8" t="str">
        <f>IFERROR(__xludf.DUMMYFUNCTION("""COMPUTED_VALUE"""),"")</f>
        <v/>
      </c>
      <c r="D21" s="8" t="str">
        <f>IFERROR(__xludf.DUMMYFUNCTION("""COMPUTED_VALUE"""),"UNK")</f>
        <v>UNK</v>
      </c>
      <c r="E21" s="8" t="str">
        <f>IFERROR(__xludf.DUMMYFUNCTION("""COMPUTED_VALUE"""),"USA")</f>
        <v>USA</v>
      </c>
      <c r="F21" s="8" t="str">
        <f>IFERROR(__xludf.DUMMYFUNCTION("""COMPUTED_VALUE"""),"ADO 2018")</f>
        <v>ADO 2018</v>
      </c>
      <c r="G21" s="8" t="str">
        <f>IFERROR(__xludf.DUMMYFUNCTION("""COMPUTED_VALUE"""),"26th")</f>
        <v>26th</v>
      </c>
      <c r="H21" s="8" t="str">
        <f>IFERROR(__xludf.DUMMYFUNCTION("""COMPUTED_VALUE"""),"ADO 2018")</f>
        <v>ADO 2018</v>
      </c>
      <c r="I21" s="10">
        <f>IFERROR(__xludf.DUMMYFUNCTION("""COMPUTED_VALUE"""),43132.0)</f>
        <v>43132</v>
      </c>
      <c r="J21" s="10">
        <f>IFERROR(__xludf.DUMMYFUNCTION("""COMPUTED_VALUE"""),44348.0)</f>
        <v>44348</v>
      </c>
      <c r="K21" s="15">
        <f>IFERROR(__xludf.DUMMYFUNCTION("""COMPUTED_VALUE"""),45444.0)</f>
        <v>45444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9" t="str">
        <f>IFERROR(__xludf.DUMMYFUNCTION("""COMPUTED_VALUE"""),"Ferguson")</f>
        <v>Ferguson</v>
      </c>
      <c r="B22" s="8" t="str">
        <f>IFERROR(__xludf.DUMMYFUNCTION("""COMPUTED_VALUE"""),"Mary")</f>
        <v>Mary</v>
      </c>
      <c r="C22" s="8" t="str">
        <f>IFERROR(__xludf.DUMMYFUNCTION("""COMPUTED_VALUE"""),"Portage")</f>
        <v>Portage</v>
      </c>
      <c r="D22" s="8" t="str">
        <f>IFERROR(__xludf.DUMMYFUNCTION("""COMPUTED_VALUE"""),"IN")</f>
        <v>IN</v>
      </c>
      <c r="E22" s="8" t="str">
        <f>IFERROR(__xludf.DUMMYFUNCTION("""COMPUTED_VALUE"""),"USA")</f>
        <v>USA</v>
      </c>
      <c r="F22" s="8" t="str">
        <f>IFERROR(__xludf.DUMMYFUNCTION("""COMPUTED_VALUE"""),"Womens A Doubles")</f>
        <v>Womens A Doubles</v>
      </c>
      <c r="G22" s="8" t="str">
        <f>IFERROR(__xludf.DUMMYFUNCTION("""COMPUTED_VALUE"""),"2nd")</f>
        <v>2nd</v>
      </c>
      <c r="H22" s="8" t="str">
        <f>IFERROR(__xludf.DUMMYFUNCTION("""COMPUTED_VALUE"""),"BullShooter 32")</f>
        <v>BullShooter 32</v>
      </c>
      <c r="I22" s="10">
        <f>IFERROR(__xludf.DUMMYFUNCTION("""COMPUTED_VALUE"""),42887.0)</f>
        <v>42887</v>
      </c>
      <c r="J22" s="10">
        <f>IFERROR(__xludf.DUMMYFUNCTION("""COMPUTED_VALUE"""),43983.0)</f>
        <v>43983</v>
      </c>
      <c r="K22" s="15">
        <f>IFERROR(__xludf.DUMMYFUNCTION("""COMPUTED_VALUE"""),45078.0)</f>
        <v>45078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9" t="str">
        <f>IFERROR(__xludf.DUMMYFUNCTION("""COMPUTED_VALUE"""),"Fowler")</f>
        <v>Fowler</v>
      </c>
      <c r="B23" s="8" t="str">
        <f>IFERROR(__xludf.DUMMYFUNCTION("""COMPUTED_VALUE"""),"Jacquelin")</f>
        <v>Jacquelin</v>
      </c>
      <c r="C23" s="8" t="str">
        <f>IFERROR(__xludf.DUMMYFUNCTION("""COMPUTED_VALUE"""),"St. Louis")</f>
        <v>St. Louis</v>
      </c>
      <c r="D23" s="8" t="str">
        <f>IFERROR(__xludf.DUMMYFUNCTION("""COMPUTED_VALUE"""),"MO")</f>
        <v>MO</v>
      </c>
      <c r="E23" s="8" t="str">
        <f>IFERROR(__xludf.DUMMYFUNCTION("""COMPUTED_VALUE"""),"USA")</f>
        <v>USA</v>
      </c>
      <c r="F23" s="8" t="str">
        <f>IFERROR(__xludf.DUMMYFUNCTION("""COMPUTED_VALUE"""),"Womens A/AA Combo Luck")</f>
        <v>Womens A/AA Combo Luck</v>
      </c>
      <c r="G23" s="8" t="str">
        <f>IFERROR(__xludf.DUMMYFUNCTION("""COMPUTED_VALUE"""),"4th")</f>
        <v>4th</v>
      </c>
      <c r="H23" s="8" t="str">
        <f>IFERROR(__xludf.DUMMYFUNCTION("""COMPUTED_VALUE"""),"BullShooter 32")</f>
        <v>BullShooter 32</v>
      </c>
      <c r="I23" s="10">
        <f>IFERROR(__xludf.DUMMYFUNCTION("""COMPUTED_VALUE"""),42887.0)</f>
        <v>42887</v>
      </c>
      <c r="J23" s="10">
        <f>IFERROR(__xludf.DUMMYFUNCTION("""COMPUTED_VALUE"""),43983.0)</f>
        <v>43983</v>
      </c>
      <c r="K23" s="15">
        <f>IFERROR(__xludf.DUMMYFUNCTION("""COMPUTED_VALUE"""),45078.0)</f>
        <v>45078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9" t="str">
        <f>IFERROR(__xludf.DUMMYFUNCTION("""COMPUTED_VALUE"""),"Gannon")</f>
        <v>Gannon</v>
      </c>
      <c r="B24" s="8" t="str">
        <f>IFERROR(__xludf.DUMMYFUNCTION("""COMPUTED_VALUE"""),"Marlene")</f>
        <v>Marlene</v>
      </c>
      <c r="C24" s="8" t="str">
        <f>IFERROR(__xludf.DUMMYFUNCTION("""COMPUTED_VALUE"""),"Oak Lawn")</f>
        <v>Oak Lawn</v>
      </c>
      <c r="D24" s="8" t="str">
        <f>IFERROR(__xludf.DUMMYFUNCTION("""COMPUTED_VALUE"""),"IL")</f>
        <v>IL</v>
      </c>
      <c r="E24" s="8" t="str">
        <f>IFERROR(__xludf.DUMMYFUNCTION("""COMPUTED_VALUE"""),"USA")</f>
        <v>USA</v>
      </c>
      <c r="F24" s="8" t="str">
        <f>IFERROR(__xludf.DUMMYFUNCTION("""COMPUTED_VALUE"""),"Women AA 501 Doubles")</f>
        <v>Women AA 501 Doubles</v>
      </c>
      <c r="G24" s="8" t="str">
        <f>IFERROR(__xludf.DUMMYFUNCTION("""COMPUTED_VALUE"""),"3rd")</f>
        <v>3rd</v>
      </c>
      <c r="H24" s="8" t="str">
        <f>IFERROR(__xludf.DUMMYFUNCTION("""COMPUTED_VALUE"""),"BullShooter 34 Finals")</f>
        <v>BullShooter 34 Finals</v>
      </c>
      <c r="I24" s="10">
        <f>IFERROR(__xludf.DUMMYFUNCTION("""COMPUTED_VALUE"""),43617.0)</f>
        <v>43617</v>
      </c>
      <c r="J24" s="10">
        <f>IFERROR(__xludf.DUMMYFUNCTION("""COMPUTED_VALUE"""),44713.0)</f>
        <v>44713</v>
      </c>
      <c r="K24" s="15">
        <f>IFERROR(__xludf.DUMMYFUNCTION("""COMPUTED_VALUE"""),45809.0)</f>
        <v>45809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12" t="str">
        <f>IFERROR(__xludf.DUMMYFUNCTION("""COMPUTED_VALUE"""),"Garner")</f>
        <v>Garner</v>
      </c>
      <c r="B25" s="13" t="str">
        <f>IFERROR(__xludf.DUMMYFUNCTION("""COMPUTED_VALUE"""),"Leslie")</f>
        <v>Leslie</v>
      </c>
      <c r="C25" s="13" t="str">
        <f>IFERROR(__xludf.DUMMYFUNCTION("""COMPUTED_VALUE"""),"Deer Park")</f>
        <v>Deer Park</v>
      </c>
      <c r="D25" s="13" t="str">
        <f>IFERROR(__xludf.DUMMYFUNCTION("""COMPUTED_VALUE"""),"TX")</f>
        <v>TX</v>
      </c>
      <c r="E25" s="13" t="str">
        <f>IFERROR(__xludf.DUMMYFUNCTION("""COMPUTED_VALUE"""),"USA")</f>
        <v>USA</v>
      </c>
      <c r="F25" s="13" t="str">
        <f>IFERROR(__xludf.DUMMYFUNCTION("""COMPUTED_VALUE"""),"Womens A Cricket")</f>
        <v>Womens A Cricket</v>
      </c>
      <c r="G25" s="13" t="str">
        <f>IFERROR(__xludf.DUMMYFUNCTION("""COMPUTED_VALUE"""),"4th")</f>
        <v>4th</v>
      </c>
      <c r="H25" s="13" t="str">
        <f>IFERROR(__xludf.DUMMYFUNCTION("""COMPUTED_VALUE"""),"BS 33 Finals")</f>
        <v>BS 33 Finals</v>
      </c>
      <c r="I25" s="14">
        <f>IFERROR(__xludf.DUMMYFUNCTION("""COMPUTED_VALUE"""),43252.0)</f>
        <v>43252</v>
      </c>
      <c r="J25" s="14">
        <f>IFERROR(__xludf.DUMMYFUNCTION("""COMPUTED_VALUE"""),44348.0)</f>
        <v>44348</v>
      </c>
      <c r="K25" s="15">
        <f>IFERROR(__xludf.DUMMYFUNCTION("""COMPUTED_VALUE"""),45444.0)</f>
        <v>45444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9" t="str">
        <f>IFERROR(__xludf.DUMMYFUNCTION("""COMPUTED_VALUE"""),"George")</f>
        <v>George</v>
      </c>
      <c r="B26" s="8" t="str">
        <f>IFERROR(__xludf.DUMMYFUNCTION("""COMPUTED_VALUE"""),"Maria")</f>
        <v>Maria</v>
      </c>
      <c r="C26" s="8" t="str">
        <f>IFERROR(__xludf.DUMMYFUNCTION("""COMPUTED_VALUE"""),"Alexandria")</f>
        <v>Alexandria</v>
      </c>
      <c r="D26" s="8" t="str">
        <f>IFERROR(__xludf.DUMMYFUNCTION("""COMPUTED_VALUE"""),"VA")</f>
        <v>VA</v>
      </c>
      <c r="E26" s="8" t="str">
        <f>IFERROR(__xludf.DUMMYFUNCTION("""COMPUTED_VALUE"""),"USA")</f>
        <v>USA</v>
      </c>
      <c r="F26" s="8" t="str">
        <f>IFERROR(__xludf.DUMMYFUNCTION("""COMPUTED_VALUE"""),"Womens A Doubles")</f>
        <v>Womens A Doubles</v>
      </c>
      <c r="G26" s="8" t="str">
        <f>IFERROR(__xludf.DUMMYFUNCTION("""COMPUTED_VALUE"""),"4th")</f>
        <v>4th</v>
      </c>
      <c r="H26" s="8" t="str">
        <f>IFERROR(__xludf.DUMMYFUNCTION("""COMPUTED_VALUE"""),"BullShooter 32")</f>
        <v>BullShooter 32</v>
      </c>
      <c r="I26" s="10">
        <f>IFERROR(__xludf.DUMMYFUNCTION("""COMPUTED_VALUE"""),42887.0)</f>
        <v>42887</v>
      </c>
      <c r="J26" s="10">
        <f>IFERROR(__xludf.DUMMYFUNCTION("""COMPUTED_VALUE"""),43983.0)</f>
        <v>43983</v>
      </c>
      <c r="K26" s="15">
        <f>IFERROR(__xludf.DUMMYFUNCTION("""COMPUTED_VALUE"""),45078.0)</f>
        <v>45078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9" t="str">
        <f>IFERROR(__xludf.DUMMYFUNCTION("""COMPUTED_VALUE"""),"Gherardini")</f>
        <v>Gherardini</v>
      </c>
      <c r="B27" s="8" t="str">
        <f>IFERROR(__xludf.DUMMYFUNCTION("""COMPUTED_VALUE"""),"Kelly")</f>
        <v>Kelly</v>
      </c>
      <c r="C27" s="8" t="str">
        <f>IFERROR(__xludf.DUMMYFUNCTION("""COMPUTED_VALUE"""),"Taylor")</f>
        <v>Taylor</v>
      </c>
      <c r="D27" s="8" t="str">
        <f>IFERROR(__xludf.DUMMYFUNCTION("""COMPUTED_VALUE"""),"MI")</f>
        <v>MI</v>
      </c>
      <c r="E27" s="8" t="str">
        <f>IFERROR(__xludf.DUMMYFUNCTION("""COMPUTED_VALUE"""),"USA")</f>
        <v>USA</v>
      </c>
      <c r="F27" s="8" t="str">
        <f>IFERROR(__xludf.DUMMYFUNCTION("""COMPUTED_VALUE"""),"Womens AA Doubles")</f>
        <v>Womens AA Doubles</v>
      </c>
      <c r="G27" s="8" t="str">
        <f>IFERROR(__xludf.DUMMYFUNCTION("""COMPUTED_VALUE"""),"4th")</f>
        <v>4th</v>
      </c>
      <c r="H27" s="8" t="str">
        <f>IFERROR(__xludf.DUMMYFUNCTION("""COMPUTED_VALUE"""),"BS 33 Finals")</f>
        <v>BS 33 Finals</v>
      </c>
      <c r="I27" s="10">
        <f>IFERROR(__xludf.DUMMYFUNCTION("""COMPUTED_VALUE"""),43252.0)</f>
        <v>43252</v>
      </c>
      <c r="J27" s="10">
        <f>IFERROR(__xludf.DUMMYFUNCTION("""COMPUTED_VALUE"""),44348.0)</f>
        <v>44348</v>
      </c>
      <c r="K27" s="15">
        <f>IFERROR(__xludf.DUMMYFUNCTION("""COMPUTED_VALUE"""),45444.0)</f>
        <v>45444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9" t="str">
        <f>IFERROR(__xludf.DUMMYFUNCTION("""COMPUTED_VALUE"""),"Gilliam")</f>
        <v>Gilliam</v>
      </c>
      <c r="B28" s="8" t="str">
        <f>IFERROR(__xludf.DUMMYFUNCTION("""COMPUTED_VALUE"""),"Taylor")</f>
        <v>Taylor</v>
      </c>
      <c r="C28" s="8" t="str">
        <f>IFERROR(__xludf.DUMMYFUNCTION("""COMPUTED_VALUE"""),"Mainville")</f>
        <v>Mainville</v>
      </c>
      <c r="D28" s="8" t="str">
        <f>IFERROR(__xludf.DUMMYFUNCTION("""COMPUTED_VALUE"""),"OH")</f>
        <v>OH</v>
      </c>
      <c r="E28" s="8" t="str">
        <f>IFERROR(__xludf.DUMMYFUNCTION("""COMPUTED_VALUE"""),"USA")</f>
        <v>USA</v>
      </c>
      <c r="F28" s="8" t="str">
        <f>IFERROR(__xludf.DUMMYFUNCTION("""COMPUTED_VALUE"""),"Womens Singles")</f>
        <v>Womens Singles</v>
      </c>
      <c r="G28" s="8" t="str">
        <f>IFERROR(__xludf.DUMMYFUNCTION("""COMPUTED_VALUE"""),"3rd")</f>
        <v>3rd</v>
      </c>
      <c r="H28" s="8" t="str">
        <f>IFERROR(__xludf.DUMMYFUNCTION("""COMPUTED_VALUE"""),"OFF IN 19")</f>
        <v>OFF IN 19</v>
      </c>
      <c r="I28" s="10">
        <f>IFERROR(__xludf.DUMMYFUNCTION("""COMPUTED_VALUE"""),42522.0)</f>
        <v>42522</v>
      </c>
      <c r="J28" s="10">
        <f>IFERROR(__xludf.DUMMYFUNCTION("""COMPUTED_VALUE"""),44348.0)</f>
        <v>44348</v>
      </c>
      <c r="K28" s="15">
        <f>IFERROR(__xludf.DUMMYFUNCTION("""COMPUTED_VALUE"""),45444.0)</f>
        <v>45444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9" t="str">
        <f>IFERROR(__xludf.DUMMYFUNCTION("""COMPUTED_VALUE"""),"Gobeil")</f>
        <v>Gobeil</v>
      </c>
      <c r="B29" s="8" t="str">
        <f>IFERROR(__xludf.DUMMYFUNCTION("""COMPUTED_VALUE"""),"Dianne")</f>
        <v>Dianne</v>
      </c>
      <c r="C29" s="8" t="str">
        <f>IFERROR(__xludf.DUMMYFUNCTION("""COMPUTED_VALUE"""),"")</f>
        <v/>
      </c>
      <c r="D29" s="8" t="str">
        <f>IFERROR(__xludf.DUMMYFUNCTION("""COMPUTED_VALUE"""),"UNK")</f>
        <v>UNK</v>
      </c>
      <c r="E29" s="8" t="str">
        <f>IFERROR(__xludf.DUMMYFUNCTION("""COMPUTED_VALUE"""),"CAN")</f>
        <v>CAN</v>
      </c>
      <c r="F29" s="8" t="str">
        <f>IFERROR(__xludf.DUMMYFUNCTION("""COMPUTED_VALUE"""),"NAPDA 2018")</f>
        <v>NAPDA 2018</v>
      </c>
      <c r="G29" s="8" t="str">
        <f>IFERROR(__xludf.DUMMYFUNCTION("""COMPUTED_VALUE"""),"16th")</f>
        <v>16th</v>
      </c>
      <c r="H29" s="8" t="str">
        <f>IFERROR(__xludf.DUMMYFUNCTION("""COMPUTED_VALUE"""),"NAPDA 2018")</f>
        <v>NAPDA 2018</v>
      </c>
      <c r="I29" s="10">
        <f>IFERROR(__xludf.DUMMYFUNCTION("""COMPUTED_VALUE"""),43132.0)</f>
        <v>43132</v>
      </c>
      <c r="J29" s="10">
        <f>IFERROR(__xludf.DUMMYFUNCTION("""COMPUTED_VALUE"""),44348.0)</f>
        <v>44348</v>
      </c>
      <c r="K29" s="15">
        <f>IFERROR(__xludf.DUMMYFUNCTION("""COMPUTED_VALUE"""),45444.0)</f>
        <v>45444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9" t="str">
        <f>IFERROR(__xludf.DUMMYFUNCTION("""COMPUTED_VALUE"""),"Goebel")</f>
        <v>Goebel</v>
      </c>
      <c r="B30" s="8" t="str">
        <f>IFERROR(__xludf.DUMMYFUNCTION("""COMPUTED_VALUE"""),"Gabriela")</f>
        <v>Gabriela</v>
      </c>
      <c r="C30" s="8" t="str">
        <f>IFERROR(__xludf.DUMMYFUNCTION("""COMPUTED_VALUE"""),"")</f>
        <v/>
      </c>
      <c r="D30" s="8" t="str">
        <f>IFERROR(__xludf.DUMMYFUNCTION("""COMPUTED_VALUE"""),"UNK")</f>
        <v>UNK</v>
      </c>
      <c r="E30" s="8" t="str">
        <f>IFERROR(__xludf.DUMMYFUNCTION("""COMPUTED_VALUE"""),"Germany")</f>
        <v>Germany</v>
      </c>
      <c r="F30" s="8" t="str">
        <f>IFERROR(__xludf.DUMMYFUNCTION("""COMPUTED_VALUE"""),"Womens A Cricket Dbls")</f>
        <v>Womens A Cricket Dbls</v>
      </c>
      <c r="G30" s="8" t="str">
        <f>IFERROR(__xludf.DUMMYFUNCTION("""COMPUTED_VALUE"""),"1st")</f>
        <v>1st</v>
      </c>
      <c r="H30" s="8" t="str">
        <f>IFERROR(__xludf.DUMMYFUNCTION("""COMPUTED_VALUE"""),"BullShooter 32")</f>
        <v>BullShooter 32</v>
      </c>
      <c r="I30" s="10">
        <f>IFERROR(__xludf.DUMMYFUNCTION("""COMPUTED_VALUE"""),42887.0)</f>
        <v>42887</v>
      </c>
      <c r="J30" s="10">
        <f>IFERROR(__xludf.DUMMYFUNCTION("""COMPUTED_VALUE"""),43983.0)</f>
        <v>43983</v>
      </c>
      <c r="K30" s="15">
        <f>IFERROR(__xludf.DUMMYFUNCTION("""COMPUTED_VALUE"""),45078.0)</f>
        <v>45078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12" t="str">
        <f>IFERROR(__xludf.DUMMYFUNCTION("""COMPUTED_VALUE"""),"Gomez Sanchez")</f>
        <v>Gomez Sanchez</v>
      </c>
      <c r="B31" s="13" t="str">
        <f>IFERROR(__xludf.DUMMYFUNCTION("""COMPUTED_VALUE"""),"Maria")</f>
        <v>Maria</v>
      </c>
      <c r="C31" s="13" t="str">
        <f>IFERROR(__xludf.DUMMYFUNCTION("""COMPUTED_VALUE"""),"")</f>
        <v/>
      </c>
      <c r="D31" s="13" t="str">
        <f>IFERROR(__xludf.DUMMYFUNCTION("""COMPUTED_VALUE"""),"UNK")</f>
        <v>UNK</v>
      </c>
      <c r="E31" s="13" t="str">
        <f>IFERROR(__xludf.DUMMYFUNCTION("""COMPUTED_VALUE"""),"Spain")</f>
        <v>Spain</v>
      </c>
      <c r="F31" s="13" t="str">
        <f>IFERROR(__xludf.DUMMYFUNCTION("""COMPUTED_VALUE"""),"Womens A Singles")</f>
        <v>Womens A Singles</v>
      </c>
      <c r="G31" s="13" t="str">
        <f>IFERROR(__xludf.DUMMYFUNCTION("""COMPUTED_VALUE"""),"1st")</f>
        <v>1st</v>
      </c>
      <c r="H31" s="13" t="str">
        <f>IFERROR(__xludf.DUMMYFUNCTION("""COMPUTED_VALUE"""),"Euro Bullshooter XXV")</f>
        <v>Euro Bullshooter XXV</v>
      </c>
      <c r="I31" s="14">
        <f>IFERROR(__xludf.DUMMYFUNCTION("""COMPUTED_VALUE"""),42828.0)</f>
        <v>42828</v>
      </c>
      <c r="J31" s="14">
        <f>IFERROR(__xludf.DUMMYFUNCTION("""COMPUTED_VALUE"""),43983.0)</f>
        <v>43983</v>
      </c>
      <c r="K31" s="15">
        <f>IFERROR(__xludf.DUMMYFUNCTION("""COMPUTED_VALUE"""),45078.0)</f>
        <v>45078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9" t="str">
        <f>IFERROR(__xludf.DUMMYFUNCTION("""COMPUTED_VALUE"""),"Gray")</f>
        <v>Gray</v>
      </c>
      <c r="B32" s="8" t="str">
        <f>IFERROR(__xludf.DUMMYFUNCTION("""COMPUTED_VALUE"""),"Shayna")</f>
        <v>Shayna</v>
      </c>
      <c r="C32" s="8" t="str">
        <f>IFERROR(__xludf.DUMMYFUNCTION("""COMPUTED_VALUE"""),"Columbus")</f>
        <v>Columbus</v>
      </c>
      <c r="D32" s="8" t="str">
        <f>IFERROR(__xludf.DUMMYFUNCTION("""COMPUTED_VALUE"""),"OH")</f>
        <v>OH</v>
      </c>
      <c r="E32" s="8" t="str">
        <f>IFERROR(__xludf.DUMMYFUNCTION("""COMPUTED_VALUE"""),"USA")</f>
        <v>USA</v>
      </c>
      <c r="F32" s="8" t="str">
        <f>IFERROR(__xludf.DUMMYFUNCTION("""COMPUTED_VALUE"""),"Womens A Doubles")</f>
        <v>Womens A Doubles</v>
      </c>
      <c r="G32" s="8" t="str">
        <f>IFERROR(__xludf.DUMMYFUNCTION("""COMPUTED_VALUE"""),"2nd")</f>
        <v>2nd</v>
      </c>
      <c r="H32" s="8" t="str">
        <f>IFERROR(__xludf.DUMMYFUNCTION("""COMPUTED_VALUE"""),"BS 33 Finals")</f>
        <v>BS 33 Finals</v>
      </c>
      <c r="I32" s="10">
        <f>IFERROR(__xludf.DUMMYFUNCTION("""COMPUTED_VALUE"""),43252.0)</f>
        <v>43252</v>
      </c>
      <c r="J32" s="10">
        <f>IFERROR(__xludf.DUMMYFUNCTION("""COMPUTED_VALUE"""),44348.0)</f>
        <v>44348</v>
      </c>
      <c r="K32" s="15">
        <f>IFERROR(__xludf.DUMMYFUNCTION("""COMPUTED_VALUE"""),45444.0)</f>
        <v>45444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9" t="str">
        <f>IFERROR(__xludf.DUMMYFUNCTION("""COMPUTED_VALUE"""),"Green")</f>
        <v>Green</v>
      </c>
      <c r="B33" s="8" t="str">
        <f>IFERROR(__xludf.DUMMYFUNCTION("""COMPUTED_VALUE"""),"Samantha")</f>
        <v>Samantha</v>
      </c>
      <c r="C33" s="8" t="str">
        <f>IFERROR(__xludf.DUMMYFUNCTION("""COMPUTED_VALUE"""),"Sycamore")</f>
        <v>Sycamore</v>
      </c>
      <c r="D33" s="8" t="str">
        <f>IFERROR(__xludf.DUMMYFUNCTION("""COMPUTED_VALUE"""),"IL")</f>
        <v>IL</v>
      </c>
      <c r="E33" s="8" t="str">
        <f>IFERROR(__xludf.DUMMYFUNCTION("""COMPUTED_VALUE"""),"USA")</f>
        <v>USA</v>
      </c>
      <c r="F33" s="8" t="str">
        <f>IFERROR(__xludf.DUMMYFUNCTION("""COMPUTED_VALUE"""),"Women A 501 Doubles")</f>
        <v>Women A 501 Doubles</v>
      </c>
      <c r="G33" s="8" t="str">
        <f>IFERROR(__xludf.DUMMYFUNCTION("""COMPUTED_VALUE"""),"4th")</f>
        <v>4th</v>
      </c>
      <c r="H33" s="8" t="str">
        <f>IFERROR(__xludf.DUMMYFUNCTION("""COMPUTED_VALUE"""),"BullShooter 34 Finals")</f>
        <v>BullShooter 34 Finals</v>
      </c>
      <c r="I33" s="10">
        <f>IFERROR(__xludf.DUMMYFUNCTION("""COMPUTED_VALUE"""),43617.0)</f>
        <v>43617</v>
      </c>
      <c r="J33" s="10">
        <f>IFERROR(__xludf.DUMMYFUNCTION("""COMPUTED_VALUE"""),44713.0)</f>
        <v>44713</v>
      </c>
      <c r="K33" s="15">
        <f>IFERROR(__xludf.DUMMYFUNCTION("""COMPUTED_VALUE"""),45809.0)</f>
        <v>45809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9" t="str">
        <f>IFERROR(__xludf.DUMMYFUNCTION("""COMPUTED_VALUE"""),"Grimal")</f>
        <v>Grimal</v>
      </c>
      <c r="B34" s="8" t="str">
        <f>IFERROR(__xludf.DUMMYFUNCTION("""COMPUTED_VALUE"""),"Krissy")</f>
        <v>Krissy</v>
      </c>
      <c r="C34" s="8" t="str">
        <f>IFERROR(__xludf.DUMMYFUNCTION("""COMPUTED_VALUE"""),"Wimauma")</f>
        <v>Wimauma</v>
      </c>
      <c r="D34" s="8" t="str">
        <f>IFERROR(__xludf.DUMMYFUNCTION("""COMPUTED_VALUE"""),"FL")</f>
        <v>FL</v>
      </c>
      <c r="E34" s="8" t="str">
        <f>IFERROR(__xludf.DUMMYFUNCTION("""COMPUTED_VALUE"""),"USA")</f>
        <v>USA</v>
      </c>
      <c r="F34" s="8" t="str">
        <f>IFERROR(__xludf.DUMMYFUNCTION("""COMPUTED_VALUE"""),"TopGun Women A/AA Singles")</f>
        <v>TopGun Women A/AA Singles</v>
      </c>
      <c r="G34" s="8" t="str">
        <f>IFERROR(__xludf.DUMMYFUNCTION("""COMPUTED_VALUE"""),"1st")</f>
        <v>1st</v>
      </c>
      <c r="H34" s="8" t="str">
        <f>IFERROR(__xludf.DUMMYFUNCTION("""COMPUTED_VALUE"""),"BullShooter 34 Finals")</f>
        <v>BullShooter 34 Finals</v>
      </c>
      <c r="I34" s="10">
        <f>IFERROR(__xludf.DUMMYFUNCTION("""COMPUTED_VALUE"""),43617.0)</f>
        <v>43617</v>
      </c>
      <c r="J34" s="10">
        <f>IFERROR(__xludf.DUMMYFUNCTION("""COMPUTED_VALUE"""),44713.0)</f>
        <v>44713</v>
      </c>
      <c r="K34" s="15">
        <f>IFERROR(__xludf.DUMMYFUNCTION("""COMPUTED_VALUE"""),45809.0)</f>
        <v>45809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9" t="str">
        <f>IFERROR(__xludf.DUMMYFUNCTION("""COMPUTED_VALUE"""),"Grzesik")</f>
        <v>Grzesik</v>
      </c>
      <c r="B35" s="8" t="str">
        <f>IFERROR(__xludf.DUMMYFUNCTION("""COMPUTED_VALUE"""),"Trish")</f>
        <v>Trish</v>
      </c>
      <c r="C35" s="8" t="str">
        <f>IFERROR(__xludf.DUMMYFUNCTION("""COMPUTED_VALUE"""),"")</f>
        <v/>
      </c>
      <c r="D35" s="8" t="str">
        <f>IFERROR(__xludf.DUMMYFUNCTION("""COMPUTED_VALUE"""),"")</f>
        <v/>
      </c>
      <c r="E35" s="8" t="str">
        <f>IFERROR(__xludf.DUMMYFUNCTION("""COMPUTED_VALUE"""),"CANADA")</f>
        <v>CANADA</v>
      </c>
      <c r="F35" s="8" t="str">
        <f>IFERROR(__xludf.DUMMYFUNCTION("""COMPUTED_VALUE"""),"Women 301 Doubles")</f>
        <v>Women 301 Doubles</v>
      </c>
      <c r="G35" s="8" t="str">
        <f>IFERROR(__xludf.DUMMYFUNCTION("""COMPUTED_VALUE"""),"2nd")</f>
        <v>2nd</v>
      </c>
      <c r="H35" s="8" t="str">
        <f>IFERROR(__xludf.DUMMYFUNCTION("""COMPUTED_VALUE"""),"New York BS 34")</f>
        <v>New York BS 34</v>
      </c>
      <c r="I35" s="10">
        <f>IFERROR(__xludf.DUMMYFUNCTION("""COMPUTED_VALUE"""),43617.0)</f>
        <v>43617</v>
      </c>
      <c r="J35" s="10">
        <f>IFERROR(__xludf.DUMMYFUNCTION("""COMPUTED_VALUE"""),44348.0)</f>
        <v>44348</v>
      </c>
      <c r="K35" s="15">
        <f>IFERROR(__xludf.DUMMYFUNCTION("""COMPUTED_VALUE"""),45444.0)</f>
        <v>45444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9" t="str">
        <f>IFERROR(__xludf.DUMMYFUNCTION("""COMPUTED_VALUE"""),"Haas")</f>
        <v>Haas</v>
      </c>
      <c r="B36" s="8" t="str">
        <f>IFERROR(__xludf.DUMMYFUNCTION("""COMPUTED_VALUE"""),"Sandy")</f>
        <v>Sandy</v>
      </c>
      <c r="C36" s="8" t="str">
        <f>IFERROR(__xludf.DUMMYFUNCTION("""COMPUTED_VALUE"""),"Harrison")</f>
        <v>Harrison</v>
      </c>
      <c r="D36" s="8" t="str">
        <f>IFERROR(__xludf.DUMMYFUNCTION("""COMPUTED_VALUE"""),"TN")</f>
        <v>TN</v>
      </c>
      <c r="E36" s="8" t="str">
        <f>IFERROR(__xludf.DUMMYFUNCTION("""COMPUTED_VALUE"""),"USA")</f>
        <v>USA</v>
      </c>
      <c r="F36" s="8" t="str">
        <f>IFERROR(__xludf.DUMMYFUNCTION("""COMPUTED_VALUE"""),"ADO 2018")</f>
        <v>ADO 2018</v>
      </c>
      <c r="G36" s="8" t="str">
        <f>IFERROR(__xludf.DUMMYFUNCTION("""COMPUTED_VALUE"""),"10th")</f>
        <v>10th</v>
      </c>
      <c r="H36" s="8" t="str">
        <f>IFERROR(__xludf.DUMMYFUNCTION("""COMPUTED_VALUE"""),"ADO 2018")</f>
        <v>ADO 2018</v>
      </c>
      <c r="I36" s="10">
        <f>IFERROR(__xludf.DUMMYFUNCTION("""COMPUTED_VALUE"""),43132.0)</f>
        <v>43132</v>
      </c>
      <c r="J36" s="10">
        <f>IFERROR(__xludf.DUMMYFUNCTION("""COMPUTED_VALUE"""),44348.0)</f>
        <v>44348</v>
      </c>
      <c r="K36" s="15">
        <f>IFERROR(__xludf.DUMMYFUNCTION("""COMPUTED_VALUE"""),45444.0)</f>
        <v>45444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9" t="str">
        <f>IFERROR(__xludf.DUMMYFUNCTION("""COMPUTED_VALUE"""),"Halbert")</f>
        <v>Halbert</v>
      </c>
      <c r="B37" s="8" t="str">
        <f>IFERROR(__xludf.DUMMYFUNCTION("""COMPUTED_VALUE"""),"Lyndsay")</f>
        <v>Lyndsay</v>
      </c>
      <c r="C37" s="8" t="str">
        <f>IFERROR(__xludf.DUMMYFUNCTION("""COMPUTED_VALUE"""),"Lakeland")</f>
        <v>Lakeland</v>
      </c>
      <c r="D37" s="8" t="str">
        <f>IFERROR(__xludf.DUMMYFUNCTION("""COMPUTED_VALUE"""),"FL")</f>
        <v>FL</v>
      </c>
      <c r="E37" s="8" t="str">
        <f>IFERROR(__xludf.DUMMYFUNCTION("""COMPUTED_VALUE"""),"USA")</f>
        <v>USA</v>
      </c>
      <c r="F37" s="8" t="str">
        <f>IFERROR(__xludf.DUMMYFUNCTION("""COMPUTED_VALUE"""),"Women A/AA Combo Luck")</f>
        <v>Women A/AA Combo Luck</v>
      </c>
      <c r="G37" s="8" t="str">
        <f>IFERROR(__xludf.DUMMYFUNCTION("""COMPUTED_VALUE"""),"4th")</f>
        <v>4th</v>
      </c>
      <c r="H37" s="8" t="str">
        <f>IFERROR(__xludf.DUMMYFUNCTION("""COMPUTED_VALUE"""),"BullShooter 34 Finals")</f>
        <v>BullShooter 34 Finals</v>
      </c>
      <c r="I37" s="10">
        <f>IFERROR(__xludf.DUMMYFUNCTION("""COMPUTED_VALUE"""),43617.0)</f>
        <v>43617</v>
      </c>
      <c r="J37" s="10">
        <f>IFERROR(__xludf.DUMMYFUNCTION("""COMPUTED_VALUE"""),44713.0)</f>
        <v>44713</v>
      </c>
      <c r="K37" s="15">
        <f>IFERROR(__xludf.DUMMYFUNCTION("""COMPUTED_VALUE"""),45809.0)</f>
        <v>45809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9" t="str">
        <f>IFERROR(__xludf.DUMMYFUNCTION("""COMPUTED_VALUE"""),"Hardwick")</f>
        <v>Hardwick</v>
      </c>
      <c r="B38" s="8" t="str">
        <f>IFERROR(__xludf.DUMMYFUNCTION("""COMPUTED_VALUE"""),"Amber")</f>
        <v>Amber</v>
      </c>
      <c r="C38" s="8" t="str">
        <f>IFERROR(__xludf.DUMMYFUNCTION("""COMPUTED_VALUE"""),"Camby")</f>
        <v>Camby</v>
      </c>
      <c r="D38" s="8" t="str">
        <f>IFERROR(__xludf.DUMMYFUNCTION("""COMPUTED_VALUE"""),"IN")</f>
        <v>IN</v>
      </c>
      <c r="E38" s="8" t="str">
        <f>IFERROR(__xludf.DUMMYFUNCTION("""COMPUTED_VALUE"""),"USA")</f>
        <v>USA</v>
      </c>
      <c r="F38" s="8" t="str">
        <f>IFERROR(__xludf.DUMMYFUNCTION("""COMPUTED_VALUE"""),"Womens Doubles")</f>
        <v>Womens Doubles</v>
      </c>
      <c r="G38" s="8" t="str">
        <f>IFERROR(__xludf.DUMMYFUNCTION("""COMPUTED_VALUE"""),"3rd")</f>
        <v>3rd</v>
      </c>
      <c r="H38" s="8" t="str">
        <f>IFERROR(__xludf.DUMMYFUNCTION("""COMPUTED_VALUE"""),"OFF AA IN 20")</f>
        <v>OFF AA IN 20</v>
      </c>
      <c r="I38" s="10">
        <f>IFERROR(__xludf.DUMMYFUNCTION("""COMPUTED_VALUE"""),43252.0)</f>
        <v>43252</v>
      </c>
      <c r="J38" s="10">
        <f>IFERROR(__xludf.DUMMYFUNCTION("""COMPUTED_VALUE"""),44348.0)</f>
        <v>44348</v>
      </c>
      <c r="K38" s="15">
        <f>IFERROR(__xludf.DUMMYFUNCTION("""COMPUTED_VALUE"""),45444.0)</f>
        <v>45444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9" t="str">
        <f>IFERROR(__xludf.DUMMYFUNCTION("""COMPUTED_VALUE"""),"Hastings")</f>
        <v>Hastings</v>
      </c>
      <c r="B39" s="8" t="str">
        <f>IFERROR(__xludf.DUMMYFUNCTION("""COMPUTED_VALUE"""),"Michelle")</f>
        <v>Michelle</v>
      </c>
      <c r="C39" s="8" t="str">
        <f>IFERROR(__xludf.DUMMYFUNCTION("""COMPUTED_VALUE"""),"Dubuque")</f>
        <v>Dubuque</v>
      </c>
      <c r="D39" s="8" t="str">
        <f>IFERROR(__xludf.DUMMYFUNCTION("""COMPUTED_VALUE"""),"IA")</f>
        <v>IA</v>
      </c>
      <c r="E39" s="8" t="str">
        <f>IFERROR(__xludf.DUMMYFUNCTION("""COMPUTED_VALUE"""),"USA")</f>
        <v>USA</v>
      </c>
      <c r="F39" s="8" t="str">
        <f>IFERROR(__xludf.DUMMYFUNCTION("""COMPUTED_VALUE"""),"Women A Cricket Doubles")</f>
        <v>Women A Cricket Doubles</v>
      </c>
      <c r="G39" s="8" t="str">
        <f>IFERROR(__xludf.DUMMYFUNCTION("""COMPUTED_VALUE"""),"3rd")</f>
        <v>3rd</v>
      </c>
      <c r="H39" s="8" t="str">
        <f>IFERROR(__xludf.DUMMYFUNCTION("""COMPUTED_VALUE"""),"BullShooter 34 Finals")</f>
        <v>BullShooter 34 Finals</v>
      </c>
      <c r="I39" s="10">
        <f>IFERROR(__xludf.DUMMYFUNCTION("""COMPUTED_VALUE"""),43617.0)</f>
        <v>43617</v>
      </c>
      <c r="J39" s="10">
        <f>IFERROR(__xludf.DUMMYFUNCTION("""COMPUTED_VALUE"""),44713.0)</f>
        <v>44713</v>
      </c>
      <c r="K39" s="15">
        <f>IFERROR(__xludf.DUMMYFUNCTION("""COMPUTED_VALUE"""),45809.0)</f>
        <v>45809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9" t="str">
        <f>IFERROR(__xludf.DUMMYFUNCTION("""COMPUTED_VALUE"""),"Hastings")</f>
        <v>Hastings</v>
      </c>
      <c r="B40" s="8" t="str">
        <f>IFERROR(__xludf.DUMMYFUNCTION("""COMPUTED_VALUE"""),"Samantha")</f>
        <v>Samantha</v>
      </c>
      <c r="C40" s="8" t="str">
        <f>IFERROR(__xludf.DUMMYFUNCTION("""COMPUTED_VALUE"""),"Dubuque")</f>
        <v>Dubuque</v>
      </c>
      <c r="D40" s="8" t="str">
        <f>IFERROR(__xludf.DUMMYFUNCTION("""COMPUTED_VALUE"""),"IA")</f>
        <v>IA</v>
      </c>
      <c r="E40" s="8" t="str">
        <f>IFERROR(__xludf.DUMMYFUNCTION("""COMPUTED_VALUE"""),"USA")</f>
        <v>USA</v>
      </c>
      <c r="F40" s="8" t="str">
        <f>IFERROR(__xludf.DUMMYFUNCTION("""COMPUTED_VALUE"""),"Women A Cricket Doubles")</f>
        <v>Women A Cricket Doubles</v>
      </c>
      <c r="G40" s="8" t="str">
        <f>IFERROR(__xludf.DUMMYFUNCTION("""COMPUTED_VALUE"""),"3rd")</f>
        <v>3rd</v>
      </c>
      <c r="H40" s="8" t="str">
        <f>IFERROR(__xludf.DUMMYFUNCTION("""COMPUTED_VALUE"""),"BullShooter 34 Finals")</f>
        <v>BullShooter 34 Finals</v>
      </c>
      <c r="I40" s="10">
        <f>IFERROR(__xludf.DUMMYFUNCTION("""COMPUTED_VALUE"""),43617.0)</f>
        <v>43617</v>
      </c>
      <c r="J40" s="10">
        <f>IFERROR(__xludf.DUMMYFUNCTION("""COMPUTED_VALUE"""),44713.0)</f>
        <v>44713</v>
      </c>
      <c r="K40" s="15">
        <f>IFERROR(__xludf.DUMMYFUNCTION("""COMPUTED_VALUE"""),45809.0)</f>
        <v>45809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9" t="str">
        <f>IFERROR(__xludf.DUMMYFUNCTION("""COMPUTED_VALUE"""),"Hayhurst")</f>
        <v>Hayhurst</v>
      </c>
      <c r="B41" s="8" t="str">
        <f>IFERROR(__xludf.DUMMYFUNCTION("""COMPUTED_VALUE"""),"Cindy")</f>
        <v>Cindy</v>
      </c>
      <c r="C41" s="8" t="str">
        <f>IFERROR(__xludf.DUMMYFUNCTION("""COMPUTED_VALUE"""),"")</f>
        <v/>
      </c>
      <c r="D41" s="8" t="str">
        <f>IFERROR(__xludf.DUMMYFUNCTION("""COMPUTED_VALUE"""),"UNK")</f>
        <v>UNK</v>
      </c>
      <c r="E41" s="8" t="str">
        <f>IFERROR(__xludf.DUMMYFUNCTION("""COMPUTED_VALUE"""),"UNK")</f>
        <v>UNK</v>
      </c>
      <c r="F41" s="8" t="str">
        <f>IFERROR(__xludf.DUMMYFUNCTION("""COMPUTED_VALUE"""),"NAPDA 2017")</f>
        <v>NAPDA 2017</v>
      </c>
      <c r="G41" s="8" t="str">
        <f>IFERROR(__xludf.DUMMYFUNCTION("""COMPUTED_VALUE"""),"14TH")</f>
        <v>14TH</v>
      </c>
      <c r="H41" s="8" t="str">
        <f>IFERROR(__xludf.DUMMYFUNCTION("""COMPUTED_VALUE"""),"NAPDA 2017")</f>
        <v>NAPDA 2017</v>
      </c>
      <c r="I41" s="10">
        <f>IFERROR(__xludf.DUMMYFUNCTION("""COMPUTED_VALUE"""),42772.0)</f>
        <v>42772</v>
      </c>
      <c r="J41" s="10">
        <f>IFERROR(__xludf.DUMMYFUNCTION("""COMPUTED_VALUE"""),43983.0)</f>
        <v>43983</v>
      </c>
      <c r="K41" s="15">
        <f>IFERROR(__xludf.DUMMYFUNCTION("""COMPUTED_VALUE"""),45078.0)</f>
        <v>45078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9" t="str">
        <f>IFERROR(__xludf.DUMMYFUNCTION("""COMPUTED_VALUE"""),"Herriott")</f>
        <v>Herriott</v>
      </c>
      <c r="B42" s="8" t="str">
        <f>IFERROR(__xludf.DUMMYFUNCTION("""COMPUTED_VALUE"""),"Carole")</f>
        <v>Carole</v>
      </c>
      <c r="C42" s="8" t="str">
        <f>IFERROR(__xludf.DUMMYFUNCTION("""COMPUTED_VALUE"""),"")</f>
        <v/>
      </c>
      <c r="D42" s="8" t="str">
        <f>IFERROR(__xludf.DUMMYFUNCTION("""COMPUTED_VALUE"""),"UNK")</f>
        <v>UNK</v>
      </c>
      <c r="E42" s="8" t="str">
        <f>IFERROR(__xludf.DUMMYFUNCTION("""COMPUTED_VALUE"""),"USA")</f>
        <v>USA</v>
      </c>
      <c r="F42" s="8" t="str">
        <f>IFERROR(__xludf.DUMMYFUNCTION("""COMPUTED_VALUE"""),"NAPDA 2018")</f>
        <v>NAPDA 2018</v>
      </c>
      <c r="G42" s="8" t="str">
        <f>IFERROR(__xludf.DUMMYFUNCTION("""COMPUTED_VALUE"""),"18th")</f>
        <v>18th</v>
      </c>
      <c r="H42" s="8" t="str">
        <f>IFERROR(__xludf.DUMMYFUNCTION("""COMPUTED_VALUE"""),"NAPDA 2018")</f>
        <v>NAPDA 2018</v>
      </c>
      <c r="I42" s="10">
        <f>IFERROR(__xludf.DUMMYFUNCTION("""COMPUTED_VALUE"""),43132.0)</f>
        <v>43132</v>
      </c>
      <c r="J42" s="10">
        <f>IFERROR(__xludf.DUMMYFUNCTION("""COMPUTED_VALUE"""),44348.0)</f>
        <v>44348</v>
      </c>
      <c r="K42" s="15">
        <f>IFERROR(__xludf.DUMMYFUNCTION("""COMPUTED_VALUE"""),45444.0)</f>
        <v>45444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9" t="str">
        <f>IFERROR(__xludf.DUMMYFUNCTION("""COMPUTED_VALUE"""),"Hudson")</f>
        <v>Hudson</v>
      </c>
      <c r="B43" s="8" t="str">
        <f>IFERROR(__xludf.DUMMYFUNCTION("""COMPUTED_VALUE"""),"Sandy")</f>
        <v>Sandy</v>
      </c>
      <c r="C43" s="8" t="str">
        <f>IFERROR(__xludf.DUMMYFUNCTION("""COMPUTED_VALUE"""),"")</f>
        <v/>
      </c>
      <c r="D43" s="8" t="str">
        <f>IFERROR(__xludf.DUMMYFUNCTION("""COMPUTED_VALUE"""),"UNK")</f>
        <v>UNK</v>
      </c>
      <c r="E43" s="8" t="str">
        <f>IFERROR(__xludf.DUMMYFUNCTION("""COMPUTED_VALUE"""),"USA")</f>
        <v>USA</v>
      </c>
      <c r="F43" s="8" t="str">
        <f>IFERROR(__xludf.DUMMYFUNCTION("""COMPUTED_VALUE"""),"ADO 2018")</f>
        <v>ADO 2018</v>
      </c>
      <c r="G43" s="8" t="str">
        <f>IFERROR(__xludf.DUMMYFUNCTION("""COMPUTED_VALUE"""),"6th")</f>
        <v>6th</v>
      </c>
      <c r="H43" s="8" t="str">
        <f>IFERROR(__xludf.DUMMYFUNCTION("""COMPUTED_VALUE"""),"ADO 2018")</f>
        <v>ADO 2018</v>
      </c>
      <c r="I43" s="10">
        <f>IFERROR(__xludf.DUMMYFUNCTION("""COMPUTED_VALUE"""),43132.0)</f>
        <v>43132</v>
      </c>
      <c r="J43" s="10">
        <f>IFERROR(__xludf.DUMMYFUNCTION("""COMPUTED_VALUE"""),44348.0)</f>
        <v>44348</v>
      </c>
      <c r="K43" s="15">
        <f>IFERROR(__xludf.DUMMYFUNCTION("""COMPUTED_VALUE"""),45444.0)</f>
        <v>45444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12" t="str">
        <f>IFERROR(__xludf.DUMMYFUNCTION("""COMPUTED_VALUE"""),"Ivey")</f>
        <v>Ivey</v>
      </c>
      <c r="B44" s="13" t="str">
        <f>IFERROR(__xludf.DUMMYFUNCTION("""COMPUTED_VALUE"""),"Debra")</f>
        <v>Debra</v>
      </c>
      <c r="C44" s="13" t="str">
        <f>IFERROR(__xludf.DUMMYFUNCTION("""COMPUTED_VALUE"""),"La Vernia")</f>
        <v>La Vernia</v>
      </c>
      <c r="D44" s="13" t="str">
        <f>IFERROR(__xludf.DUMMYFUNCTION("""COMPUTED_VALUE"""),"TX")</f>
        <v>TX</v>
      </c>
      <c r="E44" s="13" t="str">
        <f>IFERROR(__xludf.DUMMYFUNCTION("""COMPUTED_VALUE"""),"USA")</f>
        <v>USA</v>
      </c>
      <c r="F44" s="13" t="str">
        <f>IFERROR(__xludf.DUMMYFUNCTION("""COMPUTED_VALUE"""),"Women AA 501 Doubles")</f>
        <v>Women AA 501 Doubles</v>
      </c>
      <c r="G44" s="13" t="str">
        <f>IFERROR(__xludf.DUMMYFUNCTION("""COMPUTED_VALUE"""),"1st")</f>
        <v>1st</v>
      </c>
      <c r="H44" s="13" t="str">
        <f>IFERROR(__xludf.DUMMYFUNCTION("""COMPUTED_VALUE"""),"BullShooter 34 Finals")</f>
        <v>BullShooter 34 Finals</v>
      </c>
      <c r="I44" s="14">
        <f>IFERROR(__xludf.DUMMYFUNCTION("""COMPUTED_VALUE"""),43617.0)</f>
        <v>43617</v>
      </c>
      <c r="J44" s="14">
        <f>IFERROR(__xludf.DUMMYFUNCTION("""COMPUTED_VALUE"""),44713.0)</f>
        <v>44713</v>
      </c>
      <c r="K44" s="15">
        <f>IFERROR(__xludf.DUMMYFUNCTION("""COMPUTED_VALUE"""),45809.0)</f>
        <v>45809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9" t="str">
        <f>IFERROR(__xludf.DUMMYFUNCTION("""COMPUTED_VALUE"""),"Jalbert")</f>
        <v>Jalbert</v>
      </c>
      <c r="B45" s="8" t="str">
        <f>IFERROR(__xludf.DUMMYFUNCTION("""COMPUTED_VALUE"""),"Melissa")</f>
        <v>Melissa</v>
      </c>
      <c r="C45" s="8" t="str">
        <f>IFERROR(__xludf.DUMMYFUNCTION("""COMPUTED_VALUE"""),"UNK")</f>
        <v>UNK</v>
      </c>
      <c r="D45" s="8" t="str">
        <f>IFERROR(__xludf.DUMMYFUNCTION("""COMPUTED_VALUE"""),"UNK")</f>
        <v>UNK</v>
      </c>
      <c r="E45" s="8" t="str">
        <f>IFERROR(__xludf.DUMMYFUNCTION("""COMPUTED_VALUE"""),"UNK")</f>
        <v>UNK</v>
      </c>
      <c r="F45" s="8" t="str">
        <f>IFERROR(__xludf.DUMMYFUNCTION("""COMPUTED_VALUE"""),"ADO 2018")</f>
        <v>ADO 2018</v>
      </c>
      <c r="G45" s="8" t="str">
        <f>IFERROR(__xludf.DUMMYFUNCTION("""COMPUTED_VALUE"""),"18th")</f>
        <v>18th</v>
      </c>
      <c r="H45" s="8" t="str">
        <f>IFERROR(__xludf.DUMMYFUNCTION("""COMPUTED_VALUE"""),"ADO 2018")</f>
        <v>ADO 2018</v>
      </c>
      <c r="I45" s="10">
        <f>IFERROR(__xludf.DUMMYFUNCTION("""COMPUTED_VALUE"""),43132.0)</f>
        <v>43132</v>
      </c>
      <c r="J45" s="10">
        <f>IFERROR(__xludf.DUMMYFUNCTION("""COMPUTED_VALUE"""),44348.0)</f>
        <v>44348</v>
      </c>
      <c r="K45" s="15">
        <f>IFERROR(__xludf.DUMMYFUNCTION("""COMPUTED_VALUE"""),45444.0)</f>
        <v>45444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9" t="str">
        <f>IFERROR(__xludf.DUMMYFUNCTION("""COMPUTED_VALUE"""),"Johns")</f>
        <v>Johns</v>
      </c>
      <c r="B46" s="8" t="str">
        <f>IFERROR(__xludf.DUMMYFUNCTION("""COMPUTED_VALUE"""),"Alexis")</f>
        <v>Alexis</v>
      </c>
      <c r="C46" s="8" t="str">
        <f>IFERROR(__xludf.DUMMYFUNCTION("""COMPUTED_VALUE"""),"Englewood")</f>
        <v>Englewood</v>
      </c>
      <c r="D46" s="8" t="str">
        <f>IFERROR(__xludf.DUMMYFUNCTION("""COMPUTED_VALUE"""),"OH")</f>
        <v>OH</v>
      </c>
      <c r="E46" s="8" t="str">
        <f>IFERROR(__xludf.DUMMYFUNCTION("""COMPUTED_VALUE"""),"USA")</f>
        <v>USA</v>
      </c>
      <c r="F46" s="8" t="str">
        <f>IFERROR(__xludf.DUMMYFUNCTION("""COMPUTED_VALUE"""),"Womens Singles")</f>
        <v>Womens Singles</v>
      </c>
      <c r="G46" s="8" t="str">
        <f>IFERROR(__xludf.DUMMYFUNCTION("""COMPUTED_VALUE"""),"1st")</f>
        <v>1st</v>
      </c>
      <c r="H46" s="8" t="str">
        <f>IFERROR(__xludf.DUMMYFUNCTION("""COMPUTED_VALUE"""),"OFF AA IN 20")</f>
        <v>OFF AA IN 20</v>
      </c>
      <c r="I46" s="10">
        <f>IFERROR(__xludf.DUMMYFUNCTION("""COMPUTED_VALUE"""),43252.0)</f>
        <v>43252</v>
      </c>
      <c r="J46" s="10">
        <f>IFERROR(__xludf.DUMMYFUNCTION("""COMPUTED_VALUE"""),44348.0)</f>
        <v>44348</v>
      </c>
      <c r="K46" s="15">
        <f>IFERROR(__xludf.DUMMYFUNCTION("""COMPUTED_VALUE"""),45444.0)</f>
        <v>45444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9" t="str">
        <f>IFERROR(__xludf.DUMMYFUNCTION("""COMPUTED_VALUE"""),"Johnson")</f>
        <v>Johnson</v>
      </c>
      <c r="B47" s="8" t="str">
        <f>IFERROR(__xludf.DUMMYFUNCTION("""COMPUTED_VALUE"""),"Janine")</f>
        <v>Janine</v>
      </c>
      <c r="C47" s="8" t="str">
        <f>IFERROR(__xludf.DUMMYFUNCTION("""COMPUTED_VALUE"""),"Chilton")</f>
        <v>Chilton</v>
      </c>
      <c r="D47" s="8" t="str">
        <f>IFERROR(__xludf.DUMMYFUNCTION("""COMPUTED_VALUE"""),"WI")</f>
        <v>WI</v>
      </c>
      <c r="E47" s="8" t="str">
        <f>IFERROR(__xludf.DUMMYFUNCTION("""COMPUTED_VALUE"""),"USA")</f>
        <v>USA</v>
      </c>
      <c r="F47" s="8" t="str">
        <f>IFERROR(__xludf.DUMMYFUNCTION("""COMPUTED_VALUE"""),"Women A 501 Doubles")</f>
        <v>Women A 501 Doubles</v>
      </c>
      <c r="G47" s="8" t="str">
        <f>IFERROR(__xludf.DUMMYFUNCTION("""COMPUTED_VALUE"""),"2nd")</f>
        <v>2nd</v>
      </c>
      <c r="H47" s="8" t="str">
        <f>IFERROR(__xludf.DUMMYFUNCTION("""COMPUTED_VALUE"""),"BullShooter 34 Finals")</f>
        <v>BullShooter 34 Finals</v>
      </c>
      <c r="I47" s="10">
        <f>IFERROR(__xludf.DUMMYFUNCTION("""COMPUTED_VALUE"""),43617.0)</f>
        <v>43617</v>
      </c>
      <c r="J47" s="10">
        <f>IFERROR(__xludf.DUMMYFUNCTION("""COMPUTED_VALUE"""),44713.0)</f>
        <v>44713</v>
      </c>
      <c r="K47" s="15">
        <f>IFERROR(__xludf.DUMMYFUNCTION("""COMPUTED_VALUE"""),45809.0)</f>
        <v>45809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9" t="str">
        <f>IFERROR(__xludf.DUMMYFUNCTION("""COMPUTED_VALUE"""),"Johnson")</f>
        <v>Johnson</v>
      </c>
      <c r="B48" s="8" t="str">
        <f>IFERROR(__xludf.DUMMYFUNCTION("""COMPUTED_VALUE"""),"Susan")</f>
        <v>Susan</v>
      </c>
      <c r="C48" s="8" t="str">
        <f>IFERROR(__xludf.DUMMYFUNCTION("""COMPUTED_VALUE"""),"Hampshire")</f>
        <v>Hampshire</v>
      </c>
      <c r="D48" s="8" t="str">
        <f>IFERROR(__xludf.DUMMYFUNCTION("""COMPUTED_VALUE"""),"IL")</f>
        <v>IL</v>
      </c>
      <c r="E48" s="8" t="str">
        <f>IFERROR(__xludf.DUMMYFUNCTION("""COMPUTED_VALUE"""),"USA")</f>
        <v>USA</v>
      </c>
      <c r="F48" s="8" t="str">
        <f>IFERROR(__xludf.DUMMYFUNCTION("""COMPUTED_VALUE"""),"Women A Cricket Doubles")</f>
        <v>Women A Cricket Doubles</v>
      </c>
      <c r="G48" s="8" t="str">
        <f>IFERROR(__xludf.DUMMYFUNCTION("""COMPUTED_VALUE"""),"2nd")</f>
        <v>2nd</v>
      </c>
      <c r="H48" s="8" t="str">
        <f>IFERROR(__xludf.DUMMYFUNCTION("""COMPUTED_VALUE"""),"BullShooter 34 Finals")</f>
        <v>BullShooter 34 Finals</v>
      </c>
      <c r="I48" s="10">
        <f>IFERROR(__xludf.DUMMYFUNCTION("""COMPUTED_VALUE"""),43617.0)</f>
        <v>43617</v>
      </c>
      <c r="J48" s="10">
        <f>IFERROR(__xludf.DUMMYFUNCTION("""COMPUTED_VALUE"""),44713.0)</f>
        <v>44713</v>
      </c>
      <c r="K48" s="15">
        <f>IFERROR(__xludf.DUMMYFUNCTION("""COMPUTED_VALUE"""),45809.0)</f>
        <v>45809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9" t="str">
        <f>IFERROR(__xludf.DUMMYFUNCTION("""COMPUTED_VALUE"""),"Johnson")</f>
        <v>Johnson</v>
      </c>
      <c r="B49" s="8" t="str">
        <f>IFERROR(__xludf.DUMMYFUNCTION("""COMPUTED_VALUE"""),"Cynthia")</f>
        <v>Cynthia</v>
      </c>
      <c r="C49" s="8" t="str">
        <f>IFERROR(__xludf.DUMMYFUNCTION("""COMPUTED_VALUE"""),"Racine")</f>
        <v>Racine</v>
      </c>
      <c r="D49" s="8" t="str">
        <f>IFERROR(__xludf.DUMMYFUNCTION("""COMPUTED_VALUE"""),"WI")</f>
        <v>WI</v>
      </c>
      <c r="E49" s="8" t="str">
        <f>IFERROR(__xludf.DUMMYFUNCTION("""COMPUTED_VALUE"""),"USA")</f>
        <v>USA</v>
      </c>
      <c r="F49" s="8" t="str">
        <f>IFERROR(__xludf.DUMMYFUNCTION("""COMPUTED_VALUE"""),"Women A Cricket Doubles")</f>
        <v>Women A Cricket Doubles</v>
      </c>
      <c r="G49" s="8" t="str">
        <f>IFERROR(__xludf.DUMMYFUNCTION("""COMPUTED_VALUE"""),"4th")</f>
        <v>4th</v>
      </c>
      <c r="H49" s="8" t="str">
        <f>IFERROR(__xludf.DUMMYFUNCTION("""COMPUTED_VALUE"""),"BullShooter 34 Finals")</f>
        <v>BullShooter 34 Finals</v>
      </c>
      <c r="I49" s="10">
        <f>IFERROR(__xludf.DUMMYFUNCTION("""COMPUTED_VALUE"""),43617.0)</f>
        <v>43617</v>
      </c>
      <c r="J49" s="10">
        <f>IFERROR(__xludf.DUMMYFUNCTION("""COMPUTED_VALUE"""),44713.0)</f>
        <v>44713</v>
      </c>
      <c r="K49" s="15">
        <f>IFERROR(__xludf.DUMMYFUNCTION("""COMPUTED_VALUE"""),45809.0)</f>
        <v>45809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9" t="str">
        <f>IFERROR(__xludf.DUMMYFUNCTION("""COMPUTED_VALUE"""),"Jost")</f>
        <v>Jost</v>
      </c>
      <c r="B50" s="8" t="str">
        <f>IFERROR(__xludf.DUMMYFUNCTION("""COMPUTED_VALUE"""),"Michelle")</f>
        <v>Michelle</v>
      </c>
      <c r="C50" s="8" t="str">
        <f>IFERROR(__xludf.DUMMYFUNCTION("""COMPUTED_VALUE"""),"Evansville")</f>
        <v>Evansville</v>
      </c>
      <c r="D50" s="8" t="str">
        <f>IFERROR(__xludf.DUMMYFUNCTION("""COMPUTED_VALUE"""),"IN")</f>
        <v>IN</v>
      </c>
      <c r="E50" s="8" t="str">
        <f>IFERROR(__xludf.DUMMYFUNCTION("""COMPUTED_VALUE"""),"USA")</f>
        <v>USA</v>
      </c>
      <c r="F50" s="8" t="str">
        <f>IFERROR(__xludf.DUMMYFUNCTION("""COMPUTED_VALUE"""),"TopGun A/AA Mixed Triples")</f>
        <v>TopGun A/AA Mixed Triples</v>
      </c>
      <c r="G50" s="8" t="str">
        <f>IFERROR(__xludf.DUMMYFUNCTION("""COMPUTED_VALUE"""),"3rd")</f>
        <v>3rd</v>
      </c>
      <c r="H50" s="8" t="str">
        <f>IFERROR(__xludf.DUMMYFUNCTION("""COMPUTED_VALUE"""),"BullShooter 34 Finals")</f>
        <v>BullShooter 34 Finals</v>
      </c>
      <c r="I50" s="10">
        <f>IFERROR(__xludf.DUMMYFUNCTION("""COMPUTED_VALUE"""),43617.0)</f>
        <v>43617</v>
      </c>
      <c r="J50" s="10">
        <f>IFERROR(__xludf.DUMMYFUNCTION("""COMPUTED_VALUE"""),44713.0)</f>
        <v>44713</v>
      </c>
      <c r="K50" s="15">
        <f>IFERROR(__xludf.DUMMYFUNCTION("""COMPUTED_VALUE"""),45809.0)</f>
        <v>45809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9" t="str">
        <f>IFERROR(__xludf.DUMMYFUNCTION("""COMPUTED_VALUE"""),"Kasperzick")</f>
        <v>Kasperzick</v>
      </c>
      <c r="B51" s="8" t="str">
        <f>IFERROR(__xludf.DUMMYFUNCTION("""COMPUTED_VALUE"""),"Tammy")</f>
        <v>Tammy</v>
      </c>
      <c r="C51" s="8" t="str">
        <f>IFERROR(__xludf.DUMMYFUNCTION("""COMPUTED_VALUE"""),"Murfreesboro")</f>
        <v>Murfreesboro</v>
      </c>
      <c r="D51" s="8" t="str">
        <f>IFERROR(__xludf.DUMMYFUNCTION("""COMPUTED_VALUE"""),"TN")</f>
        <v>TN</v>
      </c>
      <c r="E51" s="8" t="str">
        <f>IFERROR(__xludf.DUMMYFUNCTION("""COMPUTED_VALUE"""),"USA")</f>
        <v>USA</v>
      </c>
      <c r="F51" s="8" t="str">
        <f>IFERROR(__xludf.DUMMYFUNCTION("""COMPUTED_VALUE"""),"Women 301 Doubles")</f>
        <v>Women 301 Doubles</v>
      </c>
      <c r="G51" s="8" t="str">
        <f>IFERROR(__xludf.DUMMYFUNCTION("""COMPUTED_VALUE"""),"1st")</f>
        <v>1st</v>
      </c>
      <c r="H51" s="8" t="str">
        <f>IFERROR(__xludf.DUMMYFUNCTION("""COMPUTED_VALUE"""),"Tennessee BS 34")</f>
        <v>Tennessee BS 34</v>
      </c>
      <c r="I51" s="10">
        <f>IFERROR(__xludf.DUMMYFUNCTION("""COMPUTED_VALUE"""),43617.0)</f>
        <v>43617</v>
      </c>
      <c r="J51" s="10">
        <f>IFERROR(__xludf.DUMMYFUNCTION("""COMPUTED_VALUE"""),44348.0)</f>
        <v>44348</v>
      </c>
      <c r="K51" s="15">
        <f>IFERROR(__xludf.DUMMYFUNCTION("""COMPUTED_VALUE"""),45444.0)</f>
        <v>45444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9" t="str">
        <f>IFERROR(__xludf.DUMMYFUNCTION("""COMPUTED_VALUE"""),"Kiel")</f>
        <v>Kiel</v>
      </c>
      <c r="B52" s="8" t="str">
        <f>IFERROR(__xludf.DUMMYFUNCTION("""COMPUTED_VALUE"""),"Marlise")</f>
        <v>Marlise</v>
      </c>
      <c r="C52" s="8" t="str">
        <f>IFERROR(__xludf.DUMMYFUNCTION("""COMPUTED_VALUE"""),"Parma")</f>
        <v>Parma</v>
      </c>
      <c r="D52" s="8" t="str">
        <f>IFERROR(__xludf.DUMMYFUNCTION("""COMPUTED_VALUE"""),"OH")</f>
        <v>OH</v>
      </c>
      <c r="E52" s="8" t="str">
        <f>IFERROR(__xludf.DUMMYFUNCTION("""COMPUTED_VALUE"""),"USA")</f>
        <v>USA</v>
      </c>
      <c r="F52" s="8" t="str">
        <f>IFERROR(__xludf.DUMMYFUNCTION("""COMPUTED_VALUE"""),"Women AA 501 Doubles")</f>
        <v>Women AA 501 Doubles</v>
      </c>
      <c r="G52" s="8" t="str">
        <f>IFERROR(__xludf.DUMMYFUNCTION("""COMPUTED_VALUE"""),"1st")</f>
        <v>1st</v>
      </c>
      <c r="H52" s="8" t="str">
        <f>IFERROR(__xludf.DUMMYFUNCTION("""COMPUTED_VALUE"""),"BullShooter 34 Finals")</f>
        <v>BullShooter 34 Finals</v>
      </c>
      <c r="I52" s="10">
        <f>IFERROR(__xludf.DUMMYFUNCTION("""COMPUTED_VALUE"""),43617.0)</f>
        <v>43617</v>
      </c>
      <c r="J52" s="10">
        <f>IFERROR(__xludf.DUMMYFUNCTION("""COMPUTED_VALUE"""),44713.0)</f>
        <v>44713</v>
      </c>
      <c r="K52" s="15">
        <f>IFERROR(__xludf.DUMMYFUNCTION("""COMPUTED_VALUE"""),45809.0)</f>
        <v>45809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9" t="str">
        <f>IFERROR(__xludf.DUMMYFUNCTION("""COMPUTED_VALUE"""),"Kolhoff")</f>
        <v>Kolhoff</v>
      </c>
      <c r="B53" s="8" t="str">
        <f>IFERROR(__xludf.DUMMYFUNCTION("""COMPUTED_VALUE"""),"Nicole")</f>
        <v>Nicole</v>
      </c>
      <c r="C53" s="8" t="str">
        <f>IFERROR(__xludf.DUMMYFUNCTION("""COMPUTED_VALUE"""),"Sioux Falls")</f>
        <v>Sioux Falls</v>
      </c>
      <c r="D53" s="8" t="str">
        <f>IFERROR(__xludf.DUMMYFUNCTION("""COMPUTED_VALUE"""),"SD")</f>
        <v>SD</v>
      </c>
      <c r="E53" s="8" t="str">
        <f>IFERROR(__xludf.DUMMYFUNCTION("""COMPUTED_VALUE"""),"USA")</f>
        <v>USA</v>
      </c>
      <c r="F53" s="8" t="str">
        <f>IFERROR(__xludf.DUMMYFUNCTION("""COMPUTED_VALUE"""),"Women Combo Doubles")</f>
        <v>Women Combo Doubles</v>
      </c>
      <c r="G53" s="8" t="str">
        <f>IFERROR(__xludf.DUMMYFUNCTION("""COMPUTED_VALUE"""),"1st")</f>
        <v>1st</v>
      </c>
      <c r="H53" s="8" t="str">
        <f>IFERROR(__xludf.DUMMYFUNCTION("""COMPUTED_VALUE"""),"Nebraska BS 34")</f>
        <v>Nebraska BS 34</v>
      </c>
      <c r="I53" s="10">
        <f>IFERROR(__xludf.DUMMYFUNCTION("""COMPUTED_VALUE"""),43617.0)</f>
        <v>43617</v>
      </c>
      <c r="J53" s="10">
        <f>IFERROR(__xludf.DUMMYFUNCTION("""COMPUTED_VALUE"""),44348.0)</f>
        <v>44348</v>
      </c>
      <c r="K53" s="15">
        <f>IFERROR(__xludf.DUMMYFUNCTION("""COMPUTED_VALUE"""),45444.0)</f>
        <v>45444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9" t="str">
        <f>IFERROR(__xludf.DUMMYFUNCTION("""COMPUTED_VALUE"""),"Kuchinski")</f>
        <v>Kuchinski</v>
      </c>
      <c r="B54" s="8" t="str">
        <f>IFERROR(__xludf.DUMMYFUNCTION("""COMPUTED_VALUE"""),"Kaylee")</f>
        <v>Kaylee</v>
      </c>
      <c r="C54" s="8" t="str">
        <f>IFERROR(__xludf.DUMMYFUNCTION("""COMPUTED_VALUE"""),"Follansbee")</f>
        <v>Follansbee</v>
      </c>
      <c r="D54" s="8" t="str">
        <f>IFERROR(__xludf.DUMMYFUNCTION("""COMPUTED_VALUE"""),"WV")</f>
        <v>WV</v>
      </c>
      <c r="E54" s="8" t="str">
        <f>IFERROR(__xludf.DUMMYFUNCTION("""COMPUTED_VALUE"""),"USA")</f>
        <v>USA</v>
      </c>
      <c r="F54" s="8" t="str">
        <f>IFERROR(__xludf.DUMMYFUNCTION("""COMPUTED_VALUE"""),"Womens A Doubles")</f>
        <v>Womens A Doubles</v>
      </c>
      <c r="G54" s="8" t="str">
        <f>IFERROR(__xludf.DUMMYFUNCTION("""COMPUTED_VALUE"""),"3rd")</f>
        <v>3rd</v>
      </c>
      <c r="H54" s="8" t="str">
        <f>IFERROR(__xludf.DUMMYFUNCTION("""COMPUTED_VALUE"""),"BS 33 Finals")</f>
        <v>BS 33 Finals</v>
      </c>
      <c r="I54" s="10">
        <f>IFERROR(__xludf.DUMMYFUNCTION("""COMPUTED_VALUE"""),43252.0)</f>
        <v>43252</v>
      </c>
      <c r="J54" s="10">
        <f>IFERROR(__xludf.DUMMYFUNCTION("""COMPUTED_VALUE"""),44348.0)</f>
        <v>44348</v>
      </c>
      <c r="K54" s="15">
        <f>IFERROR(__xludf.DUMMYFUNCTION("""COMPUTED_VALUE"""),45444.0)</f>
        <v>45444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9" t="str">
        <f>IFERROR(__xludf.DUMMYFUNCTION("""COMPUTED_VALUE"""),"Leahy")</f>
        <v>Leahy</v>
      </c>
      <c r="B55" s="8" t="str">
        <f>IFERROR(__xludf.DUMMYFUNCTION("""COMPUTED_VALUE"""),"June")</f>
        <v>June</v>
      </c>
      <c r="C55" s="8" t="str">
        <f>IFERROR(__xludf.DUMMYFUNCTION("""COMPUTED_VALUE"""),"Palatine")</f>
        <v>Palatine</v>
      </c>
      <c r="D55" s="8" t="str">
        <f>IFERROR(__xludf.DUMMYFUNCTION("""COMPUTED_VALUE"""),"IL")</f>
        <v>IL</v>
      </c>
      <c r="E55" s="8" t="str">
        <f>IFERROR(__xludf.DUMMYFUNCTION("""COMPUTED_VALUE"""),"USA")</f>
        <v>USA</v>
      </c>
      <c r="F55" s="8" t="str">
        <f>IFERROR(__xludf.DUMMYFUNCTION("""COMPUTED_VALUE"""),"Womens A Doubles")</f>
        <v>Womens A Doubles</v>
      </c>
      <c r="G55" s="8" t="str">
        <f>IFERROR(__xludf.DUMMYFUNCTION("""COMPUTED_VALUE"""),"4th")</f>
        <v>4th</v>
      </c>
      <c r="H55" s="8" t="str">
        <f>IFERROR(__xludf.DUMMYFUNCTION("""COMPUTED_VALUE"""),"BullShooter 32")</f>
        <v>BullShooter 32</v>
      </c>
      <c r="I55" s="10">
        <f>IFERROR(__xludf.DUMMYFUNCTION("""COMPUTED_VALUE"""),42887.0)</f>
        <v>42887</v>
      </c>
      <c r="J55" s="10">
        <f>IFERROR(__xludf.DUMMYFUNCTION("""COMPUTED_VALUE"""),43983.0)</f>
        <v>43983</v>
      </c>
      <c r="K55" s="15">
        <f>IFERROR(__xludf.DUMMYFUNCTION("""COMPUTED_VALUE"""),45078.0)</f>
        <v>45078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9" t="str">
        <f>IFERROR(__xludf.DUMMYFUNCTION("""COMPUTED_VALUE"""),"LeDell")</f>
        <v>LeDell</v>
      </c>
      <c r="B56" s="8" t="str">
        <f>IFERROR(__xludf.DUMMYFUNCTION("""COMPUTED_VALUE"""),"Nicole")</f>
        <v>Nicole</v>
      </c>
      <c r="C56" s="8" t="str">
        <f>IFERROR(__xludf.DUMMYFUNCTION("""COMPUTED_VALUE"""),"Duluth")</f>
        <v>Duluth</v>
      </c>
      <c r="D56" s="8" t="str">
        <f>IFERROR(__xludf.DUMMYFUNCTION("""COMPUTED_VALUE"""),"MN")</f>
        <v>MN</v>
      </c>
      <c r="E56" s="8" t="str">
        <f>IFERROR(__xludf.DUMMYFUNCTION("""COMPUTED_VALUE"""),"USA")</f>
        <v>USA</v>
      </c>
      <c r="F56" s="8" t="str">
        <f>IFERROR(__xludf.DUMMYFUNCTION("""COMPUTED_VALUE"""),"Pro A/AA Mixed Cricket")</f>
        <v>Pro A/AA Mixed Cricket</v>
      </c>
      <c r="G56" s="8" t="str">
        <f>IFERROR(__xludf.DUMMYFUNCTION("""COMPUTED_VALUE"""),"4th")</f>
        <v>4th</v>
      </c>
      <c r="H56" s="8" t="str">
        <f>IFERROR(__xludf.DUMMYFUNCTION("""COMPUTED_VALUE"""),"BullShooter 34 Finals")</f>
        <v>BullShooter 34 Finals</v>
      </c>
      <c r="I56" s="10">
        <f>IFERROR(__xludf.DUMMYFUNCTION("""COMPUTED_VALUE"""),43617.0)</f>
        <v>43617</v>
      </c>
      <c r="J56" s="10">
        <f>IFERROR(__xludf.DUMMYFUNCTION("""COMPUTED_VALUE"""),44713.0)</f>
        <v>44713</v>
      </c>
      <c r="K56" s="15">
        <f>IFERROR(__xludf.DUMMYFUNCTION("""COMPUTED_VALUE"""),45809.0)</f>
        <v>45809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9" t="str">
        <f>IFERROR(__xludf.DUMMYFUNCTION("""COMPUTED_VALUE"""),"Lehmkuhl")</f>
        <v>Lehmkuhl</v>
      </c>
      <c r="B57" s="8" t="str">
        <f>IFERROR(__xludf.DUMMYFUNCTION("""COMPUTED_VALUE"""),"Brandi")</f>
        <v>Brandi</v>
      </c>
      <c r="C57" s="8" t="str">
        <f>IFERROR(__xludf.DUMMYFUNCTION("""COMPUTED_VALUE"""),"Norwood")</f>
        <v>Norwood</v>
      </c>
      <c r="D57" s="8" t="str">
        <f>IFERROR(__xludf.DUMMYFUNCTION("""COMPUTED_VALUE"""),"OH")</f>
        <v>OH</v>
      </c>
      <c r="E57" s="8" t="str">
        <f>IFERROR(__xludf.DUMMYFUNCTION("""COMPUTED_VALUE"""),"USA")</f>
        <v>USA</v>
      </c>
      <c r="F57" s="8" t="str">
        <f>IFERROR(__xludf.DUMMYFUNCTION("""COMPUTED_VALUE"""),"Women Combo Singles")</f>
        <v>Women Combo Singles</v>
      </c>
      <c r="G57" s="8" t="str">
        <f>IFERROR(__xludf.DUMMYFUNCTION("""COMPUTED_VALUE"""),"2nd")</f>
        <v>2nd</v>
      </c>
      <c r="H57" s="8" t="str">
        <f>IFERROR(__xludf.DUMMYFUNCTION("""COMPUTED_VALUE"""),"Ohio BS 34")</f>
        <v>Ohio BS 34</v>
      </c>
      <c r="I57" s="10">
        <f>IFERROR(__xludf.DUMMYFUNCTION("""COMPUTED_VALUE"""),43617.0)</f>
        <v>43617</v>
      </c>
      <c r="J57" s="10">
        <f>IFERROR(__xludf.DUMMYFUNCTION("""COMPUTED_VALUE"""),44348.0)</f>
        <v>44348</v>
      </c>
      <c r="K57" s="15">
        <f>IFERROR(__xludf.DUMMYFUNCTION("""COMPUTED_VALUE"""),45444.0)</f>
        <v>45444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9" t="str">
        <f>IFERROR(__xludf.DUMMYFUNCTION("""COMPUTED_VALUE"""),"Lewison")</f>
        <v>Lewison</v>
      </c>
      <c r="B58" s="8" t="str">
        <f>IFERROR(__xludf.DUMMYFUNCTION("""COMPUTED_VALUE"""),"Kayla")</f>
        <v>Kayla</v>
      </c>
      <c r="C58" s="8" t="str">
        <f>IFERROR(__xludf.DUMMYFUNCTION("""COMPUTED_VALUE"""),"Janesville")</f>
        <v>Janesville</v>
      </c>
      <c r="D58" s="8" t="str">
        <f>IFERROR(__xludf.DUMMYFUNCTION("""COMPUTED_VALUE"""),"WI")</f>
        <v>WI</v>
      </c>
      <c r="E58" s="8" t="str">
        <f>IFERROR(__xludf.DUMMYFUNCTION("""COMPUTED_VALUE"""),"USA")</f>
        <v>USA</v>
      </c>
      <c r="F58" s="8" t="str">
        <f>IFERROR(__xludf.DUMMYFUNCTION("""COMPUTED_VALUE"""),"Womens A/AA Luck")</f>
        <v>Womens A/AA Luck</v>
      </c>
      <c r="G58" s="8" t="str">
        <f>IFERROR(__xludf.DUMMYFUNCTION("""COMPUTED_VALUE"""),"1st")</f>
        <v>1st</v>
      </c>
      <c r="H58" s="8" t="str">
        <f>IFERROR(__xludf.DUMMYFUNCTION("""COMPUTED_VALUE"""),"BS 33 Finals")</f>
        <v>BS 33 Finals</v>
      </c>
      <c r="I58" s="10">
        <f>IFERROR(__xludf.DUMMYFUNCTION("""COMPUTED_VALUE"""),43252.0)</f>
        <v>43252</v>
      </c>
      <c r="J58" s="10">
        <f>IFERROR(__xludf.DUMMYFUNCTION("""COMPUTED_VALUE"""),44348.0)</f>
        <v>44348</v>
      </c>
      <c r="K58" s="15">
        <f>IFERROR(__xludf.DUMMYFUNCTION("""COMPUTED_VALUE"""),45444.0)</f>
        <v>45444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9" t="str">
        <f>IFERROR(__xludf.DUMMYFUNCTION("""COMPUTED_VALUE"""),"Loucks")</f>
        <v>Loucks</v>
      </c>
      <c r="B59" s="8" t="str">
        <f>IFERROR(__xludf.DUMMYFUNCTION("""COMPUTED_VALUE"""),"Tina")</f>
        <v>Tina</v>
      </c>
      <c r="C59" s="8" t="str">
        <f>IFERROR(__xludf.DUMMYFUNCTION("""COMPUTED_VALUE"""),"Middlebury")</f>
        <v>Middlebury</v>
      </c>
      <c r="D59" s="8" t="str">
        <f>IFERROR(__xludf.DUMMYFUNCTION("""COMPUTED_VALUE"""),"IN")</f>
        <v>IN</v>
      </c>
      <c r="E59" s="8" t="str">
        <f>IFERROR(__xludf.DUMMYFUNCTION("""COMPUTED_VALUE"""),"USA")</f>
        <v>USA</v>
      </c>
      <c r="F59" s="8" t="str">
        <f>IFERROR(__xludf.DUMMYFUNCTION("""COMPUTED_VALUE"""),"Womens A/AA Luck")</f>
        <v>Womens A/AA Luck</v>
      </c>
      <c r="G59" s="8" t="str">
        <f>IFERROR(__xludf.DUMMYFUNCTION("""COMPUTED_VALUE"""),"2nd")</f>
        <v>2nd</v>
      </c>
      <c r="H59" s="8" t="str">
        <f>IFERROR(__xludf.DUMMYFUNCTION("""COMPUTED_VALUE"""),"BS 33 Finals")</f>
        <v>BS 33 Finals</v>
      </c>
      <c r="I59" s="10">
        <f>IFERROR(__xludf.DUMMYFUNCTION("""COMPUTED_VALUE"""),43252.0)</f>
        <v>43252</v>
      </c>
      <c r="J59" s="10">
        <f>IFERROR(__xludf.DUMMYFUNCTION("""COMPUTED_VALUE"""),44348.0)</f>
        <v>44348</v>
      </c>
      <c r="K59" s="15">
        <f>IFERROR(__xludf.DUMMYFUNCTION("""COMPUTED_VALUE"""),45444.0)</f>
        <v>45444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9" t="str">
        <f>IFERROR(__xludf.DUMMYFUNCTION("""COMPUTED_VALUE"""),"Luna")</f>
        <v>Luna</v>
      </c>
      <c r="B60" s="8" t="str">
        <f>IFERROR(__xludf.DUMMYFUNCTION("""COMPUTED_VALUE"""),"Laurie")</f>
        <v>Laurie</v>
      </c>
      <c r="C60" s="8" t="str">
        <f>IFERROR(__xludf.DUMMYFUNCTION("""COMPUTED_VALUE"""),"La Porte")</f>
        <v>La Porte</v>
      </c>
      <c r="D60" s="8" t="str">
        <f>IFERROR(__xludf.DUMMYFUNCTION("""COMPUTED_VALUE"""),"TX")</f>
        <v>TX</v>
      </c>
      <c r="E60" s="8" t="str">
        <f>IFERROR(__xludf.DUMMYFUNCTION("""COMPUTED_VALUE"""),"USA")</f>
        <v>USA</v>
      </c>
      <c r="F60" s="8" t="str">
        <f>IFERROR(__xludf.DUMMYFUNCTION("""COMPUTED_VALUE"""),"Women 301 Doubles")</f>
        <v>Women 301 Doubles</v>
      </c>
      <c r="G60" s="8" t="str">
        <f>IFERROR(__xludf.DUMMYFUNCTION("""COMPUTED_VALUE"""),"3rd")</f>
        <v>3rd</v>
      </c>
      <c r="H60" s="8" t="str">
        <f>IFERROR(__xludf.DUMMYFUNCTION("""COMPUTED_VALUE"""),"Texas BS 34")</f>
        <v>Texas BS 34</v>
      </c>
      <c r="I60" s="10">
        <f>IFERROR(__xludf.DUMMYFUNCTION("""COMPUTED_VALUE"""),43617.0)</f>
        <v>43617</v>
      </c>
      <c r="J60" s="10">
        <f>IFERROR(__xludf.DUMMYFUNCTION("""COMPUTED_VALUE"""),44348.0)</f>
        <v>44348</v>
      </c>
      <c r="K60" s="15">
        <f>IFERROR(__xludf.DUMMYFUNCTION("""COMPUTED_VALUE"""),45444.0)</f>
        <v>45444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9" t="str">
        <f>IFERROR(__xludf.DUMMYFUNCTION("""COMPUTED_VALUE"""),"Lyzak")</f>
        <v>Lyzak</v>
      </c>
      <c r="B61" s="8" t="str">
        <f>IFERROR(__xludf.DUMMYFUNCTION("""COMPUTED_VALUE"""),"Jennifer")</f>
        <v>Jennifer</v>
      </c>
      <c r="C61" s="8" t="str">
        <f>IFERROR(__xludf.DUMMYFUNCTION("""COMPUTED_VALUE"""),"Ventura")</f>
        <v>Ventura</v>
      </c>
      <c r="D61" s="8" t="str">
        <f>IFERROR(__xludf.DUMMYFUNCTION("""COMPUTED_VALUE"""),"CA")</f>
        <v>CA</v>
      </c>
      <c r="E61" s="8" t="str">
        <f>IFERROR(__xludf.DUMMYFUNCTION("""COMPUTED_VALUE"""),"USA")</f>
        <v>USA</v>
      </c>
      <c r="F61" s="8" t="str">
        <f>IFERROR(__xludf.DUMMYFUNCTION("""COMPUTED_VALUE"""),"ADO 2018")</f>
        <v>ADO 2018</v>
      </c>
      <c r="G61" s="8" t="str">
        <f>IFERROR(__xludf.DUMMYFUNCTION("""COMPUTED_VALUE"""),"23rd")</f>
        <v>23rd</v>
      </c>
      <c r="H61" s="8" t="str">
        <f>IFERROR(__xludf.DUMMYFUNCTION("""COMPUTED_VALUE"""),"ADO 2018")</f>
        <v>ADO 2018</v>
      </c>
      <c r="I61" s="10">
        <f>IFERROR(__xludf.DUMMYFUNCTION("""COMPUTED_VALUE"""),43132.0)</f>
        <v>43132</v>
      </c>
      <c r="J61" s="10">
        <f>IFERROR(__xludf.DUMMYFUNCTION("""COMPUTED_VALUE"""),44348.0)</f>
        <v>44348</v>
      </c>
      <c r="K61" s="15">
        <f>IFERROR(__xludf.DUMMYFUNCTION("""COMPUTED_VALUE"""),45444.0)</f>
        <v>45444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9" t="str">
        <f>IFERROR(__xludf.DUMMYFUNCTION("""COMPUTED_VALUE"""),"Lyzak")</f>
        <v>Lyzak</v>
      </c>
      <c r="B62" s="8" t="str">
        <f>IFERROR(__xludf.DUMMYFUNCTION("""COMPUTED_VALUE"""),"Laine")</f>
        <v>Laine</v>
      </c>
      <c r="C62" s="8" t="str">
        <f>IFERROR(__xludf.DUMMYFUNCTION("""COMPUTED_VALUE"""),"UNK")</f>
        <v>UNK</v>
      </c>
      <c r="D62" s="8" t="str">
        <f>IFERROR(__xludf.DUMMYFUNCTION("""COMPUTED_VALUE"""),"UNK")</f>
        <v>UNK</v>
      </c>
      <c r="E62" s="8" t="str">
        <f>IFERROR(__xludf.DUMMYFUNCTION("""COMPUTED_VALUE"""),"USA")</f>
        <v>USA</v>
      </c>
      <c r="F62" s="8" t="str">
        <f>IFERROR(__xludf.DUMMYFUNCTION("""COMPUTED_VALUE"""),"ADO 2018")</f>
        <v>ADO 2018</v>
      </c>
      <c r="G62" s="8" t="str">
        <f>IFERROR(__xludf.DUMMYFUNCTION("""COMPUTED_VALUE"""),"20th")</f>
        <v>20th</v>
      </c>
      <c r="H62" s="8" t="str">
        <f>IFERROR(__xludf.DUMMYFUNCTION("""COMPUTED_VALUE"""),"ADO 2018")</f>
        <v>ADO 2018</v>
      </c>
      <c r="I62" s="10">
        <f>IFERROR(__xludf.DUMMYFUNCTION("""COMPUTED_VALUE"""),43132.0)</f>
        <v>43132</v>
      </c>
      <c r="J62" s="10">
        <f>IFERROR(__xludf.DUMMYFUNCTION("""COMPUTED_VALUE"""),44348.0)</f>
        <v>44348</v>
      </c>
      <c r="K62" s="15">
        <f>IFERROR(__xludf.DUMMYFUNCTION("""COMPUTED_VALUE"""),45444.0)</f>
        <v>45444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9" t="str">
        <f>IFERROR(__xludf.DUMMYFUNCTION("""COMPUTED_VALUE"""),"MacConnell")</f>
        <v>MacConnell</v>
      </c>
      <c r="B63" s="8" t="str">
        <f>IFERROR(__xludf.DUMMYFUNCTION("""COMPUTED_VALUE"""),"Kathleen")</f>
        <v>Kathleen</v>
      </c>
      <c r="C63" s="8" t="str">
        <f>IFERROR(__xludf.DUMMYFUNCTION("""COMPUTED_VALUE"""),"Winter Haven")</f>
        <v>Winter Haven</v>
      </c>
      <c r="D63" s="8" t="str">
        <f>IFERROR(__xludf.DUMMYFUNCTION("""COMPUTED_VALUE"""),"FL")</f>
        <v>FL</v>
      </c>
      <c r="E63" s="8" t="str">
        <f>IFERROR(__xludf.DUMMYFUNCTION("""COMPUTED_VALUE"""),"USA")</f>
        <v>USA</v>
      </c>
      <c r="F63" s="8" t="str">
        <f>IFERROR(__xludf.DUMMYFUNCTION("""COMPUTED_VALUE"""),"Top Gun A/AA Triples")</f>
        <v>Top Gun A/AA Triples</v>
      </c>
      <c r="G63" s="8" t="str">
        <f>IFERROR(__xludf.DUMMYFUNCTION("""COMPUTED_VALUE"""),"3rd/4th")</f>
        <v>3rd/4th</v>
      </c>
      <c r="H63" s="8" t="str">
        <f>IFERROR(__xludf.DUMMYFUNCTION("""COMPUTED_VALUE"""),"BullShooter 32")</f>
        <v>BullShooter 32</v>
      </c>
      <c r="I63" s="10">
        <f>IFERROR(__xludf.DUMMYFUNCTION("""COMPUTED_VALUE"""),42887.0)</f>
        <v>42887</v>
      </c>
      <c r="J63" s="10">
        <f>IFERROR(__xludf.DUMMYFUNCTION("""COMPUTED_VALUE"""),43983.0)</f>
        <v>43983</v>
      </c>
      <c r="K63" s="15">
        <f>IFERROR(__xludf.DUMMYFUNCTION("""COMPUTED_VALUE"""),45078.0)</f>
        <v>45078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9" t="str">
        <f>IFERROR(__xludf.DUMMYFUNCTION("""COMPUTED_VALUE"""),"Martinez Olcina")</f>
        <v>Martinez Olcina</v>
      </c>
      <c r="B64" s="8" t="str">
        <f>IFERROR(__xludf.DUMMYFUNCTION("""COMPUTED_VALUE"""),"Mila")</f>
        <v>Mila</v>
      </c>
      <c r="C64" s="8" t="str">
        <f>IFERROR(__xludf.DUMMYFUNCTION("""COMPUTED_VALUE"""),"Spain")</f>
        <v>Spain</v>
      </c>
      <c r="D64" s="8" t="str">
        <f>IFERROR(__xludf.DUMMYFUNCTION("""COMPUTED_VALUE"""),"UNK")</f>
        <v>UNK</v>
      </c>
      <c r="E64" s="8" t="str">
        <f>IFERROR(__xludf.DUMMYFUNCTION("""COMPUTED_VALUE"""),"Spain")</f>
        <v>Spain</v>
      </c>
      <c r="F64" s="8" t="str">
        <f>IFERROR(__xludf.DUMMYFUNCTION("""COMPUTED_VALUE"""),"Womens A Cricket Sgls")</f>
        <v>Womens A Cricket Sgls</v>
      </c>
      <c r="G64" s="8" t="str">
        <f>IFERROR(__xludf.DUMMYFUNCTION("""COMPUTED_VALUE"""),"1st")</f>
        <v>1st</v>
      </c>
      <c r="H64" s="8" t="str">
        <f>IFERROR(__xludf.DUMMYFUNCTION("""COMPUTED_VALUE"""),"Euro BullShooter XXV")</f>
        <v>Euro BullShooter XXV</v>
      </c>
      <c r="I64" s="10">
        <f>IFERROR(__xludf.DUMMYFUNCTION("""COMPUTED_VALUE"""),42828.0)</f>
        <v>42828</v>
      </c>
      <c r="J64" s="10">
        <f>IFERROR(__xludf.DUMMYFUNCTION("""COMPUTED_VALUE"""),43983.0)</f>
        <v>43983</v>
      </c>
      <c r="K64" s="15">
        <f>IFERROR(__xludf.DUMMYFUNCTION("""COMPUTED_VALUE"""),45078.0)</f>
        <v>45078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9" t="str">
        <f>IFERROR(__xludf.DUMMYFUNCTION("""COMPUTED_VALUE"""),"Mason")</f>
        <v>Mason</v>
      </c>
      <c r="B65" s="8" t="str">
        <f>IFERROR(__xludf.DUMMYFUNCTION("""COMPUTED_VALUE"""),"Maria")</f>
        <v>Maria</v>
      </c>
      <c r="C65" s="8" t="str">
        <f>IFERROR(__xludf.DUMMYFUNCTION("""COMPUTED_VALUE"""),"")</f>
        <v/>
      </c>
      <c r="D65" s="8" t="str">
        <f>IFERROR(__xludf.DUMMYFUNCTION("""COMPUTED_VALUE"""),"UNK")</f>
        <v>UNK</v>
      </c>
      <c r="E65" s="8" t="str">
        <f>IFERROR(__xludf.DUMMYFUNCTION("""COMPUTED_VALUE"""),"CAN")</f>
        <v>CAN</v>
      </c>
      <c r="F65" s="8" t="str">
        <f>IFERROR(__xludf.DUMMYFUNCTION("""COMPUTED_VALUE"""),"NAPDA 2018")</f>
        <v>NAPDA 2018</v>
      </c>
      <c r="G65" s="8" t="str">
        <f>IFERROR(__xludf.DUMMYFUNCTION("""COMPUTED_VALUE"""),"12th")</f>
        <v>12th</v>
      </c>
      <c r="H65" s="8" t="str">
        <f>IFERROR(__xludf.DUMMYFUNCTION("""COMPUTED_VALUE"""),"NAPDA 2018")</f>
        <v>NAPDA 2018</v>
      </c>
      <c r="I65" s="10">
        <f>IFERROR(__xludf.DUMMYFUNCTION("""COMPUTED_VALUE"""),43132.0)</f>
        <v>43132</v>
      </c>
      <c r="J65" s="10">
        <f>IFERROR(__xludf.DUMMYFUNCTION("""COMPUTED_VALUE"""),44348.0)</f>
        <v>44348</v>
      </c>
      <c r="K65" s="15">
        <f>IFERROR(__xludf.DUMMYFUNCTION("""COMPUTED_VALUE"""),45444.0)</f>
        <v>45444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9" t="str">
        <f>IFERROR(__xludf.DUMMYFUNCTION("""COMPUTED_VALUE"""),"McCormack")</f>
        <v>McCormack</v>
      </c>
      <c r="B66" s="8" t="str">
        <f>IFERROR(__xludf.DUMMYFUNCTION("""COMPUTED_VALUE"""),"Morgan")</f>
        <v>Morgan</v>
      </c>
      <c r="C66" s="8" t="str">
        <f>IFERROR(__xludf.DUMMYFUNCTION("""COMPUTED_VALUE"""),"")</f>
        <v/>
      </c>
      <c r="D66" s="8" t="str">
        <f>IFERROR(__xludf.DUMMYFUNCTION("""COMPUTED_VALUE"""),"UNK")</f>
        <v>UNK</v>
      </c>
      <c r="E66" s="8" t="str">
        <f>IFERROR(__xludf.DUMMYFUNCTION("""COMPUTED_VALUE"""),"UNK")</f>
        <v>UNK</v>
      </c>
      <c r="F66" s="8" t="str">
        <f>IFERROR(__xludf.DUMMYFUNCTION("""COMPUTED_VALUE"""),"NAPDA 2017")</f>
        <v>NAPDA 2017</v>
      </c>
      <c r="G66" s="8" t="str">
        <f>IFERROR(__xludf.DUMMYFUNCTION("""COMPUTED_VALUE"""),"21ST")</f>
        <v>21ST</v>
      </c>
      <c r="H66" s="8" t="str">
        <f>IFERROR(__xludf.DUMMYFUNCTION("""COMPUTED_VALUE"""),"NAPDA 2017")</f>
        <v>NAPDA 2017</v>
      </c>
      <c r="I66" s="10">
        <f>IFERROR(__xludf.DUMMYFUNCTION("""COMPUTED_VALUE"""),42772.0)</f>
        <v>42772</v>
      </c>
      <c r="J66" s="10">
        <f>IFERROR(__xludf.DUMMYFUNCTION("""COMPUTED_VALUE"""),43983.0)</f>
        <v>43983</v>
      </c>
      <c r="K66" s="15">
        <f>IFERROR(__xludf.DUMMYFUNCTION("""COMPUTED_VALUE"""),45078.0)</f>
        <v>45078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9" t="str">
        <f>IFERROR(__xludf.DUMMYFUNCTION("""COMPUTED_VALUE"""),"McHugh")</f>
        <v>McHugh</v>
      </c>
      <c r="B67" s="8" t="str">
        <f>IFERROR(__xludf.DUMMYFUNCTION("""COMPUTED_VALUE"""),"Marie")</f>
        <v>Marie</v>
      </c>
      <c r="C67" s="8" t="str">
        <f>IFERROR(__xludf.DUMMYFUNCTION("""COMPUTED_VALUE"""),"")</f>
        <v/>
      </c>
      <c r="D67" s="8" t="str">
        <f>IFERROR(__xludf.DUMMYFUNCTION("""COMPUTED_VALUE"""),"UNK")</f>
        <v>UNK</v>
      </c>
      <c r="E67" s="8" t="str">
        <f>IFERROR(__xludf.DUMMYFUNCTION("""COMPUTED_VALUE"""),"UNK")</f>
        <v>UNK</v>
      </c>
      <c r="F67" s="8" t="str">
        <f>IFERROR(__xludf.DUMMYFUNCTION("""COMPUTED_VALUE"""),"ADO 2018")</f>
        <v>ADO 2018</v>
      </c>
      <c r="G67" s="8" t="str">
        <f>IFERROR(__xludf.DUMMYFUNCTION("""COMPUTED_VALUE"""),"25th")</f>
        <v>25th</v>
      </c>
      <c r="H67" s="8" t="str">
        <f>IFERROR(__xludf.DUMMYFUNCTION("""COMPUTED_VALUE"""),"ADO 2018")</f>
        <v>ADO 2018</v>
      </c>
      <c r="I67" s="10">
        <f>IFERROR(__xludf.DUMMYFUNCTION("""COMPUTED_VALUE"""),43132.0)</f>
        <v>43132</v>
      </c>
      <c r="J67" s="10">
        <f>IFERROR(__xludf.DUMMYFUNCTION("""COMPUTED_VALUE"""),44348.0)</f>
        <v>44348</v>
      </c>
      <c r="K67" s="15">
        <f>IFERROR(__xludf.DUMMYFUNCTION("""COMPUTED_VALUE"""),45444.0)</f>
        <v>45444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9" t="str">
        <f>IFERROR(__xludf.DUMMYFUNCTION("""COMPUTED_VALUE"""),"Meares")</f>
        <v>Meares</v>
      </c>
      <c r="B68" s="8" t="str">
        <f>IFERROR(__xludf.DUMMYFUNCTION("""COMPUTED_VALUE"""),"Kelly")</f>
        <v>Kelly</v>
      </c>
      <c r="C68" s="8" t="str">
        <f>IFERROR(__xludf.DUMMYFUNCTION("""COMPUTED_VALUE"""),"Sarasota")</f>
        <v>Sarasota</v>
      </c>
      <c r="D68" s="8" t="str">
        <f>IFERROR(__xludf.DUMMYFUNCTION("""COMPUTED_VALUE"""),"FL")</f>
        <v>FL</v>
      </c>
      <c r="E68" s="8" t="str">
        <f>IFERROR(__xludf.DUMMYFUNCTION("""COMPUTED_VALUE"""),"USA")</f>
        <v>USA</v>
      </c>
      <c r="F68" s="8" t="str">
        <f>IFERROR(__xludf.DUMMYFUNCTION("""COMPUTED_VALUE"""),"Women Combo Singles")</f>
        <v>Women Combo Singles</v>
      </c>
      <c r="G68" s="8" t="str">
        <f>IFERROR(__xludf.DUMMYFUNCTION("""COMPUTED_VALUE"""),"2nd")</f>
        <v>2nd</v>
      </c>
      <c r="H68" s="8" t="str">
        <f>IFERROR(__xludf.DUMMYFUNCTION("""COMPUTED_VALUE"""),"Pennsylvania BS 34")</f>
        <v>Pennsylvania BS 34</v>
      </c>
      <c r="I68" s="10">
        <f>IFERROR(__xludf.DUMMYFUNCTION("""COMPUTED_VALUE"""),43617.0)</f>
        <v>43617</v>
      </c>
      <c r="J68" s="10">
        <f>IFERROR(__xludf.DUMMYFUNCTION("""COMPUTED_VALUE"""),44713.0)</f>
        <v>44713</v>
      </c>
      <c r="K68" s="15">
        <f>IFERROR(__xludf.DUMMYFUNCTION("""COMPUTED_VALUE"""),45809.0)</f>
        <v>45809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9" t="str">
        <f>IFERROR(__xludf.DUMMYFUNCTION("""COMPUTED_VALUE"""),"Middleton")</f>
        <v>Middleton</v>
      </c>
      <c r="B69" s="8" t="str">
        <f>IFERROR(__xludf.DUMMYFUNCTION("""COMPUTED_VALUE"""),"Katherine")</f>
        <v>Katherine</v>
      </c>
      <c r="C69" s="8" t="str">
        <f>IFERROR(__xludf.DUMMYFUNCTION("""COMPUTED_VALUE"""),"Alma")</f>
        <v>Alma</v>
      </c>
      <c r="D69" s="8" t="str">
        <f>IFERROR(__xludf.DUMMYFUNCTION("""COMPUTED_VALUE"""),"MI")</f>
        <v>MI</v>
      </c>
      <c r="E69" s="8" t="str">
        <f>IFERROR(__xludf.DUMMYFUNCTION("""COMPUTED_VALUE"""),"USA")</f>
        <v>USA</v>
      </c>
      <c r="F69" s="8" t="str">
        <f>IFERROR(__xludf.DUMMYFUNCTION("""COMPUTED_VALUE"""),"Women 301 Doubles")</f>
        <v>Women 301 Doubles</v>
      </c>
      <c r="G69" s="8" t="str">
        <f>IFERROR(__xludf.DUMMYFUNCTION("""COMPUTED_VALUE"""),"2nd")</f>
        <v>2nd</v>
      </c>
      <c r="H69" s="8" t="str">
        <f>IFERROR(__xludf.DUMMYFUNCTION("""COMPUTED_VALUE"""),"Indiana BS 34")</f>
        <v>Indiana BS 34</v>
      </c>
      <c r="I69" s="10">
        <f>IFERROR(__xludf.DUMMYFUNCTION("""COMPUTED_VALUE"""),43617.0)</f>
        <v>43617</v>
      </c>
      <c r="J69" s="10">
        <f>IFERROR(__xludf.DUMMYFUNCTION("""COMPUTED_VALUE"""),44348.0)</f>
        <v>44348</v>
      </c>
      <c r="K69" s="15">
        <f>IFERROR(__xludf.DUMMYFUNCTION("""COMPUTED_VALUE"""),45444.0)</f>
        <v>45444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9" t="str">
        <f>IFERROR(__xludf.DUMMYFUNCTION("""COMPUTED_VALUE"""),"Morley")</f>
        <v>Morley</v>
      </c>
      <c r="B70" s="8" t="str">
        <f>IFERROR(__xludf.DUMMYFUNCTION("""COMPUTED_VALUE"""),"Kathleen")</f>
        <v>Kathleen</v>
      </c>
      <c r="C70" s="8" t="str">
        <f>IFERROR(__xludf.DUMMYFUNCTION("""COMPUTED_VALUE"""),"Kokomo")</f>
        <v>Kokomo</v>
      </c>
      <c r="D70" s="8" t="str">
        <f>IFERROR(__xludf.DUMMYFUNCTION("""COMPUTED_VALUE"""),"IN")</f>
        <v>IN</v>
      </c>
      <c r="E70" s="8" t="str">
        <f>IFERROR(__xludf.DUMMYFUNCTION("""COMPUTED_VALUE"""),"USA")</f>
        <v>USA</v>
      </c>
      <c r="F70" s="8" t="str">
        <f>IFERROR(__xludf.DUMMYFUNCTION("""COMPUTED_VALUE"""),"Womens AA Combo Luck")</f>
        <v>Womens AA Combo Luck</v>
      </c>
      <c r="G70" s="8" t="str">
        <f>IFERROR(__xludf.DUMMYFUNCTION("""COMPUTED_VALUE"""),"1st")</f>
        <v>1st</v>
      </c>
      <c r="H70" s="8" t="str">
        <f>IFERROR(__xludf.DUMMYFUNCTION("""COMPUTED_VALUE"""),"BullShooter 32")</f>
        <v>BullShooter 32</v>
      </c>
      <c r="I70" s="10">
        <f>IFERROR(__xludf.DUMMYFUNCTION("""COMPUTED_VALUE"""),42887.0)</f>
        <v>42887</v>
      </c>
      <c r="J70" s="10">
        <f>IFERROR(__xludf.DUMMYFUNCTION("""COMPUTED_VALUE"""),43983.0)</f>
        <v>43983</v>
      </c>
      <c r="K70" s="15">
        <f>IFERROR(__xludf.DUMMYFUNCTION("""COMPUTED_VALUE"""),45078.0)</f>
        <v>45078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9" t="str">
        <f>IFERROR(__xludf.DUMMYFUNCTION("""COMPUTED_VALUE"""),"Mounts")</f>
        <v>Mounts</v>
      </c>
      <c r="B71" s="8" t="str">
        <f>IFERROR(__xludf.DUMMYFUNCTION("""COMPUTED_VALUE"""),"Jennifer")</f>
        <v>Jennifer</v>
      </c>
      <c r="C71" s="8" t="str">
        <f>IFERROR(__xludf.DUMMYFUNCTION("""COMPUTED_VALUE"""),"")</f>
        <v/>
      </c>
      <c r="D71" s="8" t="str">
        <f>IFERROR(__xludf.DUMMYFUNCTION("""COMPUTED_VALUE"""),"CA")</f>
        <v>CA</v>
      </c>
      <c r="E71" s="8" t="str">
        <f>IFERROR(__xludf.DUMMYFUNCTION("""COMPUTED_VALUE"""),"USA")</f>
        <v>USA</v>
      </c>
      <c r="F71" s="8" t="str">
        <f>IFERROR(__xludf.DUMMYFUNCTION("""COMPUTED_VALUE"""),"Womens Doubles")</f>
        <v>Womens Doubles</v>
      </c>
      <c r="G71" s="8" t="str">
        <f>IFERROR(__xludf.DUMMYFUNCTION("""COMPUTED_VALUE"""),"1st")</f>
        <v>1st</v>
      </c>
      <c r="H71" s="8" t="str">
        <f>IFERROR(__xludf.DUMMYFUNCTION("""COMPUTED_VALUE"""),"OFF AA IN 19")</f>
        <v>OFF AA IN 19</v>
      </c>
      <c r="I71" s="10">
        <f>IFERROR(__xludf.DUMMYFUNCTION("""COMPUTED_VALUE"""),43252.0)</f>
        <v>43252</v>
      </c>
      <c r="J71" s="10">
        <f>IFERROR(__xludf.DUMMYFUNCTION("""COMPUTED_VALUE"""),44348.0)</f>
        <v>44348</v>
      </c>
      <c r="K71" s="15">
        <f>IFERROR(__xludf.DUMMYFUNCTION("""COMPUTED_VALUE"""),45444.0)</f>
        <v>45444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9" t="str">
        <f>IFERROR(__xludf.DUMMYFUNCTION("""COMPUTED_VALUE"""),"Murphy")</f>
        <v>Murphy</v>
      </c>
      <c r="B72" s="8" t="str">
        <f>IFERROR(__xludf.DUMMYFUNCTION("""COMPUTED_VALUE"""),"Paula")</f>
        <v>Paula</v>
      </c>
      <c r="C72" s="8" t="str">
        <f>IFERROR(__xludf.DUMMYFUNCTION("""COMPUTED_VALUE"""),"Orange Park")</f>
        <v>Orange Park</v>
      </c>
      <c r="D72" s="8" t="str">
        <f>IFERROR(__xludf.DUMMYFUNCTION("""COMPUTED_VALUE"""),"FL")</f>
        <v>FL</v>
      </c>
      <c r="E72" s="8" t="str">
        <f>IFERROR(__xludf.DUMMYFUNCTION("""COMPUTED_VALUE"""),"USA")</f>
        <v>USA</v>
      </c>
      <c r="F72" s="8" t="str">
        <f>IFERROR(__xludf.DUMMYFUNCTION("""COMPUTED_VALUE"""),"TopGun Women A/AA Singles")</f>
        <v>TopGun Women A/AA Singles</v>
      </c>
      <c r="G72" s="8" t="str">
        <f>IFERROR(__xludf.DUMMYFUNCTION("""COMPUTED_VALUE"""),"2nd")</f>
        <v>2nd</v>
      </c>
      <c r="H72" s="8" t="str">
        <f>IFERROR(__xludf.DUMMYFUNCTION("""COMPUTED_VALUE"""),"BullShooter 34 Finals")</f>
        <v>BullShooter 34 Finals</v>
      </c>
      <c r="I72" s="10">
        <f>IFERROR(__xludf.DUMMYFUNCTION("""COMPUTED_VALUE"""),43617.0)</f>
        <v>43617</v>
      </c>
      <c r="J72" s="10">
        <f>IFERROR(__xludf.DUMMYFUNCTION("""COMPUTED_VALUE"""),44713.0)</f>
        <v>44713</v>
      </c>
      <c r="K72" s="15">
        <f>IFERROR(__xludf.DUMMYFUNCTION("""COMPUTED_VALUE"""),45809.0)</f>
        <v>45809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9" t="str">
        <f>IFERROR(__xludf.DUMMYFUNCTION("""COMPUTED_VALUE"""),"Nessman")</f>
        <v>Nessman</v>
      </c>
      <c r="B73" s="8" t="str">
        <f>IFERROR(__xludf.DUMMYFUNCTION("""COMPUTED_VALUE"""),"Carolyn")</f>
        <v>Carolyn</v>
      </c>
      <c r="C73" s="8" t="str">
        <f>IFERROR(__xludf.DUMMYFUNCTION("""COMPUTED_VALUE"""),"Franklin")</f>
        <v>Franklin</v>
      </c>
      <c r="D73" s="8" t="str">
        <f>IFERROR(__xludf.DUMMYFUNCTION("""COMPUTED_VALUE"""),"WI")</f>
        <v>WI</v>
      </c>
      <c r="E73" s="8" t="str">
        <f>IFERROR(__xludf.DUMMYFUNCTION("""COMPUTED_VALUE"""),"USA")</f>
        <v>USA</v>
      </c>
      <c r="F73" s="8" t="str">
        <f>IFERROR(__xludf.DUMMYFUNCTION("""COMPUTED_VALUE"""),"Top Gun A/AA Triples")</f>
        <v>Top Gun A/AA Triples</v>
      </c>
      <c r="G73" s="8" t="str">
        <f>IFERROR(__xludf.DUMMYFUNCTION("""COMPUTED_VALUE"""),"3rd")</f>
        <v>3rd</v>
      </c>
      <c r="H73" s="8" t="str">
        <f>IFERROR(__xludf.DUMMYFUNCTION("""COMPUTED_VALUE"""),"BS 33 Finals")</f>
        <v>BS 33 Finals</v>
      </c>
      <c r="I73" s="10">
        <f>IFERROR(__xludf.DUMMYFUNCTION("""COMPUTED_VALUE"""),43252.0)</f>
        <v>43252</v>
      </c>
      <c r="J73" s="10">
        <f>IFERROR(__xludf.DUMMYFUNCTION("""COMPUTED_VALUE"""),44348.0)</f>
        <v>44348</v>
      </c>
      <c r="K73" s="15">
        <f>IFERROR(__xludf.DUMMYFUNCTION("""COMPUTED_VALUE"""),45444.0)</f>
        <v>45444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9" t="str">
        <f>IFERROR(__xludf.DUMMYFUNCTION("""COMPUTED_VALUE"""),"OBrien")</f>
        <v>OBrien</v>
      </c>
      <c r="B74" s="8" t="str">
        <f>IFERROR(__xludf.DUMMYFUNCTION("""COMPUTED_VALUE"""),"Maria")</f>
        <v>Maria</v>
      </c>
      <c r="C74" s="8" t="str">
        <f>IFERROR(__xludf.DUMMYFUNCTION("""COMPUTED_VALUE"""),"")</f>
        <v/>
      </c>
      <c r="D74" s="8" t="str">
        <f>IFERROR(__xludf.DUMMYFUNCTION("""COMPUTED_VALUE"""),"UNK")</f>
        <v>UNK</v>
      </c>
      <c r="E74" s="8" t="str">
        <f>IFERROR(__xludf.DUMMYFUNCTION("""COMPUTED_VALUE"""),"Great Britain")</f>
        <v>Great Britain</v>
      </c>
      <c r="F74" s="8" t="str">
        <f>IFERROR(__xludf.DUMMYFUNCTION("""COMPUTED_VALUE"""),"Womens A Cricket Sgle")</f>
        <v>Womens A Cricket Sgle</v>
      </c>
      <c r="G74" s="8" t="str">
        <f>IFERROR(__xludf.DUMMYFUNCTION("""COMPUTED_VALUE"""),"1st")</f>
        <v>1st</v>
      </c>
      <c r="H74" s="8" t="str">
        <f>IFERROR(__xludf.DUMMYFUNCTION("""COMPUTED_VALUE"""),"Euro BullShooter XXV")</f>
        <v>Euro BullShooter XXV</v>
      </c>
      <c r="I74" s="10">
        <f>IFERROR(__xludf.DUMMYFUNCTION("""COMPUTED_VALUE"""),42828.0)</f>
        <v>42828</v>
      </c>
      <c r="J74" s="10">
        <f>IFERROR(__xludf.DUMMYFUNCTION("""COMPUTED_VALUE"""),43983.0)</f>
        <v>43983</v>
      </c>
      <c r="K74" s="15">
        <f>IFERROR(__xludf.DUMMYFUNCTION("""COMPUTED_VALUE"""),45078.0)</f>
        <v>45078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9" t="str">
        <f>IFERROR(__xludf.DUMMYFUNCTION("""COMPUTED_VALUE"""),"Pace")</f>
        <v>Pace</v>
      </c>
      <c r="B75" s="8" t="str">
        <f>IFERROR(__xludf.DUMMYFUNCTION("""COMPUTED_VALUE"""),"Stacey")</f>
        <v>Stacey</v>
      </c>
      <c r="C75" s="8" t="str">
        <f>IFERROR(__xludf.DUMMYFUNCTION("""COMPUTED_VALUE"""),"Louisville")</f>
        <v>Louisville</v>
      </c>
      <c r="D75" s="8" t="str">
        <f>IFERROR(__xludf.DUMMYFUNCTION("""COMPUTED_VALUE"""),"CO")</f>
        <v>CO</v>
      </c>
      <c r="E75" s="8" t="str">
        <f>IFERROR(__xludf.DUMMYFUNCTION("""COMPUTED_VALUE"""),"USA")</f>
        <v>USA</v>
      </c>
      <c r="F75" s="8" t="str">
        <f>IFERROR(__xludf.DUMMYFUNCTION("""COMPUTED_VALUE"""),"Women AA 501 Doubles")</f>
        <v>Women AA 501 Doubles</v>
      </c>
      <c r="G75" s="8" t="str">
        <f>IFERROR(__xludf.DUMMYFUNCTION("""COMPUTED_VALUE"""),"2nd")</f>
        <v>2nd</v>
      </c>
      <c r="H75" s="8" t="str">
        <f>IFERROR(__xludf.DUMMYFUNCTION("""COMPUTED_VALUE"""),"BullShooter 34 Finals")</f>
        <v>BullShooter 34 Finals</v>
      </c>
      <c r="I75" s="10">
        <f>IFERROR(__xludf.DUMMYFUNCTION("""COMPUTED_VALUE"""),43617.0)</f>
        <v>43617</v>
      </c>
      <c r="J75" s="10">
        <f>IFERROR(__xludf.DUMMYFUNCTION("""COMPUTED_VALUE"""),44713.0)</f>
        <v>44713</v>
      </c>
      <c r="K75" s="15">
        <f>IFERROR(__xludf.DUMMYFUNCTION("""COMPUTED_VALUE"""),45809.0)</f>
        <v>45809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9" t="str">
        <f>IFERROR(__xludf.DUMMYFUNCTION("""COMPUTED_VALUE"""),"Picket")</f>
        <v>Picket</v>
      </c>
      <c r="B76" s="8" t="str">
        <f>IFERROR(__xludf.DUMMYFUNCTION("""COMPUTED_VALUE"""),"Jennifer")</f>
        <v>Jennifer</v>
      </c>
      <c r="C76" s="8" t="str">
        <f>IFERROR(__xludf.DUMMYFUNCTION("""COMPUTED_VALUE"""),"Chicago")</f>
        <v>Chicago</v>
      </c>
      <c r="D76" s="8" t="str">
        <f>IFERROR(__xludf.DUMMYFUNCTION("""COMPUTED_VALUE"""),"IL")</f>
        <v>IL</v>
      </c>
      <c r="E76" s="8" t="str">
        <f>IFERROR(__xludf.DUMMYFUNCTION("""COMPUTED_VALUE"""),"USA")</f>
        <v>USA</v>
      </c>
      <c r="F76" s="8" t="str">
        <f>IFERROR(__xludf.DUMMYFUNCTION("""COMPUTED_VALUE"""),"Women A 501 Doubles")</f>
        <v>Women A 501 Doubles</v>
      </c>
      <c r="G76" s="8" t="str">
        <f>IFERROR(__xludf.DUMMYFUNCTION("""COMPUTED_VALUE"""),"4th")</f>
        <v>4th</v>
      </c>
      <c r="H76" s="8" t="str">
        <f>IFERROR(__xludf.DUMMYFUNCTION("""COMPUTED_VALUE"""),"BullShooter 34 Finals")</f>
        <v>BullShooter 34 Finals</v>
      </c>
      <c r="I76" s="10">
        <f>IFERROR(__xludf.DUMMYFUNCTION("""COMPUTED_VALUE"""),43617.0)</f>
        <v>43617</v>
      </c>
      <c r="J76" s="10">
        <f>IFERROR(__xludf.DUMMYFUNCTION("""COMPUTED_VALUE"""),44713.0)</f>
        <v>44713</v>
      </c>
      <c r="K76" s="15">
        <f>IFERROR(__xludf.DUMMYFUNCTION("""COMPUTED_VALUE"""),45809.0)</f>
        <v>45809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9" t="str">
        <f>IFERROR(__xludf.DUMMYFUNCTION("""COMPUTED_VALUE"""),"Plaza Picon")</f>
        <v>Plaza Picon</v>
      </c>
      <c r="B77" s="8" t="str">
        <f>IFERROR(__xludf.DUMMYFUNCTION("""COMPUTED_VALUE"""),"Nuria")</f>
        <v>Nuria</v>
      </c>
      <c r="C77" s="8" t="str">
        <f>IFERROR(__xludf.DUMMYFUNCTION("""COMPUTED_VALUE"""),"")</f>
        <v/>
      </c>
      <c r="D77" s="8" t="str">
        <f>IFERROR(__xludf.DUMMYFUNCTION("""COMPUTED_VALUE"""),"UNK")</f>
        <v>UNK</v>
      </c>
      <c r="E77" s="8" t="str">
        <f>IFERROR(__xludf.DUMMYFUNCTION("""COMPUTED_VALUE"""),"Spain")</f>
        <v>Spain</v>
      </c>
      <c r="F77" s="8" t="str">
        <f>IFERROR(__xludf.DUMMYFUNCTION("""COMPUTED_VALUE"""),"Womens A Singles")</f>
        <v>Womens A Singles</v>
      </c>
      <c r="G77" s="8" t="str">
        <f>IFERROR(__xludf.DUMMYFUNCTION("""COMPUTED_VALUE"""),"2nd")</f>
        <v>2nd</v>
      </c>
      <c r="H77" s="8" t="str">
        <f>IFERROR(__xludf.DUMMYFUNCTION("""COMPUTED_VALUE"""),"Euro BullShooter XXV")</f>
        <v>Euro BullShooter XXV</v>
      </c>
      <c r="I77" s="10">
        <f>IFERROR(__xludf.DUMMYFUNCTION("""COMPUTED_VALUE"""),42828.0)</f>
        <v>42828</v>
      </c>
      <c r="J77" s="10">
        <f>IFERROR(__xludf.DUMMYFUNCTION("""COMPUTED_VALUE"""),43983.0)</f>
        <v>43983</v>
      </c>
      <c r="K77" s="15">
        <f>IFERROR(__xludf.DUMMYFUNCTION("""COMPUTED_VALUE"""),45078.0)</f>
        <v>45078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9" t="str">
        <f>IFERROR(__xludf.DUMMYFUNCTION("""COMPUTED_VALUE"""),"Pluff-Romero")</f>
        <v>Pluff-Romero</v>
      </c>
      <c r="B78" s="8" t="str">
        <f>IFERROR(__xludf.DUMMYFUNCTION("""COMPUTED_VALUE"""),"Patricia")</f>
        <v>Patricia</v>
      </c>
      <c r="C78" s="8" t="str">
        <f>IFERROR(__xludf.DUMMYFUNCTION("""COMPUTED_VALUE"""),"Maplewood")</f>
        <v>Maplewood</v>
      </c>
      <c r="D78" s="8" t="str">
        <f>IFERROR(__xludf.DUMMYFUNCTION("""COMPUTED_VALUE"""),"MN")</f>
        <v>MN</v>
      </c>
      <c r="E78" s="8" t="str">
        <f>IFERROR(__xludf.DUMMYFUNCTION("""COMPUTED_VALUE"""),"USA")</f>
        <v>USA</v>
      </c>
      <c r="F78" s="8" t="str">
        <f>IFERROR(__xludf.DUMMYFUNCTION("""COMPUTED_VALUE"""),"Womens AA Doubles")</f>
        <v>Womens AA Doubles</v>
      </c>
      <c r="G78" s="8" t="str">
        <f>IFERROR(__xludf.DUMMYFUNCTION("""COMPUTED_VALUE"""),"2nd")</f>
        <v>2nd</v>
      </c>
      <c r="H78" s="8" t="str">
        <f>IFERROR(__xludf.DUMMYFUNCTION("""COMPUTED_VALUE"""),"BS 33 Finals")</f>
        <v>BS 33 Finals</v>
      </c>
      <c r="I78" s="10">
        <f>IFERROR(__xludf.DUMMYFUNCTION("""COMPUTED_VALUE"""),43252.0)</f>
        <v>43252</v>
      </c>
      <c r="J78" s="10">
        <f>IFERROR(__xludf.DUMMYFUNCTION("""COMPUTED_VALUE"""),44348.0)</f>
        <v>44348</v>
      </c>
      <c r="K78" s="15">
        <f>IFERROR(__xludf.DUMMYFUNCTION("""COMPUTED_VALUE"""),45444.0)</f>
        <v>45444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9" t="str">
        <f>IFERROR(__xludf.DUMMYFUNCTION("""COMPUTED_VALUE"""),"Popp")</f>
        <v>Popp</v>
      </c>
      <c r="B79" s="8" t="str">
        <f>IFERROR(__xludf.DUMMYFUNCTION("""COMPUTED_VALUE"""),"Marilyn")</f>
        <v>Marilyn</v>
      </c>
      <c r="C79" s="8" t="str">
        <f>IFERROR(__xludf.DUMMYFUNCTION("""COMPUTED_VALUE"""),"Camden-Wyoming")</f>
        <v>Camden-Wyoming</v>
      </c>
      <c r="D79" s="8" t="str">
        <f>IFERROR(__xludf.DUMMYFUNCTION("""COMPUTED_VALUE"""),"DE")</f>
        <v>DE</v>
      </c>
      <c r="E79" s="8" t="str">
        <f>IFERROR(__xludf.DUMMYFUNCTION("""COMPUTED_VALUE"""),"USA")</f>
        <v>USA</v>
      </c>
      <c r="F79" s="8" t="str">
        <f>IFERROR(__xludf.DUMMYFUNCTION("""COMPUTED_VALUE"""),"NAPDA 2017")</f>
        <v>NAPDA 2017</v>
      </c>
      <c r="G79" s="8" t="str">
        <f>IFERROR(__xludf.DUMMYFUNCTION("""COMPUTED_VALUE"""),"20TH")</f>
        <v>20TH</v>
      </c>
      <c r="H79" s="8" t="str">
        <f>IFERROR(__xludf.DUMMYFUNCTION("""COMPUTED_VALUE"""),"NAPDA 2017")</f>
        <v>NAPDA 2017</v>
      </c>
      <c r="I79" s="10">
        <f>IFERROR(__xludf.DUMMYFUNCTION("""COMPUTED_VALUE"""),42772.0)</f>
        <v>42772</v>
      </c>
      <c r="J79" s="10">
        <f>IFERROR(__xludf.DUMMYFUNCTION("""COMPUTED_VALUE"""),43983.0)</f>
        <v>43983</v>
      </c>
      <c r="K79" s="15">
        <f>IFERROR(__xludf.DUMMYFUNCTION("""COMPUTED_VALUE"""),45078.0)</f>
        <v>45078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9" t="str">
        <f>IFERROR(__xludf.DUMMYFUNCTION("""COMPUTED_VALUE"""),"Pryor")</f>
        <v>Pryor</v>
      </c>
      <c r="B80" s="8" t="str">
        <f>IFERROR(__xludf.DUMMYFUNCTION("""COMPUTED_VALUE"""),"Melissa")</f>
        <v>Melissa</v>
      </c>
      <c r="C80" s="8" t="str">
        <f>IFERROR(__xludf.DUMMYFUNCTION("""COMPUTED_VALUE"""),"Port Richey")</f>
        <v>Port Richey</v>
      </c>
      <c r="D80" s="8" t="str">
        <f>IFERROR(__xludf.DUMMYFUNCTION("""COMPUTED_VALUE"""),"FL")</f>
        <v>FL</v>
      </c>
      <c r="E80" s="8" t="str">
        <f>IFERROR(__xludf.DUMMYFUNCTION("""COMPUTED_VALUE"""),"USA")</f>
        <v>USA</v>
      </c>
      <c r="F80" s="8" t="str">
        <f>IFERROR(__xludf.DUMMYFUNCTION("""COMPUTED_VALUE"""),"Womens Doubles")</f>
        <v>Womens Doubles</v>
      </c>
      <c r="G80" s="8" t="str">
        <f>IFERROR(__xludf.DUMMYFUNCTION("""COMPUTED_VALUE"""),"2nd")</f>
        <v>2nd</v>
      </c>
      <c r="H80" s="8" t="str">
        <f>IFERROR(__xludf.DUMMYFUNCTION("""COMPUTED_VALUE"""),"OFF AA IN 20")</f>
        <v>OFF AA IN 20</v>
      </c>
      <c r="I80" s="10">
        <f>IFERROR(__xludf.DUMMYFUNCTION("""COMPUTED_VALUE"""),43252.0)</f>
        <v>43252</v>
      </c>
      <c r="J80" s="10">
        <f>IFERROR(__xludf.DUMMYFUNCTION("""COMPUTED_VALUE"""),44348.0)</f>
        <v>44348</v>
      </c>
      <c r="K80" s="15">
        <f>IFERROR(__xludf.DUMMYFUNCTION("""COMPUTED_VALUE"""),45444.0)</f>
        <v>45444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9" t="str">
        <f>IFERROR(__xludf.DUMMYFUNCTION("""COMPUTED_VALUE"""),"Rasmussen")</f>
        <v>Rasmussen</v>
      </c>
      <c r="B81" s="8" t="str">
        <f>IFERROR(__xludf.DUMMYFUNCTION("""COMPUTED_VALUE"""),"Lori")</f>
        <v>Lori</v>
      </c>
      <c r="C81" s="8" t="str">
        <f>IFERROR(__xludf.DUMMYFUNCTION("""COMPUTED_VALUE"""),"Janesville")</f>
        <v>Janesville</v>
      </c>
      <c r="D81" s="8" t="str">
        <f>IFERROR(__xludf.DUMMYFUNCTION("""COMPUTED_VALUE"""),"WI")</f>
        <v>WI</v>
      </c>
      <c r="E81" s="8" t="str">
        <f>IFERROR(__xludf.DUMMYFUNCTION("""COMPUTED_VALUE"""),"USA")</f>
        <v>USA</v>
      </c>
      <c r="F81" s="8" t="str">
        <f>IFERROR(__xludf.DUMMYFUNCTION("""COMPUTED_VALUE"""),"Womens A Cricket")</f>
        <v>Womens A Cricket</v>
      </c>
      <c r="G81" s="8" t="str">
        <f>IFERROR(__xludf.DUMMYFUNCTION("""COMPUTED_VALUE"""),"2nd")</f>
        <v>2nd</v>
      </c>
      <c r="H81" s="8" t="str">
        <f>IFERROR(__xludf.DUMMYFUNCTION("""COMPUTED_VALUE"""),"BS 33 Finals")</f>
        <v>BS 33 Finals</v>
      </c>
      <c r="I81" s="10">
        <f>IFERROR(__xludf.DUMMYFUNCTION("""COMPUTED_VALUE"""),43252.0)</f>
        <v>43252</v>
      </c>
      <c r="J81" s="10">
        <f>IFERROR(__xludf.DUMMYFUNCTION("""COMPUTED_VALUE"""),44348.0)</f>
        <v>44348</v>
      </c>
      <c r="K81" s="15">
        <f>IFERROR(__xludf.DUMMYFUNCTION("""COMPUTED_VALUE"""),45444.0)</f>
        <v>45444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9" t="str">
        <f>IFERROR(__xludf.DUMMYFUNCTION("""COMPUTED_VALUE"""),"Rasor")</f>
        <v>Rasor</v>
      </c>
      <c r="B82" s="8" t="str">
        <f>IFERROR(__xludf.DUMMYFUNCTION("""COMPUTED_VALUE"""),"Elisha")</f>
        <v>Elisha</v>
      </c>
      <c r="C82" s="8" t="str">
        <f>IFERROR(__xludf.DUMMYFUNCTION("""COMPUTED_VALUE"""),"Oshkosh")</f>
        <v>Oshkosh</v>
      </c>
      <c r="D82" s="8" t="str">
        <f>IFERROR(__xludf.DUMMYFUNCTION("""COMPUTED_VALUE"""),"WI")</f>
        <v>WI</v>
      </c>
      <c r="E82" s="8" t="str">
        <f>IFERROR(__xludf.DUMMYFUNCTION("""COMPUTED_VALUE"""),"USA")</f>
        <v>USA</v>
      </c>
      <c r="F82" s="8" t="str">
        <f>IFERROR(__xludf.DUMMYFUNCTION("""COMPUTED_VALUE"""),"Women A Cricket Doubles")</f>
        <v>Women A Cricket Doubles</v>
      </c>
      <c r="G82" s="8" t="str">
        <f>IFERROR(__xludf.DUMMYFUNCTION("""COMPUTED_VALUE"""),"1st")</f>
        <v>1st</v>
      </c>
      <c r="H82" s="8" t="str">
        <f>IFERROR(__xludf.DUMMYFUNCTION("""COMPUTED_VALUE"""),"BullShooter 34 Finals")</f>
        <v>BullShooter 34 Finals</v>
      </c>
      <c r="I82" s="10">
        <f>IFERROR(__xludf.DUMMYFUNCTION("""COMPUTED_VALUE"""),43617.0)</f>
        <v>43617</v>
      </c>
      <c r="J82" s="10">
        <f>IFERROR(__xludf.DUMMYFUNCTION("""COMPUTED_VALUE"""),44713.0)</f>
        <v>44713</v>
      </c>
      <c r="K82" s="15">
        <f>IFERROR(__xludf.DUMMYFUNCTION("""COMPUTED_VALUE"""),45809.0)</f>
        <v>45809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9" t="str">
        <f>IFERROR(__xludf.DUMMYFUNCTION("""COMPUTED_VALUE"""),"Reed")</f>
        <v>Reed</v>
      </c>
      <c r="B83" s="8" t="str">
        <f>IFERROR(__xludf.DUMMYFUNCTION("""COMPUTED_VALUE"""),"Trina")</f>
        <v>Trina</v>
      </c>
      <c r="C83" s="8" t="str">
        <f>IFERROR(__xludf.DUMMYFUNCTION("""COMPUTED_VALUE"""),"Racine")</f>
        <v>Racine</v>
      </c>
      <c r="D83" s="8" t="str">
        <f>IFERROR(__xludf.DUMMYFUNCTION("""COMPUTED_VALUE"""),"WI")</f>
        <v>WI</v>
      </c>
      <c r="E83" s="8" t="str">
        <f>IFERROR(__xludf.DUMMYFUNCTION("""COMPUTED_VALUE"""),"USA")</f>
        <v>USA</v>
      </c>
      <c r="F83" s="8" t="str">
        <f>IFERROR(__xludf.DUMMYFUNCTION("""COMPUTED_VALUE"""),"Women A Cricket Doubles")</f>
        <v>Women A Cricket Doubles</v>
      </c>
      <c r="G83" s="8" t="str">
        <f>IFERROR(__xludf.DUMMYFUNCTION("""COMPUTED_VALUE"""),"4th")</f>
        <v>4th</v>
      </c>
      <c r="H83" s="8" t="str">
        <f>IFERROR(__xludf.DUMMYFUNCTION("""COMPUTED_VALUE"""),"BullShooter 34 Finals")</f>
        <v>BullShooter 34 Finals</v>
      </c>
      <c r="I83" s="10">
        <f>IFERROR(__xludf.DUMMYFUNCTION("""COMPUTED_VALUE"""),43617.0)</f>
        <v>43617</v>
      </c>
      <c r="J83" s="10">
        <f>IFERROR(__xludf.DUMMYFUNCTION("""COMPUTED_VALUE"""),44713.0)</f>
        <v>44713</v>
      </c>
      <c r="K83" s="15">
        <f>IFERROR(__xludf.DUMMYFUNCTION("""COMPUTED_VALUE"""),45809.0)</f>
        <v>45809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9" t="str">
        <f>IFERROR(__xludf.DUMMYFUNCTION("""COMPUTED_VALUE"""),"Reynolds-Cole")</f>
        <v>Reynolds-Cole</v>
      </c>
      <c r="B84" s="8" t="str">
        <f>IFERROR(__xludf.DUMMYFUNCTION("""COMPUTED_VALUE"""),"Shea")</f>
        <v>Shea</v>
      </c>
      <c r="C84" s="8" t="str">
        <f>IFERROR(__xludf.DUMMYFUNCTION("""COMPUTED_VALUE"""),"Round Rock")</f>
        <v>Round Rock</v>
      </c>
      <c r="D84" s="8" t="str">
        <f>IFERROR(__xludf.DUMMYFUNCTION("""COMPUTED_VALUE"""),"TX")</f>
        <v>TX</v>
      </c>
      <c r="E84" s="8" t="str">
        <f>IFERROR(__xludf.DUMMYFUNCTION("""COMPUTED_VALUE"""),"USA")</f>
        <v>USA</v>
      </c>
      <c r="F84" s="8" t="str">
        <f>IFERROR(__xludf.DUMMYFUNCTION("""COMPUTED_VALUE"""),"ADO 2018")</f>
        <v>ADO 2018</v>
      </c>
      <c r="G84" s="8" t="str">
        <f>IFERROR(__xludf.DUMMYFUNCTION("""COMPUTED_VALUE"""),"27th")</f>
        <v>27th</v>
      </c>
      <c r="H84" s="8" t="str">
        <f>IFERROR(__xludf.DUMMYFUNCTION("""COMPUTED_VALUE"""),"ADO 2018")</f>
        <v>ADO 2018</v>
      </c>
      <c r="I84" s="10">
        <f>IFERROR(__xludf.DUMMYFUNCTION("""COMPUTED_VALUE"""),43132.0)</f>
        <v>43132</v>
      </c>
      <c r="J84" s="10">
        <f>IFERROR(__xludf.DUMMYFUNCTION("""COMPUTED_VALUE"""),44348.0)</f>
        <v>44348</v>
      </c>
      <c r="K84" s="15">
        <f>IFERROR(__xludf.DUMMYFUNCTION("""COMPUTED_VALUE"""),45444.0)</f>
        <v>45444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9" t="str">
        <f>IFERROR(__xludf.DUMMYFUNCTION("""COMPUTED_VALUE"""),"Ripol")</f>
        <v>Ripol</v>
      </c>
      <c r="B85" s="8" t="str">
        <f>IFERROR(__xludf.DUMMYFUNCTION("""COMPUTED_VALUE"""),"Renee")</f>
        <v>Renee</v>
      </c>
      <c r="C85" s="8" t="str">
        <f>IFERROR(__xludf.DUMMYFUNCTION("""COMPUTED_VALUE"""),"")</f>
        <v/>
      </c>
      <c r="D85" s="8" t="str">
        <f>IFERROR(__xludf.DUMMYFUNCTION("""COMPUTED_VALUE"""),"UNK")</f>
        <v>UNK</v>
      </c>
      <c r="E85" s="8" t="str">
        <f>IFERROR(__xludf.DUMMYFUNCTION("""COMPUTED_VALUE"""),"UNK")</f>
        <v>UNK</v>
      </c>
      <c r="F85" s="8" t="str">
        <f>IFERROR(__xludf.DUMMYFUNCTION("""COMPUTED_VALUE"""),"ADO 2018")</f>
        <v>ADO 2018</v>
      </c>
      <c r="G85" s="8" t="str">
        <f>IFERROR(__xludf.DUMMYFUNCTION("""COMPUTED_VALUE"""),"11th")</f>
        <v>11th</v>
      </c>
      <c r="H85" s="8" t="str">
        <f>IFERROR(__xludf.DUMMYFUNCTION("""COMPUTED_VALUE"""),"ADO 2018")</f>
        <v>ADO 2018</v>
      </c>
      <c r="I85" s="10">
        <f>IFERROR(__xludf.DUMMYFUNCTION("""COMPUTED_VALUE"""),43132.0)</f>
        <v>43132</v>
      </c>
      <c r="J85" s="10">
        <f>IFERROR(__xludf.DUMMYFUNCTION("""COMPUTED_VALUE"""),44348.0)</f>
        <v>44348</v>
      </c>
      <c r="K85" s="15">
        <f>IFERROR(__xludf.DUMMYFUNCTION("""COMPUTED_VALUE"""),45444.0)</f>
        <v>45444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9" t="str">
        <f>IFERROR(__xludf.DUMMYFUNCTION("""COMPUTED_VALUE"""),"Roush")</f>
        <v>Roush</v>
      </c>
      <c r="B86" s="8" t="str">
        <f>IFERROR(__xludf.DUMMYFUNCTION("""COMPUTED_VALUE"""),"Brenda")</f>
        <v>Brenda</v>
      </c>
      <c r="C86" s="8" t="str">
        <f>IFERROR(__xludf.DUMMYFUNCTION("""COMPUTED_VALUE"""),"")</f>
        <v/>
      </c>
      <c r="D86" s="8" t="str">
        <f>IFERROR(__xludf.DUMMYFUNCTION("""COMPUTED_VALUE"""),"UNK")</f>
        <v>UNK</v>
      </c>
      <c r="E86" s="8" t="str">
        <f>IFERROR(__xludf.DUMMYFUNCTION("""COMPUTED_VALUE"""),"USA")</f>
        <v>USA</v>
      </c>
      <c r="F86" s="8" t="str">
        <f>IFERROR(__xludf.DUMMYFUNCTION("""COMPUTED_VALUE"""),"ADO 2018")</f>
        <v>ADO 2018</v>
      </c>
      <c r="G86" s="8" t="str">
        <f>IFERROR(__xludf.DUMMYFUNCTION("""COMPUTED_VALUE"""),"7th")</f>
        <v>7th</v>
      </c>
      <c r="H86" s="8" t="str">
        <f>IFERROR(__xludf.DUMMYFUNCTION("""COMPUTED_VALUE"""),"ADO 2018")</f>
        <v>ADO 2018</v>
      </c>
      <c r="I86" s="10">
        <f>IFERROR(__xludf.DUMMYFUNCTION("""COMPUTED_VALUE"""),43132.0)</f>
        <v>43132</v>
      </c>
      <c r="J86" s="10">
        <f>IFERROR(__xludf.DUMMYFUNCTION("""COMPUTED_VALUE"""),44348.0)</f>
        <v>44348</v>
      </c>
      <c r="K86" s="15">
        <f>IFERROR(__xludf.DUMMYFUNCTION("""COMPUTED_VALUE"""),45444.0)</f>
        <v>45444</v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9" t="str">
        <f>IFERROR(__xludf.DUMMYFUNCTION("""COMPUTED_VALUE"""),"Sand")</f>
        <v>Sand</v>
      </c>
      <c r="B87" s="8" t="str">
        <f>IFERROR(__xludf.DUMMYFUNCTION("""COMPUTED_VALUE"""),"Barbara")</f>
        <v>Barbara</v>
      </c>
      <c r="C87" s="8" t="str">
        <f>IFERROR(__xludf.DUMMYFUNCTION("""COMPUTED_VALUE"""),"Rockford")</f>
        <v>Rockford</v>
      </c>
      <c r="D87" s="8" t="str">
        <f>IFERROR(__xludf.DUMMYFUNCTION("""COMPUTED_VALUE"""),"IL")</f>
        <v>IL</v>
      </c>
      <c r="E87" s="8" t="str">
        <f>IFERROR(__xludf.DUMMYFUNCTION("""COMPUTED_VALUE"""),"USA")</f>
        <v>USA</v>
      </c>
      <c r="F87" s="8" t="str">
        <f>IFERROR(__xludf.DUMMYFUNCTION("""COMPUTED_VALUE"""),"Womens A/AA Luck")</f>
        <v>Womens A/AA Luck</v>
      </c>
      <c r="G87" s="8" t="str">
        <f>IFERROR(__xludf.DUMMYFUNCTION("""COMPUTED_VALUE"""),"4th")</f>
        <v>4th</v>
      </c>
      <c r="H87" s="8" t="str">
        <f>IFERROR(__xludf.DUMMYFUNCTION("""COMPUTED_VALUE"""),"BS 33 Finals")</f>
        <v>BS 33 Finals</v>
      </c>
      <c r="I87" s="10">
        <f>IFERROR(__xludf.DUMMYFUNCTION("""COMPUTED_VALUE"""),43252.0)</f>
        <v>43252</v>
      </c>
      <c r="J87" s="10">
        <f>IFERROR(__xludf.DUMMYFUNCTION("""COMPUTED_VALUE"""),44348.0)</f>
        <v>44348</v>
      </c>
      <c r="K87" s="15">
        <f>IFERROR(__xludf.DUMMYFUNCTION("""COMPUTED_VALUE"""),45444.0)</f>
        <v>45444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9" t="str">
        <f>IFERROR(__xludf.DUMMYFUNCTION("""COMPUTED_VALUE"""),"Satterfield")</f>
        <v>Satterfield</v>
      </c>
      <c r="B88" s="8" t="str">
        <f>IFERROR(__xludf.DUMMYFUNCTION("""COMPUTED_VALUE"""),"Mary-Margaret")</f>
        <v>Mary-Margaret</v>
      </c>
      <c r="C88" s="8" t="str">
        <f>IFERROR(__xludf.DUMMYFUNCTION("""COMPUTED_VALUE"""),"UNK")</f>
        <v>UNK</v>
      </c>
      <c r="D88" s="8" t="str">
        <f>IFERROR(__xludf.DUMMYFUNCTION("""COMPUTED_VALUE"""),"UNK")</f>
        <v>UNK</v>
      </c>
      <c r="E88" s="8" t="str">
        <f>IFERROR(__xludf.DUMMYFUNCTION("""COMPUTED_VALUE"""),"USA")</f>
        <v>USA</v>
      </c>
      <c r="F88" s="8" t="str">
        <f>IFERROR(__xludf.DUMMYFUNCTION("""COMPUTED_VALUE"""),"ADO 2018")</f>
        <v>ADO 2018</v>
      </c>
      <c r="G88" s="8" t="str">
        <f>IFERROR(__xludf.DUMMYFUNCTION("""COMPUTED_VALUE"""),"14th")</f>
        <v>14th</v>
      </c>
      <c r="H88" s="8" t="str">
        <f>IFERROR(__xludf.DUMMYFUNCTION("""COMPUTED_VALUE"""),"ADO 2018")</f>
        <v>ADO 2018</v>
      </c>
      <c r="I88" s="10">
        <f>IFERROR(__xludf.DUMMYFUNCTION("""COMPUTED_VALUE"""),43132.0)</f>
        <v>43132</v>
      </c>
      <c r="J88" s="10">
        <f>IFERROR(__xludf.DUMMYFUNCTION("""COMPUTED_VALUE"""),44348.0)</f>
        <v>44348</v>
      </c>
      <c r="K88" s="15">
        <f>IFERROR(__xludf.DUMMYFUNCTION("""COMPUTED_VALUE"""),45444.0)</f>
        <v>45444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9" t="str">
        <f>IFERROR(__xludf.DUMMYFUNCTION("""COMPUTED_VALUE"""),"Scheppele")</f>
        <v>Scheppele</v>
      </c>
      <c r="B89" s="8" t="str">
        <f>IFERROR(__xludf.DUMMYFUNCTION("""COMPUTED_VALUE"""),"Julie")</f>
        <v>Julie</v>
      </c>
      <c r="C89" s="8" t="str">
        <f>IFERROR(__xludf.DUMMYFUNCTION("""COMPUTED_VALUE"""),"Cary")</f>
        <v>Cary</v>
      </c>
      <c r="D89" s="8" t="str">
        <f>IFERROR(__xludf.DUMMYFUNCTION("""COMPUTED_VALUE"""),"NC")</f>
        <v>NC</v>
      </c>
      <c r="E89" s="8" t="str">
        <f>IFERROR(__xludf.DUMMYFUNCTION("""COMPUTED_VALUE"""),"USA")</f>
        <v>USA</v>
      </c>
      <c r="F89" s="8" t="str">
        <f>IFERROR(__xludf.DUMMYFUNCTION("""COMPUTED_VALUE"""),"Women 301 Doubles")</f>
        <v>Women 301 Doubles</v>
      </c>
      <c r="G89" s="8" t="str">
        <f>IFERROR(__xludf.DUMMYFUNCTION("""COMPUTED_VALUE"""),"1st")</f>
        <v>1st</v>
      </c>
      <c r="H89" s="8" t="str">
        <f>IFERROR(__xludf.DUMMYFUNCTION("""COMPUTED_VALUE"""),"South Carolina BS 34")</f>
        <v>South Carolina BS 34</v>
      </c>
      <c r="I89" s="10">
        <f>IFERROR(__xludf.DUMMYFUNCTION("""COMPUTED_VALUE"""),43617.0)</f>
        <v>43617</v>
      </c>
      <c r="J89" s="10">
        <f>IFERROR(__xludf.DUMMYFUNCTION("""COMPUTED_VALUE"""),44348.0)</f>
        <v>44348</v>
      </c>
      <c r="K89" s="15">
        <f>IFERROR(__xludf.DUMMYFUNCTION("""COMPUTED_VALUE"""),45444.0)</f>
        <v>45444</v>
      </c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9" t="str">
        <f>IFERROR(__xludf.DUMMYFUNCTION("""COMPUTED_VALUE"""),"Shepherd")</f>
        <v>Shepherd</v>
      </c>
      <c r="B90" s="8" t="str">
        <f>IFERROR(__xludf.DUMMYFUNCTION("""COMPUTED_VALUE"""),"Renelle")</f>
        <v>Renelle</v>
      </c>
      <c r="C90" s="8" t="str">
        <f>IFERROR(__xludf.DUMMYFUNCTION("""COMPUTED_VALUE"""),"Carrollton")</f>
        <v>Carrollton</v>
      </c>
      <c r="D90" s="8" t="str">
        <f>IFERROR(__xludf.DUMMYFUNCTION("""COMPUTED_VALUE"""),"KY")</f>
        <v>KY</v>
      </c>
      <c r="E90" s="8" t="str">
        <f>IFERROR(__xludf.DUMMYFUNCTION("""COMPUTED_VALUE"""),"USA")</f>
        <v>USA</v>
      </c>
      <c r="F90" s="8" t="str">
        <f>IFERROR(__xludf.DUMMYFUNCTION("""COMPUTED_VALUE"""),"Women Combo Singles")</f>
        <v>Women Combo Singles</v>
      </c>
      <c r="G90" s="8" t="str">
        <f>IFERROR(__xludf.DUMMYFUNCTION("""COMPUTED_VALUE"""),"1st")</f>
        <v>1st</v>
      </c>
      <c r="H90" s="8" t="str">
        <f>IFERROR(__xludf.DUMMYFUNCTION("""COMPUTED_VALUE"""),"Indiana BS 34")</f>
        <v>Indiana BS 34</v>
      </c>
      <c r="I90" s="10">
        <f>IFERROR(__xludf.DUMMYFUNCTION("""COMPUTED_VALUE"""),43617.0)</f>
        <v>43617</v>
      </c>
      <c r="J90" s="10">
        <f>IFERROR(__xludf.DUMMYFUNCTION("""COMPUTED_VALUE"""),44348.0)</f>
        <v>44348</v>
      </c>
      <c r="K90" s="15">
        <f>IFERROR(__xludf.DUMMYFUNCTION("""COMPUTED_VALUE"""),45444.0)</f>
        <v>45444</v>
      </c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9" t="str">
        <f>IFERROR(__xludf.DUMMYFUNCTION("""COMPUTED_VALUE"""),"Solis")</f>
        <v>Solis</v>
      </c>
      <c r="B91" s="8" t="str">
        <f>IFERROR(__xludf.DUMMYFUNCTION("""COMPUTED_VALUE"""),"Carolanne")</f>
        <v>Carolanne</v>
      </c>
      <c r="C91" s="8" t="str">
        <f>IFERROR(__xludf.DUMMYFUNCTION("""COMPUTED_VALUE"""),"Surfside Beach")</f>
        <v>Surfside Beach</v>
      </c>
      <c r="D91" s="8" t="str">
        <f>IFERROR(__xludf.DUMMYFUNCTION("""COMPUTED_VALUE"""),"SC")</f>
        <v>SC</v>
      </c>
      <c r="E91" s="8" t="str">
        <f>IFERROR(__xludf.DUMMYFUNCTION("""COMPUTED_VALUE"""),"USA")</f>
        <v>USA</v>
      </c>
      <c r="F91" s="8" t="str">
        <f>IFERROR(__xludf.DUMMYFUNCTION("""COMPUTED_VALUE"""),"Women A Cricket Doubles")</f>
        <v>Women A Cricket Doubles</v>
      </c>
      <c r="G91" s="8" t="str">
        <f>IFERROR(__xludf.DUMMYFUNCTION("""COMPUTED_VALUE"""),"1st")</f>
        <v>1st</v>
      </c>
      <c r="H91" s="8" t="str">
        <f>IFERROR(__xludf.DUMMYFUNCTION("""COMPUTED_VALUE"""),"BullShooter 34 Finals")</f>
        <v>BullShooter 34 Finals</v>
      </c>
      <c r="I91" s="10">
        <f>IFERROR(__xludf.DUMMYFUNCTION("""COMPUTED_VALUE"""),43617.0)</f>
        <v>43617</v>
      </c>
      <c r="J91" s="10">
        <f>IFERROR(__xludf.DUMMYFUNCTION("""COMPUTED_VALUE"""),44713.0)</f>
        <v>44713</v>
      </c>
      <c r="K91" s="15">
        <f>IFERROR(__xludf.DUMMYFUNCTION("""COMPUTED_VALUE"""),45809.0)</f>
        <v>45809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9" t="str">
        <f>IFERROR(__xludf.DUMMYFUNCTION("""COMPUTED_VALUE"""),"Sonntag")</f>
        <v>Sonntag</v>
      </c>
      <c r="B92" s="8" t="str">
        <f>IFERROR(__xludf.DUMMYFUNCTION("""COMPUTED_VALUE"""),"Sharon")</f>
        <v>Sharon</v>
      </c>
      <c r="C92" s="8" t="str">
        <f>IFERROR(__xludf.DUMMYFUNCTION("""COMPUTED_VALUE"""),"Franklin")</f>
        <v>Franklin</v>
      </c>
      <c r="D92" s="8" t="str">
        <f>IFERROR(__xludf.DUMMYFUNCTION("""COMPUTED_VALUE"""),"WI")</f>
        <v>WI</v>
      </c>
      <c r="E92" s="8" t="str">
        <f>IFERROR(__xludf.DUMMYFUNCTION("""COMPUTED_VALUE"""),"USA")</f>
        <v>USA</v>
      </c>
      <c r="F92" s="8" t="str">
        <f>IFERROR(__xludf.DUMMYFUNCTION("""COMPUTED_VALUE"""),"Women A 501 Doubles")</f>
        <v>Women A 501 Doubles</v>
      </c>
      <c r="G92" s="8" t="str">
        <f>IFERROR(__xludf.DUMMYFUNCTION("""COMPUTED_VALUE"""),"2nd")</f>
        <v>2nd</v>
      </c>
      <c r="H92" s="8" t="str">
        <f>IFERROR(__xludf.DUMMYFUNCTION("""COMPUTED_VALUE"""),"BullShooter 34 Finals")</f>
        <v>BullShooter 34 Finals</v>
      </c>
      <c r="I92" s="10">
        <f>IFERROR(__xludf.DUMMYFUNCTION("""COMPUTED_VALUE"""),43617.0)</f>
        <v>43617</v>
      </c>
      <c r="J92" s="10">
        <f>IFERROR(__xludf.DUMMYFUNCTION("""COMPUTED_VALUE"""),44713.0)</f>
        <v>44713</v>
      </c>
      <c r="K92" s="15">
        <f>IFERROR(__xludf.DUMMYFUNCTION("""COMPUTED_VALUE"""),45809.0)</f>
        <v>45809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9" t="str">
        <f>IFERROR(__xludf.DUMMYFUNCTION("""COMPUTED_VALUE"""),"Spencer")</f>
        <v>Spencer</v>
      </c>
      <c r="B93" s="8" t="str">
        <f>IFERROR(__xludf.DUMMYFUNCTION("""COMPUTED_VALUE"""),"Dorothy")</f>
        <v>Dorothy</v>
      </c>
      <c r="C93" s="8" t="str">
        <f>IFERROR(__xludf.DUMMYFUNCTION("""COMPUTED_VALUE"""),"")</f>
        <v/>
      </c>
      <c r="D93" s="8" t="str">
        <f>IFERROR(__xludf.DUMMYFUNCTION("""COMPUTED_VALUE"""),"UNK")</f>
        <v>UNK</v>
      </c>
      <c r="E93" s="8" t="str">
        <f>IFERROR(__xludf.DUMMYFUNCTION("""COMPUTED_VALUE"""),"USA")</f>
        <v>USA</v>
      </c>
      <c r="F93" s="8" t="str">
        <f>IFERROR(__xludf.DUMMYFUNCTION("""COMPUTED_VALUE"""),"ADO 2018")</f>
        <v>ADO 2018</v>
      </c>
      <c r="G93" s="8" t="str">
        <f>IFERROR(__xludf.DUMMYFUNCTION("""COMPUTED_VALUE"""),"28th")</f>
        <v>28th</v>
      </c>
      <c r="H93" s="8" t="str">
        <f>IFERROR(__xludf.DUMMYFUNCTION("""COMPUTED_VALUE"""),"ADO 2018")</f>
        <v>ADO 2018</v>
      </c>
      <c r="I93" s="10">
        <f>IFERROR(__xludf.DUMMYFUNCTION("""COMPUTED_VALUE"""),43132.0)</f>
        <v>43132</v>
      </c>
      <c r="J93" s="10">
        <f>IFERROR(__xludf.DUMMYFUNCTION("""COMPUTED_VALUE"""),44348.0)</f>
        <v>44348</v>
      </c>
      <c r="K93" s="15">
        <f>IFERROR(__xludf.DUMMYFUNCTION("""COMPUTED_VALUE"""),45444.0)</f>
        <v>45444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9" t="str">
        <f>IFERROR(__xludf.DUMMYFUNCTION("""COMPUTED_VALUE"""),"Spot")</f>
        <v>Spot</v>
      </c>
      <c r="B94" s="8" t="str">
        <f>IFERROR(__xludf.DUMMYFUNCTION("""COMPUTED_VALUE"""),"Abby")</f>
        <v>Abby</v>
      </c>
      <c r="C94" s="8" t="str">
        <f>IFERROR(__xludf.DUMMYFUNCTION("""COMPUTED_VALUE"""),"New Richmond")</f>
        <v>New Richmond</v>
      </c>
      <c r="D94" s="8" t="str">
        <f>IFERROR(__xludf.DUMMYFUNCTION("""COMPUTED_VALUE"""),"WI")</f>
        <v>WI</v>
      </c>
      <c r="E94" s="8" t="str">
        <f>IFERROR(__xludf.DUMMYFUNCTION("""COMPUTED_VALUE"""),"USA")</f>
        <v>USA</v>
      </c>
      <c r="F94" s="8" t="str">
        <f>IFERROR(__xludf.DUMMYFUNCTION("""COMPUTED_VALUE"""),"Women A 501 Doubles")</f>
        <v>Women A 501 Doubles</v>
      </c>
      <c r="G94" s="8" t="str">
        <f>IFERROR(__xludf.DUMMYFUNCTION("""COMPUTED_VALUE"""),"1st")</f>
        <v>1st</v>
      </c>
      <c r="H94" s="8" t="str">
        <f>IFERROR(__xludf.DUMMYFUNCTION("""COMPUTED_VALUE"""),"BullShooter 34 Finals")</f>
        <v>BullShooter 34 Finals</v>
      </c>
      <c r="I94" s="10">
        <f>IFERROR(__xludf.DUMMYFUNCTION("""COMPUTED_VALUE"""),43617.0)</f>
        <v>43617</v>
      </c>
      <c r="J94" s="10">
        <f>IFERROR(__xludf.DUMMYFUNCTION("""COMPUTED_VALUE"""),44713.0)</f>
        <v>44713</v>
      </c>
      <c r="K94" s="15">
        <f>IFERROR(__xludf.DUMMYFUNCTION("""COMPUTED_VALUE"""),45809.0)</f>
        <v>45809</v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12" t="str">
        <f>IFERROR(__xludf.DUMMYFUNCTION("""COMPUTED_VALUE"""),"Stamm")</f>
        <v>Stamm</v>
      </c>
      <c r="B95" s="13" t="str">
        <f>IFERROR(__xludf.DUMMYFUNCTION("""COMPUTED_VALUE"""),"Bethany")</f>
        <v>Bethany</v>
      </c>
      <c r="C95" s="13" t="str">
        <f>IFERROR(__xludf.DUMMYFUNCTION("""COMPUTED_VALUE"""),"Miamisburg")</f>
        <v>Miamisburg</v>
      </c>
      <c r="D95" s="13" t="str">
        <f>IFERROR(__xludf.DUMMYFUNCTION("""COMPUTED_VALUE"""),"OH")</f>
        <v>OH</v>
      </c>
      <c r="E95" s="13" t="str">
        <f>IFERROR(__xludf.DUMMYFUNCTION("""COMPUTED_VALUE"""),"USA")</f>
        <v>USA</v>
      </c>
      <c r="F95" s="13" t="str">
        <f>IFERROR(__xludf.DUMMYFUNCTION("""COMPUTED_VALUE"""),"Womens Doubles Combo")</f>
        <v>Womens Doubles Combo</v>
      </c>
      <c r="G95" s="13" t="str">
        <f>IFERROR(__xludf.DUMMYFUNCTION("""COMPUTED_VALUE"""),"3rd")</f>
        <v>3rd</v>
      </c>
      <c r="H95" s="13" t="str">
        <f>IFERROR(__xludf.DUMMYFUNCTION("""COMPUTED_VALUE"""),"OFF AA IN 20")</f>
        <v>OFF AA IN 20</v>
      </c>
      <c r="I95" s="15">
        <f>IFERROR(__xludf.DUMMYFUNCTION("""COMPUTED_VALUE"""),43252.0)</f>
        <v>43252</v>
      </c>
      <c r="J95" s="15">
        <f>IFERROR(__xludf.DUMMYFUNCTION("""COMPUTED_VALUE"""),44348.0)</f>
        <v>44348</v>
      </c>
      <c r="K95" s="15">
        <f>IFERROR(__xludf.DUMMYFUNCTION("""COMPUTED_VALUE"""),45444.0)</f>
        <v>45444</v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9" t="str">
        <f>IFERROR(__xludf.DUMMYFUNCTION("""COMPUTED_VALUE"""),"Stein")</f>
        <v>Stein</v>
      </c>
      <c r="B96" s="8" t="str">
        <f>IFERROR(__xludf.DUMMYFUNCTION("""COMPUTED_VALUE"""),"Geri")</f>
        <v>Geri</v>
      </c>
      <c r="C96" s="8" t="str">
        <f>IFERROR(__xludf.DUMMYFUNCTION("""COMPUTED_VALUE"""),"Midlothian")</f>
        <v>Midlothian</v>
      </c>
      <c r="D96" s="8" t="str">
        <f>IFERROR(__xludf.DUMMYFUNCTION("""COMPUTED_VALUE"""),"IL")</f>
        <v>IL</v>
      </c>
      <c r="E96" s="8" t="str">
        <f>IFERROR(__xludf.DUMMYFUNCTION("""COMPUTED_VALUE"""),"USA")</f>
        <v>USA</v>
      </c>
      <c r="F96" s="8" t="str">
        <f>IFERROR(__xludf.DUMMYFUNCTION("""COMPUTED_VALUE"""),"Women AA 501 Doubles")</f>
        <v>Women AA 501 Doubles</v>
      </c>
      <c r="G96" s="8" t="str">
        <f>IFERROR(__xludf.DUMMYFUNCTION("""COMPUTED_VALUE"""),"3rd")</f>
        <v>3rd</v>
      </c>
      <c r="H96" s="8" t="str">
        <f>IFERROR(__xludf.DUMMYFUNCTION("""COMPUTED_VALUE"""),"BullShooter 34 Finals")</f>
        <v>BullShooter 34 Finals</v>
      </c>
      <c r="I96" s="10">
        <f>IFERROR(__xludf.DUMMYFUNCTION("""COMPUTED_VALUE"""),43617.0)</f>
        <v>43617</v>
      </c>
      <c r="J96" s="10">
        <f>IFERROR(__xludf.DUMMYFUNCTION("""COMPUTED_VALUE"""),44713.0)</f>
        <v>44713</v>
      </c>
      <c r="K96" s="15">
        <f>IFERROR(__xludf.DUMMYFUNCTION("""COMPUTED_VALUE"""),45809.0)</f>
        <v>45809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9" t="str">
        <f>IFERROR(__xludf.DUMMYFUNCTION("""COMPUTED_VALUE"""),"Stockton")</f>
        <v>Stockton</v>
      </c>
      <c r="B97" s="8" t="str">
        <f>IFERROR(__xludf.DUMMYFUNCTION("""COMPUTED_VALUE"""),"Corrine")</f>
        <v>Corrine</v>
      </c>
      <c r="C97" s="8" t="str">
        <f>IFERROR(__xludf.DUMMYFUNCTION("""COMPUTED_VALUE"""),"")</f>
        <v/>
      </c>
      <c r="D97" s="8" t="str">
        <f>IFERROR(__xludf.DUMMYFUNCTION("""COMPUTED_VALUE"""),"UNK")</f>
        <v>UNK</v>
      </c>
      <c r="E97" s="8" t="str">
        <f>IFERROR(__xludf.DUMMYFUNCTION("""COMPUTED_VALUE"""),"UNK")</f>
        <v>UNK</v>
      </c>
      <c r="F97" s="8" t="str">
        <f>IFERROR(__xludf.DUMMYFUNCTION("""COMPUTED_VALUE"""),"ADO 2017")</f>
        <v>ADO 2017</v>
      </c>
      <c r="G97" s="8" t="str">
        <f>IFERROR(__xludf.DUMMYFUNCTION("""COMPUTED_VALUE"""),"18th")</f>
        <v>18th</v>
      </c>
      <c r="H97" s="8" t="str">
        <f>IFERROR(__xludf.DUMMYFUNCTION("""COMPUTED_VALUE"""),"ADO 2017")</f>
        <v>ADO 2017</v>
      </c>
      <c r="I97" s="10">
        <f>IFERROR(__xludf.DUMMYFUNCTION("""COMPUTED_VALUE"""),42765.0)</f>
        <v>42765</v>
      </c>
      <c r="J97" s="10">
        <f>IFERROR(__xludf.DUMMYFUNCTION("""COMPUTED_VALUE"""),43983.0)</f>
        <v>43983</v>
      </c>
      <c r="K97" s="15">
        <f>IFERROR(__xludf.DUMMYFUNCTION("""COMPUTED_VALUE"""),45078.0)</f>
        <v>45078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9" t="str">
        <f>IFERROR(__xludf.DUMMYFUNCTION("""COMPUTED_VALUE"""),"Sumner")</f>
        <v>Sumner</v>
      </c>
      <c r="B98" s="8" t="str">
        <f>IFERROR(__xludf.DUMMYFUNCTION("""COMPUTED_VALUE"""),"Elizabeth")</f>
        <v>Elizabeth</v>
      </c>
      <c r="C98" s="8" t="str">
        <f>IFERROR(__xludf.DUMMYFUNCTION("""COMPUTED_VALUE"""),"Auburn")</f>
        <v>Auburn</v>
      </c>
      <c r="D98" s="8" t="str">
        <f>IFERROR(__xludf.DUMMYFUNCTION("""COMPUTED_VALUE"""),"AL")</f>
        <v>AL</v>
      </c>
      <c r="E98" s="8" t="str">
        <f>IFERROR(__xludf.DUMMYFUNCTION("""COMPUTED_VALUE"""),"USA")</f>
        <v>USA</v>
      </c>
      <c r="F98" s="8" t="str">
        <f>IFERROR(__xludf.DUMMYFUNCTION("""COMPUTED_VALUE"""),"Women 301 Doubles")</f>
        <v>Women 301 Doubles</v>
      </c>
      <c r="G98" s="8" t="str">
        <f>IFERROR(__xludf.DUMMYFUNCTION("""COMPUTED_VALUE"""),"1st")</f>
        <v>1st</v>
      </c>
      <c r="H98" s="8" t="str">
        <f>IFERROR(__xludf.DUMMYFUNCTION("""COMPUTED_VALUE"""),"Georgia BS 34")</f>
        <v>Georgia BS 34</v>
      </c>
      <c r="I98" s="10">
        <f>IFERROR(__xludf.DUMMYFUNCTION("""COMPUTED_VALUE"""),43617.0)</f>
        <v>43617</v>
      </c>
      <c r="J98" s="10">
        <f>IFERROR(__xludf.DUMMYFUNCTION("""COMPUTED_VALUE"""),43983.0)</f>
        <v>43983</v>
      </c>
      <c r="K98" s="15">
        <f>IFERROR(__xludf.DUMMYFUNCTION("""COMPUTED_VALUE"""),45078.0)</f>
        <v>45078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9" t="str">
        <f>IFERROR(__xludf.DUMMYFUNCTION("""COMPUTED_VALUE"""),"Taylor")</f>
        <v>Taylor</v>
      </c>
      <c r="B99" s="8" t="str">
        <f>IFERROR(__xludf.DUMMYFUNCTION("""COMPUTED_VALUE"""),"Tanja")</f>
        <v>Tanja</v>
      </c>
      <c r="C99" s="8" t="str">
        <f>IFERROR(__xludf.DUMMYFUNCTION("""COMPUTED_VALUE"""),"Port Richey")</f>
        <v>Port Richey</v>
      </c>
      <c r="D99" s="8" t="str">
        <f>IFERROR(__xludf.DUMMYFUNCTION("""COMPUTED_VALUE"""),"FL")</f>
        <v>FL</v>
      </c>
      <c r="E99" s="8" t="str">
        <f>IFERROR(__xludf.DUMMYFUNCTION("""COMPUTED_VALUE"""),"USA")</f>
        <v>USA</v>
      </c>
      <c r="F99" s="8" t="str">
        <f>IFERROR(__xludf.DUMMYFUNCTION("""COMPUTED_VALUE"""),"Womens Doubles Combo")</f>
        <v>Womens Doubles Combo</v>
      </c>
      <c r="G99" s="8" t="str">
        <f>IFERROR(__xludf.DUMMYFUNCTION("""COMPUTED_VALUE"""),"2nd")</f>
        <v>2nd</v>
      </c>
      <c r="H99" s="8" t="str">
        <f>IFERROR(__xludf.DUMMYFUNCTION("""COMPUTED_VALUE"""),"TN Regional 33")</f>
        <v>TN Regional 33</v>
      </c>
      <c r="I99" s="10">
        <f>IFERROR(__xludf.DUMMYFUNCTION("""COMPUTED_VALUE"""),43252.0)</f>
        <v>43252</v>
      </c>
      <c r="J99" s="10">
        <f>IFERROR(__xludf.DUMMYFUNCTION("""COMPUTED_VALUE"""),44348.0)</f>
        <v>44348</v>
      </c>
      <c r="K99" s="15">
        <f>IFERROR(__xludf.DUMMYFUNCTION("""COMPUTED_VALUE"""),45444.0)</f>
        <v>45444</v>
      </c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9" t="str">
        <f>IFERROR(__xludf.DUMMYFUNCTION("""COMPUTED_VALUE"""),"Thomas")</f>
        <v>Thomas</v>
      </c>
      <c r="B100" s="8" t="str">
        <f>IFERROR(__xludf.DUMMYFUNCTION("""COMPUTED_VALUE"""),"Sherry")</f>
        <v>Sherry</v>
      </c>
      <c r="C100" s="8" t="str">
        <f>IFERROR(__xludf.DUMMYFUNCTION("""COMPUTED_VALUE"""),"Pasadena")</f>
        <v>Pasadena</v>
      </c>
      <c r="D100" s="8" t="str">
        <f>IFERROR(__xludf.DUMMYFUNCTION("""COMPUTED_VALUE"""),"TX")</f>
        <v>TX</v>
      </c>
      <c r="E100" s="8" t="str">
        <f>IFERROR(__xludf.DUMMYFUNCTION("""COMPUTED_VALUE"""),"USA")</f>
        <v>USA</v>
      </c>
      <c r="F100" s="8" t="str">
        <f>IFERROR(__xludf.DUMMYFUNCTION("""COMPUTED_VALUE"""),"Womens Doubles")</f>
        <v>Womens Doubles</v>
      </c>
      <c r="G100" s="8" t="str">
        <f>IFERROR(__xludf.DUMMYFUNCTION("""COMPUTED_VALUE"""),"3rd")</f>
        <v>3rd</v>
      </c>
      <c r="H100" s="8" t="str">
        <f>IFERROR(__xludf.DUMMYFUNCTION("""COMPUTED_VALUE"""),"OFF AA IN 20")</f>
        <v>OFF AA IN 20</v>
      </c>
      <c r="I100" s="10">
        <f>IFERROR(__xludf.DUMMYFUNCTION("""COMPUTED_VALUE"""),43252.0)</f>
        <v>43252</v>
      </c>
      <c r="J100" s="10">
        <f>IFERROR(__xludf.DUMMYFUNCTION("""COMPUTED_VALUE"""),44348.0)</f>
        <v>44348</v>
      </c>
      <c r="K100" s="15">
        <f>IFERROR(__xludf.DUMMYFUNCTION("""COMPUTED_VALUE"""),45444.0)</f>
        <v>45444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9" t="str">
        <f>IFERROR(__xludf.DUMMYFUNCTION("""COMPUTED_VALUE"""),"Tynan")</f>
        <v>Tynan</v>
      </c>
      <c r="B101" s="8" t="str">
        <f>IFERROR(__xludf.DUMMYFUNCTION("""COMPUTED_VALUE"""),"Elizabeth")</f>
        <v>Elizabeth</v>
      </c>
      <c r="C101" s="8" t="str">
        <f>IFERROR(__xludf.DUMMYFUNCTION("""COMPUTED_VALUE"""),"Chicago")</f>
        <v>Chicago</v>
      </c>
      <c r="D101" s="8" t="str">
        <f>IFERROR(__xludf.DUMMYFUNCTION("""COMPUTED_VALUE"""),"IL")</f>
        <v>IL</v>
      </c>
      <c r="E101" s="8" t="str">
        <f>IFERROR(__xludf.DUMMYFUNCTION("""COMPUTED_VALUE"""),"USA")</f>
        <v>USA</v>
      </c>
      <c r="F101" s="8" t="str">
        <f>IFERROR(__xludf.DUMMYFUNCTION("""COMPUTED_VALUE"""),"Women 301 Doubles")</f>
        <v>Women 301 Doubles</v>
      </c>
      <c r="G101" s="8" t="str">
        <f>IFERROR(__xludf.DUMMYFUNCTION("""COMPUTED_VALUE"""),"1st")</f>
        <v>1st</v>
      </c>
      <c r="H101" s="8" t="str">
        <f>IFERROR(__xludf.DUMMYFUNCTION("""COMPUTED_VALUE"""),"Wisconsin BS 34")</f>
        <v>Wisconsin BS 34</v>
      </c>
      <c r="I101" s="10">
        <f>IFERROR(__xludf.DUMMYFUNCTION("""COMPUTED_VALUE"""),43617.0)</f>
        <v>43617</v>
      </c>
      <c r="J101" s="10">
        <f>IFERROR(__xludf.DUMMYFUNCTION("""COMPUTED_VALUE"""),44348.0)</f>
        <v>44348</v>
      </c>
      <c r="K101" s="15">
        <f>IFERROR(__xludf.DUMMYFUNCTION("""COMPUTED_VALUE"""),45444.0)</f>
        <v>45444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9" t="str">
        <f>IFERROR(__xludf.DUMMYFUNCTION("""COMPUTED_VALUE"""),"Van Tassel")</f>
        <v>Van Tassel</v>
      </c>
      <c r="B102" s="8" t="str">
        <f>IFERROR(__xludf.DUMMYFUNCTION("""COMPUTED_VALUE"""),"Roxanne")</f>
        <v>Roxanne</v>
      </c>
      <c r="C102" s="8" t="str">
        <f>IFERROR(__xludf.DUMMYFUNCTION("""COMPUTED_VALUE"""),"")</f>
        <v/>
      </c>
      <c r="D102" s="8" t="str">
        <f>IFERROR(__xludf.DUMMYFUNCTION("""COMPUTED_VALUE"""),"UNK")</f>
        <v>UNK</v>
      </c>
      <c r="E102" s="8" t="str">
        <f>IFERROR(__xludf.DUMMYFUNCTION("""COMPUTED_VALUE"""),"UNK")</f>
        <v>UNK</v>
      </c>
      <c r="F102" s="8" t="str">
        <f>IFERROR(__xludf.DUMMYFUNCTION("""COMPUTED_VALUE"""),"NAPDA 2017")</f>
        <v>NAPDA 2017</v>
      </c>
      <c r="G102" s="8" t="str">
        <f>IFERROR(__xludf.DUMMYFUNCTION("""COMPUTED_VALUE"""),"22ND")</f>
        <v>22ND</v>
      </c>
      <c r="H102" s="8" t="str">
        <f>IFERROR(__xludf.DUMMYFUNCTION("""COMPUTED_VALUE"""),"NAPDA 2017")</f>
        <v>NAPDA 2017</v>
      </c>
      <c r="I102" s="10">
        <f>IFERROR(__xludf.DUMMYFUNCTION("""COMPUTED_VALUE"""),42772.0)</f>
        <v>42772</v>
      </c>
      <c r="J102" s="10">
        <f>IFERROR(__xludf.DUMMYFUNCTION("""COMPUTED_VALUE"""),43983.0)</f>
        <v>43983</v>
      </c>
      <c r="K102" s="15">
        <f>IFERROR(__xludf.DUMMYFUNCTION("""COMPUTED_VALUE"""),45078.0)</f>
        <v>45078</v>
      </c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9" t="str">
        <f>IFERROR(__xludf.DUMMYFUNCTION("""COMPUTED_VALUE"""),"Vitale")</f>
        <v>Vitale</v>
      </c>
      <c r="B103" s="8" t="str">
        <f>IFERROR(__xludf.DUMMYFUNCTION("""COMPUTED_VALUE"""),"Shannon")</f>
        <v>Shannon</v>
      </c>
      <c r="C103" s="8" t="str">
        <f>IFERROR(__xludf.DUMMYFUNCTION("""COMPUTED_VALUE"""),"Vista")</f>
        <v>Vista</v>
      </c>
      <c r="D103" s="8" t="str">
        <f>IFERROR(__xludf.DUMMYFUNCTION("""COMPUTED_VALUE"""),"CA")</f>
        <v>CA</v>
      </c>
      <c r="E103" s="8" t="str">
        <f>IFERROR(__xludf.DUMMYFUNCTION("""COMPUTED_VALUE"""),"USA")</f>
        <v>USA</v>
      </c>
      <c r="F103" s="8" t="str">
        <f>IFERROR(__xludf.DUMMYFUNCTION("""COMPUTED_VALUE"""),"ADO 2018")</f>
        <v>ADO 2018</v>
      </c>
      <c r="G103" s="8" t="str">
        <f>IFERROR(__xludf.DUMMYFUNCTION("""COMPUTED_VALUE"""),"16th")</f>
        <v>16th</v>
      </c>
      <c r="H103" s="8" t="str">
        <f>IFERROR(__xludf.DUMMYFUNCTION("""COMPUTED_VALUE"""),"ADO 2018")</f>
        <v>ADO 2018</v>
      </c>
      <c r="I103" s="10">
        <f>IFERROR(__xludf.DUMMYFUNCTION("""COMPUTED_VALUE"""),43132.0)</f>
        <v>43132</v>
      </c>
      <c r="J103" s="10">
        <f>IFERROR(__xludf.DUMMYFUNCTION("""COMPUTED_VALUE"""),44348.0)</f>
        <v>44348</v>
      </c>
      <c r="K103" s="15">
        <f>IFERROR(__xludf.DUMMYFUNCTION("""COMPUTED_VALUE"""),45444.0)</f>
        <v>45444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9" t="str">
        <f>IFERROR(__xludf.DUMMYFUNCTION("""COMPUTED_VALUE"""),"Walz")</f>
        <v>Walz</v>
      </c>
      <c r="B104" s="8" t="str">
        <f>IFERROR(__xludf.DUMMYFUNCTION("""COMPUTED_VALUE"""),"Patty")</f>
        <v>Patty</v>
      </c>
      <c r="C104" s="8" t="str">
        <f>IFERROR(__xludf.DUMMYFUNCTION("""COMPUTED_VALUE"""),"")</f>
        <v/>
      </c>
      <c r="D104" s="8" t="str">
        <f>IFERROR(__xludf.DUMMYFUNCTION("""COMPUTED_VALUE"""),"UNK")</f>
        <v>UNK</v>
      </c>
      <c r="E104" s="8" t="str">
        <f>IFERROR(__xludf.DUMMYFUNCTION("""COMPUTED_VALUE"""),"UNK")</f>
        <v>UNK</v>
      </c>
      <c r="F104" s="8" t="str">
        <f>IFERROR(__xludf.DUMMYFUNCTION("""COMPUTED_VALUE"""),"ADO 2018")</f>
        <v>ADO 2018</v>
      </c>
      <c r="G104" s="8" t="str">
        <f>IFERROR(__xludf.DUMMYFUNCTION("""COMPUTED_VALUE"""),"13th")</f>
        <v>13th</v>
      </c>
      <c r="H104" s="8" t="str">
        <f>IFERROR(__xludf.DUMMYFUNCTION("""COMPUTED_VALUE"""),"ADO 2018")</f>
        <v>ADO 2018</v>
      </c>
      <c r="I104" s="10">
        <f>IFERROR(__xludf.DUMMYFUNCTION("""COMPUTED_VALUE"""),43132.0)</f>
        <v>43132</v>
      </c>
      <c r="J104" s="10">
        <f>IFERROR(__xludf.DUMMYFUNCTION("""COMPUTED_VALUE"""),44348.0)</f>
        <v>44348</v>
      </c>
      <c r="K104" s="15">
        <f>IFERROR(__xludf.DUMMYFUNCTION("""COMPUTED_VALUE"""),45444.0)</f>
        <v>45444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9" t="str">
        <f>IFERROR(__xludf.DUMMYFUNCTION("""COMPUTED_VALUE"""),"Weger")</f>
        <v>Weger</v>
      </c>
      <c r="B105" s="8" t="str">
        <f>IFERROR(__xludf.DUMMYFUNCTION("""COMPUTED_VALUE"""),"Julie")</f>
        <v>Julie</v>
      </c>
      <c r="C105" s="8" t="str">
        <f>IFERROR(__xludf.DUMMYFUNCTION("""COMPUTED_VALUE"""),"Bloomington")</f>
        <v>Bloomington</v>
      </c>
      <c r="D105" s="8" t="str">
        <f>IFERROR(__xludf.DUMMYFUNCTION("""COMPUTED_VALUE"""),"IL")</f>
        <v>IL</v>
      </c>
      <c r="E105" s="8" t="str">
        <f>IFERROR(__xludf.DUMMYFUNCTION("""COMPUTED_VALUE"""),"USA")</f>
        <v>USA</v>
      </c>
      <c r="F105" s="8" t="str">
        <f>IFERROR(__xludf.DUMMYFUNCTION("""COMPUTED_VALUE"""),"Women AA 501 Doubles")</f>
        <v>Women AA 501 Doubles</v>
      </c>
      <c r="G105" s="8" t="str">
        <f>IFERROR(__xludf.DUMMYFUNCTION("""COMPUTED_VALUE"""),"2nd")</f>
        <v>2nd</v>
      </c>
      <c r="H105" s="8" t="str">
        <f>IFERROR(__xludf.DUMMYFUNCTION("""COMPUTED_VALUE"""),"BullShooter 34 Finals")</f>
        <v>BullShooter 34 Finals</v>
      </c>
      <c r="I105" s="10">
        <f>IFERROR(__xludf.DUMMYFUNCTION("""COMPUTED_VALUE"""),43617.0)</f>
        <v>43617</v>
      </c>
      <c r="J105" s="10">
        <f>IFERROR(__xludf.DUMMYFUNCTION("""COMPUTED_VALUE"""),44713.0)</f>
        <v>44713</v>
      </c>
      <c r="K105" s="15">
        <f>IFERROR(__xludf.DUMMYFUNCTION("""COMPUTED_VALUE"""),45809.0)</f>
        <v>45809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9" t="str">
        <f>IFERROR(__xludf.DUMMYFUNCTION("""COMPUTED_VALUE"""),"West")</f>
        <v>West</v>
      </c>
      <c r="B106" s="8" t="str">
        <f>IFERROR(__xludf.DUMMYFUNCTION("""COMPUTED_VALUE"""),"Cali")</f>
        <v>Cali</v>
      </c>
      <c r="C106" s="8" t="str">
        <f>IFERROR(__xludf.DUMMYFUNCTION("""COMPUTED_VALUE"""),"")</f>
        <v/>
      </c>
      <c r="D106" s="8" t="str">
        <f>IFERROR(__xludf.DUMMYFUNCTION("""COMPUTED_VALUE"""),"NY")</f>
        <v>NY</v>
      </c>
      <c r="E106" s="8" t="str">
        <f>IFERROR(__xludf.DUMMYFUNCTION("""COMPUTED_VALUE"""),"USA")</f>
        <v>USA</v>
      </c>
      <c r="F106" s="8" t="str">
        <f>IFERROR(__xludf.DUMMYFUNCTION("""COMPUTED_VALUE"""),"ADO 2018")</f>
        <v>ADO 2018</v>
      </c>
      <c r="G106" s="8" t="str">
        <f>IFERROR(__xludf.DUMMYFUNCTION("""COMPUTED_VALUE"""),"4th")</f>
        <v>4th</v>
      </c>
      <c r="H106" s="8" t="str">
        <f>IFERROR(__xludf.DUMMYFUNCTION("""COMPUTED_VALUE"""),"ADO 2018")</f>
        <v>ADO 2018</v>
      </c>
      <c r="I106" s="10">
        <f>IFERROR(__xludf.DUMMYFUNCTION("""COMPUTED_VALUE"""),43132.0)</f>
        <v>43132</v>
      </c>
      <c r="J106" s="10">
        <f>IFERROR(__xludf.DUMMYFUNCTION("""COMPUTED_VALUE"""),44348.0)</f>
        <v>44348</v>
      </c>
      <c r="K106" s="15">
        <f>IFERROR(__xludf.DUMMYFUNCTION("""COMPUTED_VALUE"""),45444.0)</f>
        <v>45444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9" t="str">
        <f>IFERROR(__xludf.DUMMYFUNCTION("""COMPUTED_VALUE"""),"Whaley-Hilts")</f>
        <v>Whaley-Hilts</v>
      </c>
      <c r="B107" s="8" t="str">
        <f>IFERROR(__xludf.DUMMYFUNCTION("""COMPUTED_VALUE"""),"Kim")</f>
        <v>Kim</v>
      </c>
      <c r="C107" s="8" t="str">
        <f>IFERROR(__xludf.DUMMYFUNCTION("""COMPUTED_VALUE"""),"Canada")</f>
        <v>Canada</v>
      </c>
      <c r="D107" s="8" t="str">
        <f>IFERROR(__xludf.DUMMYFUNCTION("""COMPUTED_VALUE"""),"UNK")</f>
        <v>UNK</v>
      </c>
      <c r="E107" s="8" t="str">
        <f>IFERROR(__xludf.DUMMYFUNCTION("""COMPUTED_VALUE"""),"Canada")</f>
        <v>Canada</v>
      </c>
      <c r="F107" s="8" t="str">
        <f>IFERROR(__xludf.DUMMYFUNCTION("""COMPUTED_VALUE"""),"NAPDA 2018")</f>
        <v>NAPDA 2018</v>
      </c>
      <c r="G107" s="8" t="str">
        <f>IFERROR(__xludf.DUMMYFUNCTION("""COMPUTED_VALUE"""),"10TH")</f>
        <v>10TH</v>
      </c>
      <c r="H107" s="8" t="str">
        <f>IFERROR(__xludf.DUMMYFUNCTION("""COMPUTED_VALUE"""),"NAPDA 2018")</f>
        <v>NAPDA 2018</v>
      </c>
      <c r="I107" s="10">
        <f>IFERROR(__xludf.DUMMYFUNCTION("""COMPUTED_VALUE"""),43132.0)</f>
        <v>43132</v>
      </c>
      <c r="J107" s="10">
        <f>IFERROR(__xludf.DUMMYFUNCTION("""COMPUTED_VALUE"""),44348.0)</f>
        <v>44348</v>
      </c>
      <c r="K107" s="15">
        <f>IFERROR(__xludf.DUMMYFUNCTION("""COMPUTED_VALUE"""),45444.0)</f>
        <v>45444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9" t="str">
        <f>IFERROR(__xludf.DUMMYFUNCTION("""COMPUTED_VALUE"""),"Wieshlow")</f>
        <v>Wieshlow</v>
      </c>
      <c r="B108" s="8" t="str">
        <f>IFERROR(__xludf.DUMMYFUNCTION("""COMPUTED_VALUE"""),"Ivy")</f>
        <v>Ivy</v>
      </c>
      <c r="C108" s="8" t="str">
        <f>IFERROR(__xludf.DUMMYFUNCTION("""COMPUTED_VALUE"""),"")</f>
        <v/>
      </c>
      <c r="D108" s="8" t="str">
        <f>IFERROR(__xludf.DUMMYFUNCTION("""COMPUTED_VALUE"""),"UNK")</f>
        <v>UNK</v>
      </c>
      <c r="E108" s="8" t="str">
        <f>IFERROR(__xludf.DUMMYFUNCTION("""COMPUTED_VALUE"""),"UNK")</f>
        <v>UNK</v>
      </c>
      <c r="F108" s="8" t="str">
        <f>IFERROR(__xludf.DUMMYFUNCTION("""COMPUTED_VALUE"""),"NAPDA 2017")</f>
        <v>NAPDA 2017</v>
      </c>
      <c r="G108" s="8" t="str">
        <f>IFERROR(__xludf.DUMMYFUNCTION("""COMPUTED_VALUE"""),"24TH")</f>
        <v>24TH</v>
      </c>
      <c r="H108" s="8" t="str">
        <f>IFERROR(__xludf.DUMMYFUNCTION("""COMPUTED_VALUE"""),"NAPDA 2017")</f>
        <v>NAPDA 2017</v>
      </c>
      <c r="I108" s="10">
        <f>IFERROR(__xludf.DUMMYFUNCTION("""COMPUTED_VALUE"""),42772.0)</f>
        <v>42772</v>
      </c>
      <c r="J108" s="10">
        <f>IFERROR(__xludf.DUMMYFUNCTION("""COMPUTED_VALUE"""),43983.0)</f>
        <v>43983</v>
      </c>
      <c r="K108" s="15">
        <f>IFERROR(__xludf.DUMMYFUNCTION("""COMPUTED_VALUE"""),45078.0)</f>
        <v>45078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9" t="str">
        <f>IFERROR(__xludf.DUMMYFUNCTION("""COMPUTED_VALUE"""),"Windsor")</f>
        <v>Windsor</v>
      </c>
      <c r="B109" s="8" t="str">
        <f>IFERROR(__xludf.DUMMYFUNCTION("""COMPUTED_VALUE"""),"Helen")</f>
        <v>Helen</v>
      </c>
      <c r="C109" s="8" t="str">
        <f>IFERROR(__xludf.DUMMYFUNCTION("""COMPUTED_VALUE"""),"Bethalto")</f>
        <v>Bethalto</v>
      </c>
      <c r="D109" s="8" t="str">
        <f>IFERROR(__xludf.DUMMYFUNCTION("""COMPUTED_VALUE"""),"IL")</f>
        <v>IL</v>
      </c>
      <c r="E109" s="8" t="str">
        <f>IFERROR(__xludf.DUMMYFUNCTION("""COMPUTED_VALUE"""),"USA")</f>
        <v>USA</v>
      </c>
      <c r="F109" s="8" t="str">
        <f>IFERROR(__xludf.DUMMYFUNCTION("""COMPUTED_VALUE"""),"Womens A/AA Luck")</f>
        <v>Womens A/AA Luck</v>
      </c>
      <c r="G109" s="8" t="str">
        <f>IFERROR(__xludf.DUMMYFUNCTION("""COMPUTED_VALUE"""),"3rd")</f>
        <v>3rd</v>
      </c>
      <c r="H109" s="8" t="str">
        <f>IFERROR(__xludf.DUMMYFUNCTION("""COMPUTED_VALUE"""),"BS 33 Finals")</f>
        <v>BS 33 Finals</v>
      </c>
      <c r="I109" s="10">
        <f>IFERROR(__xludf.DUMMYFUNCTION("""COMPUTED_VALUE"""),43252.0)</f>
        <v>43252</v>
      </c>
      <c r="J109" s="10">
        <f>IFERROR(__xludf.DUMMYFUNCTION("""COMPUTED_VALUE"""),44348.0)</f>
        <v>44348</v>
      </c>
      <c r="K109" s="15">
        <f>IFERROR(__xludf.DUMMYFUNCTION("""COMPUTED_VALUE"""),45444.0)</f>
        <v>45444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9" t="str">
        <f>IFERROR(__xludf.DUMMYFUNCTION("""COMPUTED_VALUE"""),"Wright")</f>
        <v>Wright</v>
      </c>
      <c r="B110" s="8" t="str">
        <f>IFERROR(__xludf.DUMMYFUNCTION("""COMPUTED_VALUE"""),"Melissa")</f>
        <v>Melissa</v>
      </c>
      <c r="C110" s="8" t="str">
        <f>IFERROR(__xludf.DUMMYFUNCTION("""COMPUTED_VALUE"""),"")</f>
        <v/>
      </c>
      <c r="D110" s="8" t="str">
        <f>IFERROR(__xludf.DUMMYFUNCTION("""COMPUTED_VALUE"""),"UNK")</f>
        <v>UNK</v>
      </c>
      <c r="E110" s="8" t="str">
        <f>IFERROR(__xludf.DUMMYFUNCTION("""COMPUTED_VALUE"""),"USA")</f>
        <v>USA</v>
      </c>
      <c r="F110" s="8" t="str">
        <f>IFERROR(__xludf.DUMMYFUNCTION("""COMPUTED_VALUE"""),"ADO 2018")</f>
        <v>ADO 2018</v>
      </c>
      <c r="G110" s="8" t="str">
        <f>IFERROR(__xludf.DUMMYFUNCTION("""COMPUTED_VALUE"""),"12th")</f>
        <v>12th</v>
      </c>
      <c r="H110" s="8" t="str">
        <f>IFERROR(__xludf.DUMMYFUNCTION("""COMPUTED_VALUE"""),"ADO 2018")</f>
        <v>ADO 2018</v>
      </c>
      <c r="I110" s="10">
        <f>IFERROR(__xludf.DUMMYFUNCTION("""COMPUTED_VALUE"""),43132.0)</f>
        <v>43132</v>
      </c>
      <c r="J110" s="10">
        <f>IFERROR(__xludf.DUMMYFUNCTION("""COMPUTED_VALUE"""),43983.0)</f>
        <v>43983</v>
      </c>
      <c r="K110" s="15">
        <f>IFERROR(__xludf.DUMMYFUNCTION("""COMPUTED_VALUE"""),45078.0)</f>
        <v>45078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9" t="str">
        <f>IFERROR(__xludf.DUMMYFUNCTION("""COMPUTED_VALUE"""),"Yee")</f>
        <v>Yee</v>
      </c>
      <c r="B111" s="8" t="str">
        <f>IFERROR(__xludf.DUMMYFUNCTION("""COMPUTED_VALUE"""),"Lisa")</f>
        <v>Lisa</v>
      </c>
      <c r="C111" s="8" t="str">
        <f>IFERROR(__xludf.DUMMYFUNCTION("""COMPUTED_VALUE"""),"Phoenix")</f>
        <v>Phoenix</v>
      </c>
      <c r="D111" s="8" t="str">
        <f>IFERROR(__xludf.DUMMYFUNCTION("""COMPUTED_VALUE"""),"AZ")</f>
        <v>AZ</v>
      </c>
      <c r="E111" s="8" t="str">
        <f>IFERROR(__xludf.DUMMYFUNCTION("""COMPUTED_VALUE"""),"USA")</f>
        <v>USA</v>
      </c>
      <c r="F111" s="8" t="str">
        <f>IFERROR(__xludf.DUMMYFUNCTION("""COMPUTED_VALUE"""),"TopGun Women A/AA Singles")</f>
        <v>TopGun Women A/AA Singles</v>
      </c>
      <c r="G111" s="8" t="str">
        <f>IFERROR(__xludf.DUMMYFUNCTION("""COMPUTED_VALUE"""),"4th")</f>
        <v>4th</v>
      </c>
      <c r="H111" s="8" t="str">
        <f>IFERROR(__xludf.DUMMYFUNCTION("""COMPUTED_VALUE"""),"BullShooter 34 Finals")</f>
        <v>BullShooter 34 Finals</v>
      </c>
      <c r="I111" s="10">
        <f>IFERROR(__xludf.DUMMYFUNCTION("""COMPUTED_VALUE"""),43617.0)</f>
        <v>43617</v>
      </c>
      <c r="J111" s="10">
        <f>IFERROR(__xludf.DUMMYFUNCTION("""COMPUTED_VALUE"""),44713.0)</f>
        <v>44713</v>
      </c>
      <c r="K111" s="15">
        <f>IFERROR(__xludf.DUMMYFUNCTION("""COMPUTED_VALUE"""),45809.0)</f>
        <v>45809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9" t="str">
        <f>IFERROR(__xludf.DUMMYFUNCTION("""COMPUTED_VALUE"""),"Young")</f>
        <v>Young</v>
      </c>
      <c r="B112" s="8" t="str">
        <f>IFERROR(__xludf.DUMMYFUNCTION("""COMPUTED_VALUE"""),"Holly")</f>
        <v>Holly</v>
      </c>
      <c r="C112" s="8" t="str">
        <f>IFERROR(__xludf.DUMMYFUNCTION("""COMPUTED_VALUE"""),"Freeland")</f>
        <v>Freeland</v>
      </c>
      <c r="D112" s="8" t="str">
        <f>IFERROR(__xludf.DUMMYFUNCTION("""COMPUTED_VALUE"""),"PA")</f>
        <v>PA</v>
      </c>
      <c r="E112" s="8" t="str">
        <f>IFERROR(__xludf.DUMMYFUNCTION("""COMPUTED_VALUE"""),"USA")</f>
        <v>USA</v>
      </c>
      <c r="F112" s="8" t="str">
        <f>IFERROR(__xludf.DUMMYFUNCTION("""COMPUTED_VALUE"""),"ADO 2018")</f>
        <v>ADO 2018</v>
      </c>
      <c r="G112" s="8" t="str">
        <f>IFERROR(__xludf.DUMMYFUNCTION("""COMPUTED_VALUE"""),"21st")</f>
        <v>21st</v>
      </c>
      <c r="H112" s="8" t="str">
        <f>IFERROR(__xludf.DUMMYFUNCTION("""COMPUTED_VALUE"""),"ADO 2018")</f>
        <v>ADO 2018</v>
      </c>
      <c r="I112" s="10">
        <f>IFERROR(__xludf.DUMMYFUNCTION("""COMPUTED_VALUE"""),43132.0)</f>
        <v>43132</v>
      </c>
      <c r="J112" s="10">
        <f>IFERROR(__xludf.DUMMYFUNCTION("""COMPUTED_VALUE"""),44348.0)</f>
        <v>44348</v>
      </c>
      <c r="K112" s="15">
        <f>IFERROR(__xludf.DUMMYFUNCTION("""COMPUTED_VALUE"""),45444.0)</f>
        <v>45444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9"/>
      <c r="B113" s="8"/>
      <c r="C113" s="8"/>
      <c r="D113" s="8"/>
      <c r="E113" s="8"/>
      <c r="F113" s="8"/>
      <c r="G113" s="8"/>
      <c r="H113" s="8"/>
      <c r="I113" s="10"/>
      <c r="J113" s="10"/>
      <c r="K113" s="11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9"/>
      <c r="B114" s="8"/>
      <c r="C114" s="8"/>
      <c r="D114" s="8"/>
      <c r="E114" s="8"/>
      <c r="F114" s="8"/>
      <c r="G114" s="8"/>
      <c r="H114" s="8"/>
      <c r="I114" s="10"/>
      <c r="J114" s="10"/>
      <c r="K114" s="1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9"/>
      <c r="B115" s="8"/>
      <c r="C115" s="8"/>
      <c r="D115" s="8"/>
      <c r="E115" s="8"/>
      <c r="F115" s="8"/>
      <c r="G115" s="8"/>
      <c r="H115" s="8"/>
      <c r="I115" s="10"/>
      <c r="J115" s="10"/>
      <c r="K115" s="11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9"/>
      <c r="B116" s="8"/>
      <c r="C116" s="8"/>
      <c r="D116" s="8"/>
      <c r="E116" s="8"/>
      <c r="F116" s="8"/>
      <c r="G116" s="8"/>
      <c r="H116" s="8"/>
      <c r="I116" s="10"/>
      <c r="J116" s="10"/>
      <c r="K116" s="11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9"/>
      <c r="B117" s="8"/>
      <c r="C117" s="8"/>
      <c r="D117" s="8"/>
      <c r="E117" s="8"/>
      <c r="F117" s="8"/>
      <c r="G117" s="8"/>
      <c r="H117" s="8"/>
      <c r="I117" s="10"/>
      <c r="J117" s="10"/>
      <c r="K117" s="11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9"/>
      <c r="B118" s="8"/>
      <c r="C118" s="8"/>
      <c r="D118" s="8"/>
      <c r="E118" s="8"/>
      <c r="F118" s="8"/>
      <c r="G118" s="8"/>
      <c r="H118" s="8"/>
      <c r="I118" s="10"/>
      <c r="J118" s="10"/>
      <c r="K118" s="11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9"/>
      <c r="B119" s="8"/>
      <c r="C119" s="8"/>
      <c r="D119" s="8"/>
      <c r="E119" s="8"/>
      <c r="F119" s="8"/>
      <c r="G119" s="8"/>
      <c r="H119" s="8"/>
      <c r="I119" s="10"/>
      <c r="J119" s="10"/>
      <c r="K119" s="11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9"/>
      <c r="B120" s="8"/>
      <c r="C120" s="8"/>
      <c r="D120" s="8"/>
      <c r="E120" s="8"/>
      <c r="F120" s="8"/>
      <c r="G120" s="8"/>
      <c r="H120" s="8"/>
      <c r="I120" s="10"/>
      <c r="J120" s="10"/>
      <c r="K120" s="11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9"/>
      <c r="B121" s="8"/>
      <c r="C121" s="8"/>
      <c r="D121" s="8"/>
      <c r="E121" s="8"/>
      <c r="F121" s="8"/>
      <c r="G121" s="8"/>
      <c r="H121" s="8"/>
      <c r="I121" s="10"/>
      <c r="J121" s="10"/>
      <c r="K121" s="11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9"/>
      <c r="B122" s="8"/>
      <c r="C122" s="8"/>
      <c r="D122" s="8"/>
      <c r="E122" s="8"/>
      <c r="F122" s="8"/>
      <c r="G122" s="8"/>
      <c r="H122" s="8"/>
      <c r="I122" s="10"/>
      <c r="J122" s="10"/>
      <c r="K122" s="11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9"/>
      <c r="B123" s="8"/>
      <c r="C123" s="8"/>
      <c r="D123" s="8"/>
      <c r="E123" s="8"/>
      <c r="F123" s="8"/>
      <c r="G123" s="8"/>
      <c r="H123" s="8"/>
      <c r="I123" s="10"/>
      <c r="J123" s="10"/>
      <c r="K123" s="11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9"/>
      <c r="B124" s="8"/>
      <c r="C124" s="8"/>
      <c r="D124" s="8"/>
      <c r="E124" s="8"/>
      <c r="F124" s="8"/>
      <c r="G124" s="8"/>
      <c r="H124" s="8"/>
      <c r="I124" s="10"/>
      <c r="J124" s="10"/>
      <c r="K124" s="11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9"/>
      <c r="B125" s="8"/>
      <c r="C125" s="8"/>
      <c r="D125" s="8"/>
      <c r="E125" s="8"/>
      <c r="F125" s="8"/>
      <c r="G125" s="8"/>
      <c r="H125" s="8"/>
      <c r="I125" s="10"/>
      <c r="J125" s="10"/>
      <c r="K125" s="11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9"/>
      <c r="B126" s="8"/>
      <c r="C126" s="8"/>
      <c r="D126" s="8"/>
      <c r="E126" s="8"/>
      <c r="F126" s="8"/>
      <c r="G126" s="8"/>
      <c r="H126" s="8"/>
      <c r="I126" s="10"/>
      <c r="J126" s="10"/>
      <c r="K126" s="11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9"/>
      <c r="B127" s="8"/>
      <c r="C127" s="8"/>
      <c r="D127" s="8"/>
      <c r="E127" s="8"/>
      <c r="F127" s="8"/>
      <c r="G127" s="8"/>
      <c r="H127" s="8"/>
      <c r="I127" s="10"/>
      <c r="J127" s="10"/>
      <c r="K127" s="11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9"/>
      <c r="B128" s="8"/>
      <c r="C128" s="8"/>
      <c r="D128" s="8"/>
      <c r="E128" s="8"/>
      <c r="F128" s="8"/>
      <c r="G128" s="8"/>
      <c r="H128" s="8"/>
      <c r="I128" s="10"/>
      <c r="J128" s="10"/>
      <c r="K128" s="11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9"/>
      <c r="B129" s="8"/>
      <c r="C129" s="8"/>
      <c r="D129" s="8"/>
      <c r="E129" s="8"/>
      <c r="F129" s="8"/>
      <c r="G129" s="8"/>
      <c r="H129" s="8"/>
      <c r="I129" s="10"/>
      <c r="J129" s="10"/>
      <c r="K129" s="11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9"/>
      <c r="B130" s="8"/>
      <c r="C130" s="8"/>
      <c r="D130" s="8"/>
      <c r="E130" s="8"/>
      <c r="F130" s="8"/>
      <c r="G130" s="8"/>
      <c r="H130" s="8"/>
      <c r="I130" s="10"/>
      <c r="J130" s="10"/>
      <c r="K130" s="11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9"/>
      <c r="B131" s="8"/>
      <c r="C131" s="8"/>
      <c r="D131" s="8"/>
      <c r="E131" s="8"/>
      <c r="F131" s="8"/>
      <c r="G131" s="8"/>
      <c r="H131" s="8"/>
      <c r="I131" s="10"/>
      <c r="J131" s="10"/>
      <c r="K131" s="11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9"/>
      <c r="B132" s="8"/>
      <c r="C132" s="8"/>
      <c r="D132" s="8"/>
      <c r="E132" s="8"/>
      <c r="F132" s="8"/>
      <c r="G132" s="8"/>
      <c r="H132" s="8"/>
      <c r="I132" s="10"/>
      <c r="J132" s="10"/>
      <c r="K132" s="11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9"/>
      <c r="B133" s="8"/>
      <c r="C133" s="8"/>
      <c r="D133" s="8"/>
      <c r="E133" s="8"/>
      <c r="F133" s="8"/>
      <c r="G133" s="8"/>
      <c r="H133" s="8"/>
      <c r="I133" s="10"/>
      <c r="J133" s="10"/>
      <c r="K133" s="11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9"/>
      <c r="B134" s="8"/>
      <c r="C134" s="8"/>
      <c r="D134" s="8"/>
      <c r="E134" s="8"/>
      <c r="F134" s="8"/>
      <c r="G134" s="8"/>
      <c r="H134" s="8"/>
      <c r="I134" s="10"/>
      <c r="J134" s="10"/>
      <c r="K134" s="11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9"/>
      <c r="B135" s="8"/>
      <c r="C135" s="8"/>
      <c r="D135" s="8"/>
      <c r="E135" s="8"/>
      <c r="F135" s="8"/>
      <c r="G135" s="8"/>
      <c r="H135" s="8"/>
      <c r="I135" s="10"/>
      <c r="J135" s="10"/>
      <c r="K135" s="11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9"/>
      <c r="B136" s="8"/>
      <c r="C136" s="8"/>
      <c r="D136" s="8"/>
      <c r="E136" s="8"/>
      <c r="F136" s="8"/>
      <c r="G136" s="8"/>
      <c r="H136" s="8"/>
      <c r="I136" s="10"/>
      <c r="J136" s="10"/>
      <c r="K136" s="11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9"/>
      <c r="B137" s="8"/>
      <c r="C137" s="8"/>
      <c r="D137" s="8"/>
      <c r="E137" s="8"/>
      <c r="F137" s="8"/>
      <c r="G137" s="8"/>
      <c r="H137" s="8"/>
      <c r="I137" s="10"/>
      <c r="J137" s="10"/>
      <c r="K137" s="11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9"/>
      <c r="B138" s="8"/>
      <c r="C138" s="8"/>
      <c r="D138" s="8"/>
      <c r="E138" s="8"/>
      <c r="F138" s="8"/>
      <c r="G138" s="8"/>
      <c r="H138" s="8"/>
      <c r="I138" s="10"/>
      <c r="J138" s="10"/>
      <c r="K138" s="11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9"/>
      <c r="B139" s="8"/>
      <c r="C139" s="8"/>
      <c r="D139" s="8"/>
      <c r="E139" s="8"/>
      <c r="F139" s="8"/>
      <c r="G139" s="8"/>
      <c r="H139" s="8"/>
      <c r="I139" s="10"/>
      <c r="J139" s="10"/>
      <c r="K139" s="11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9"/>
      <c r="B140" s="8"/>
      <c r="C140" s="8"/>
      <c r="D140" s="8"/>
      <c r="E140" s="8"/>
      <c r="F140" s="8"/>
      <c r="G140" s="8"/>
      <c r="H140" s="8"/>
      <c r="I140" s="10"/>
      <c r="J140" s="10"/>
      <c r="K140" s="11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9"/>
      <c r="B141" s="8"/>
      <c r="C141" s="8"/>
      <c r="D141" s="8"/>
      <c r="E141" s="8"/>
      <c r="F141" s="8"/>
      <c r="G141" s="8"/>
      <c r="H141" s="8"/>
      <c r="I141" s="10"/>
      <c r="J141" s="10"/>
      <c r="K141" s="11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9"/>
      <c r="B142" s="8"/>
      <c r="C142" s="8"/>
      <c r="D142" s="8"/>
      <c r="E142" s="8"/>
      <c r="F142" s="8"/>
      <c r="G142" s="8"/>
      <c r="H142" s="8"/>
      <c r="I142" s="10"/>
      <c r="J142" s="10"/>
      <c r="K142" s="11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9"/>
      <c r="B143" s="8"/>
      <c r="C143" s="8"/>
      <c r="D143" s="8"/>
      <c r="E143" s="8"/>
      <c r="F143" s="8"/>
      <c r="G143" s="8"/>
      <c r="H143" s="8"/>
      <c r="I143" s="10"/>
      <c r="J143" s="10"/>
      <c r="K143" s="11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9"/>
      <c r="B144" s="8"/>
      <c r="C144" s="8"/>
      <c r="D144" s="8"/>
      <c r="E144" s="8"/>
      <c r="F144" s="8"/>
      <c r="G144" s="8"/>
      <c r="H144" s="8"/>
      <c r="I144" s="10"/>
      <c r="J144" s="10"/>
      <c r="K144" s="11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9"/>
      <c r="B145" s="8"/>
      <c r="C145" s="8"/>
      <c r="D145" s="8"/>
      <c r="E145" s="8"/>
      <c r="F145" s="8"/>
      <c r="G145" s="8"/>
      <c r="H145" s="8"/>
      <c r="I145" s="10"/>
      <c r="J145" s="10"/>
      <c r="K145" s="11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9"/>
      <c r="B146" s="8"/>
      <c r="C146" s="8"/>
      <c r="D146" s="8"/>
      <c r="E146" s="8"/>
      <c r="F146" s="8"/>
      <c r="G146" s="8"/>
      <c r="H146" s="8"/>
      <c r="I146" s="10"/>
      <c r="J146" s="10"/>
      <c r="K146" s="11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9"/>
      <c r="B147" s="8"/>
      <c r="C147" s="8"/>
      <c r="D147" s="8"/>
      <c r="E147" s="8"/>
      <c r="F147" s="8"/>
      <c r="G147" s="8"/>
      <c r="H147" s="8"/>
      <c r="I147" s="10"/>
      <c r="J147" s="10"/>
      <c r="K147" s="11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9"/>
      <c r="B148" s="8"/>
      <c r="C148" s="8"/>
      <c r="D148" s="8"/>
      <c r="E148" s="8"/>
      <c r="F148" s="8"/>
      <c r="G148" s="8"/>
      <c r="H148" s="8"/>
      <c r="I148" s="10"/>
      <c r="J148" s="10"/>
      <c r="K148" s="11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9"/>
      <c r="B149" s="8"/>
      <c r="C149" s="8"/>
      <c r="D149" s="8"/>
      <c r="E149" s="8"/>
      <c r="F149" s="8"/>
      <c r="G149" s="8"/>
      <c r="H149" s="8"/>
      <c r="I149" s="10"/>
      <c r="J149" s="10"/>
      <c r="K149" s="11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9"/>
      <c r="B150" s="8"/>
      <c r="C150" s="8"/>
      <c r="D150" s="8"/>
      <c r="E150" s="8"/>
      <c r="F150" s="8"/>
      <c r="G150" s="8"/>
      <c r="H150" s="8"/>
      <c r="I150" s="10"/>
      <c r="J150" s="10"/>
      <c r="K150" s="11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9"/>
      <c r="B151" s="8"/>
      <c r="C151" s="8"/>
      <c r="D151" s="8"/>
      <c r="E151" s="8"/>
      <c r="F151" s="8"/>
      <c r="G151" s="8"/>
      <c r="H151" s="8"/>
      <c r="I151" s="10"/>
      <c r="J151" s="10"/>
      <c r="K151" s="11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9"/>
      <c r="B152" s="8"/>
      <c r="C152" s="8"/>
      <c r="D152" s="8"/>
      <c r="E152" s="8"/>
      <c r="F152" s="8"/>
      <c r="G152" s="8"/>
      <c r="H152" s="8"/>
      <c r="I152" s="10"/>
      <c r="J152" s="10"/>
      <c r="K152" s="11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9"/>
      <c r="B153" s="8"/>
      <c r="C153" s="8"/>
      <c r="D153" s="8"/>
      <c r="E153" s="8"/>
      <c r="F153" s="8"/>
      <c r="G153" s="8"/>
      <c r="H153" s="8"/>
      <c r="I153" s="10"/>
      <c r="J153" s="10"/>
      <c r="K153" s="11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9"/>
      <c r="B154" s="8"/>
      <c r="C154" s="8"/>
      <c r="D154" s="8"/>
      <c r="E154" s="8"/>
      <c r="F154" s="8"/>
      <c r="G154" s="8"/>
      <c r="H154" s="8"/>
      <c r="I154" s="10"/>
      <c r="J154" s="10"/>
      <c r="K154" s="11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9"/>
      <c r="B155" s="8"/>
      <c r="C155" s="8"/>
      <c r="D155" s="8"/>
      <c r="E155" s="8"/>
      <c r="F155" s="8"/>
      <c r="G155" s="8"/>
      <c r="H155" s="8"/>
      <c r="I155" s="10"/>
      <c r="J155" s="10"/>
      <c r="K155" s="11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9"/>
      <c r="B156" s="8"/>
      <c r="C156" s="8"/>
      <c r="D156" s="8"/>
      <c r="E156" s="8"/>
      <c r="F156" s="8"/>
      <c r="G156" s="8"/>
      <c r="H156" s="8"/>
      <c r="I156" s="10"/>
      <c r="J156" s="10"/>
      <c r="K156" s="11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9"/>
      <c r="B157" s="8"/>
      <c r="C157" s="8"/>
      <c r="D157" s="8"/>
      <c r="E157" s="8"/>
      <c r="F157" s="8"/>
      <c r="G157" s="8"/>
      <c r="H157" s="8"/>
      <c r="I157" s="10"/>
      <c r="J157" s="10"/>
      <c r="K157" s="11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9"/>
      <c r="B158" s="8"/>
      <c r="C158" s="8"/>
      <c r="D158" s="8"/>
      <c r="E158" s="8"/>
      <c r="F158" s="8"/>
      <c r="G158" s="8"/>
      <c r="H158" s="8"/>
      <c r="I158" s="10"/>
      <c r="J158" s="10"/>
      <c r="K158" s="11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9"/>
      <c r="B159" s="8"/>
      <c r="C159" s="8"/>
      <c r="D159" s="8"/>
      <c r="E159" s="8"/>
      <c r="F159" s="8"/>
      <c r="G159" s="8"/>
      <c r="H159" s="8"/>
      <c r="I159" s="10"/>
      <c r="J159" s="10"/>
      <c r="K159" s="11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12"/>
      <c r="B160" s="13"/>
      <c r="C160" s="13"/>
      <c r="D160" s="13"/>
      <c r="E160" s="13"/>
      <c r="F160" s="13"/>
      <c r="G160" s="13"/>
      <c r="H160" s="13"/>
      <c r="I160" s="14"/>
      <c r="J160" s="14"/>
      <c r="K160" s="11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9"/>
      <c r="B161" s="8"/>
      <c r="C161" s="8"/>
      <c r="D161" s="8"/>
      <c r="E161" s="8"/>
      <c r="F161" s="8"/>
      <c r="G161" s="8"/>
      <c r="H161" s="8"/>
      <c r="I161" s="10"/>
      <c r="J161" s="10"/>
      <c r="K161" s="11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9"/>
      <c r="B162" s="8"/>
      <c r="C162" s="8"/>
      <c r="D162" s="8"/>
      <c r="E162" s="8"/>
      <c r="F162" s="8"/>
      <c r="G162" s="8"/>
      <c r="H162" s="8"/>
      <c r="I162" s="10"/>
      <c r="J162" s="10"/>
      <c r="K162" s="11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9"/>
      <c r="B163" s="8"/>
      <c r="C163" s="8"/>
      <c r="D163" s="8"/>
      <c r="E163" s="8"/>
      <c r="F163" s="8"/>
      <c r="G163" s="8"/>
      <c r="H163" s="8"/>
      <c r="I163" s="10"/>
      <c r="J163" s="10"/>
      <c r="K163" s="11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9"/>
      <c r="B164" s="8"/>
      <c r="C164" s="8"/>
      <c r="D164" s="8"/>
      <c r="E164" s="8"/>
      <c r="F164" s="8"/>
      <c r="G164" s="8"/>
      <c r="H164" s="8"/>
      <c r="I164" s="10"/>
      <c r="J164" s="10"/>
      <c r="K164" s="11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8.0" customHeight="1">
      <c r="A165" s="9"/>
      <c r="B165" s="8"/>
      <c r="C165" s="8"/>
      <c r="D165" s="8"/>
      <c r="E165" s="8"/>
      <c r="F165" s="8"/>
      <c r="G165" s="8"/>
      <c r="H165" s="8"/>
      <c r="I165" s="10"/>
      <c r="J165" s="10"/>
      <c r="K165" s="11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9"/>
      <c r="B166" s="8"/>
      <c r="C166" s="8"/>
      <c r="D166" s="8"/>
      <c r="E166" s="8"/>
      <c r="F166" s="8"/>
      <c r="G166" s="8"/>
      <c r="H166" s="8"/>
      <c r="I166" s="10"/>
      <c r="J166" s="10"/>
      <c r="K166" s="11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9"/>
      <c r="B167" s="8"/>
      <c r="C167" s="8"/>
      <c r="D167" s="8"/>
      <c r="E167" s="8"/>
      <c r="F167" s="8"/>
      <c r="G167" s="8"/>
      <c r="H167" s="8"/>
      <c r="I167" s="10"/>
      <c r="J167" s="10"/>
      <c r="K167" s="11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9"/>
      <c r="B168" s="8"/>
      <c r="C168" s="8"/>
      <c r="D168" s="8"/>
      <c r="E168" s="8"/>
      <c r="F168" s="8"/>
      <c r="G168" s="8"/>
      <c r="H168" s="8"/>
      <c r="I168" s="10"/>
      <c r="J168" s="10"/>
      <c r="K168" s="11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9"/>
      <c r="B169" s="8"/>
      <c r="C169" s="8"/>
      <c r="D169" s="8"/>
      <c r="E169" s="8"/>
      <c r="F169" s="8"/>
      <c r="G169" s="8"/>
      <c r="H169" s="8"/>
      <c r="I169" s="10"/>
      <c r="J169" s="10"/>
      <c r="K169" s="11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9"/>
      <c r="B170" s="8"/>
      <c r="C170" s="8"/>
      <c r="D170" s="8"/>
      <c r="E170" s="8"/>
      <c r="F170" s="8"/>
      <c r="G170" s="8"/>
      <c r="H170" s="8"/>
      <c r="I170" s="10"/>
      <c r="J170" s="10"/>
      <c r="K170" s="1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9"/>
      <c r="B171" s="8"/>
      <c r="C171" s="8"/>
      <c r="D171" s="8"/>
      <c r="E171" s="8"/>
      <c r="F171" s="8"/>
      <c r="G171" s="8"/>
      <c r="H171" s="8"/>
      <c r="I171" s="10"/>
      <c r="J171" s="10"/>
      <c r="K171" s="11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12"/>
      <c r="B172" s="13"/>
      <c r="C172" s="13"/>
      <c r="D172" s="13"/>
      <c r="E172" s="13"/>
      <c r="F172" s="13"/>
      <c r="G172" s="13"/>
      <c r="H172" s="13"/>
      <c r="I172" s="14"/>
      <c r="J172" s="14"/>
      <c r="K172" s="11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9"/>
      <c r="B173" s="8"/>
      <c r="C173" s="8"/>
      <c r="D173" s="8"/>
      <c r="E173" s="8"/>
      <c r="F173" s="8"/>
      <c r="G173" s="8"/>
      <c r="H173" s="8"/>
      <c r="I173" s="10"/>
      <c r="J173" s="10"/>
      <c r="K173" s="11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9"/>
      <c r="B174" s="8"/>
      <c r="C174" s="8"/>
      <c r="D174" s="8"/>
      <c r="E174" s="8"/>
      <c r="F174" s="8"/>
      <c r="G174" s="8"/>
      <c r="H174" s="8"/>
      <c r="I174" s="10"/>
      <c r="J174" s="10"/>
      <c r="K174" s="11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9"/>
      <c r="B175" s="8"/>
      <c r="C175" s="8"/>
      <c r="D175" s="8"/>
      <c r="E175" s="8"/>
      <c r="F175" s="8"/>
      <c r="G175" s="8"/>
      <c r="H175" s="8"/>
      <c r="I175" s="10"/>
      <c r="J175" s="10"/>
      <c r="K175" s="11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9"/>
      <c r="B176" s="8"/>
      <c r="C176" s="8"/>
      <c r="D176" s="8"/>
      <c r="E176" s="8"/>
      <c r="F176" s="8"/>
      <c r="G176" s="8"/>
      <c r="H176" s="8"/>
      <c r="I176" s="10"/>
      <c r="J176" s="10"/>
      <c r="K176" s="11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9"/>
      <c r="B177" s="8"/>
      <c r="C177" s="8"/>
      <c r="D177" s="8"/>
      <c r="E177" s="8"/>
      <c r="F177" s="8"/>
      <c r="G177" s="8"/>
      <c r="H177" s="8"/>
      <c r="I177" s="10"/>
      <c r="J177" s="10"/>
      <c r="K177" s="11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9"/>
      <c r="B178" s="8"/>
      <c r="C178" s="8"/>
      <c r="D178" s="8"/>
      <c r="E178" s="8"/>
      <c r="F178" s="8"/>
      <c r="G178" s="8"/>
      <c r="H178" s="8"/>
      <c r="I178" s="10"/>
      <c r="J178" s="10"/>
      <c r="K178" s="11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7.25" customHeight="1">
      <c r="A179" s="9"/>
      <c r="B179" s="8"/>
      <c r="C179" s="8"/>
      <c r="D179" s="8"/>
      <c r="E179" s="8"/>
      <c r="F179" s="8"/>
      <c r="G179" s="8"/>
      <c r="H179" s="8"/>
      <c r="I179" s="10"/>
      <c r="J179" s="10"/>
      <c r="K179" s="11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9"/>
      <c r="B180" s="8"/>
      <c r="C180" s="8"/>
      <c r="D180" s="8"/>
      <c r="E180" s="8"/>
      <c r="F180" s="8"/>
      <c r="G180" s="8"/>
      <c r="H180" s="8"/>
      <c r="I180" s="10"/>
      <c r="J180" s="10"/>
      <c r="K180" s="11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9"/>
      <c r="B181" s="8"/>
      <c r="C181" s="8"/>
      <c r="D181" s="8"/>
      <c r="E181" s="8"/>
      <c r="F181" s="8"/>
      <c r="G181" s="8"/>
      <c r="H181" s="8"/>
      <c r="I181" s="10"/>
      <c r="J181" s="10"/>
      <c r="K181" s="11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12"/>
      <c r="B182" s="13"/>
      <c r="C182" s="13"/>
      <c r="D182" s="13"/>
      <c r="E182" s="13"/>
      <c r="F182" s="13"/>
      <c r="G182" s="13"/>
      <c r="H182" s="13"/>
      <c r="I182" s="14"/>
      <c r="J182" s="14"/>
      <c r="K182" s="1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9"/>
      <c r="B183" s="8"/>
      <c r="C183" s="8"/>
      <c r="D183" s="8"/>
      <c r="E183" s="8"/>
      <c r="F183" s="8"/>
      <c r="G183" s="8"/>
      <c r="H183" s="8"/>
      <c r="I183" s="10"/>
      <c r="J183" s="10"/>
      <c r="K183" s="1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9"/>
      <c r="B184" s="8"/>
      <c r="C184" s="8"/>
      <c r="D184" s="8"/>
      <c r="E184" s="8"/>
      <c r="F184" s="8"/>
      <c r="G184" s="8"/>
      <c r="H184" s="8"/>
      <c r="I184" s="10"/>
      <c r="J184" s="10"/>
      <c r="K184" s="11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9"/>
      <c r="B185" s="8"/>
      <c r="C185" s="8"/>
      <c r="D185" s="8"/>
      <c r="E185" s="8"/>
      <c r="F185" s="8"/>
      <c r="G185" s="8"/>
      <c r="H185" s="8"/>
      <c r="I185" s="10"/>
      <c r="J185" s="10"/>
      <c r="K185" s="11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20.25" customHeight="1">
      <c r="A186" s="9"/>
      <c r="B186" s="8"/>
      <c r="C186" s="8"/>
      <c r="D186" s="8"/>
      <c r="E186" s="8"/>
      <c r="F186" s="8"/>
      <c r="G186" s="8"/>
      <c r="H186" s="8"/>
      <c r="I186" s="10"/>
      <c r="J186" s="10"/>
      <c r="K186" s="11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9"/>
      <c r="B187" s="8"/>
      <c r="C187" s="8"/>
      <c r="D187" s="8"/>
      <c r="E187" s="8"/>
      <c r="F187" s="8"/>
      <c r="G187" s="8"/>
      <c r="H187" s="8"/>
      <c r="I187" s="10"/>
      <c r="J187" s="10"/>
      <c r="K187" s="11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9"/>
      <c r="B188" s="8"/>
      <c r="C188" s="8"/>
      <c r="D188" s="8"/>
      <c r="E188" s="8"/>
      <c r="F188" s="8"/>
      <c r="G188" s="8"/>
      <c r="H188" s="8"/>
      <c r="I188" s="10"/>
      <c r="J188" s="10"/>
      <c r="K188" s="11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9"/>
      <c r="B189" s="8"/>
      <c r="C189" s="8"/>
      <c r="D189" s="8"/>
      <c r="E189" s="8"/>
      <c r="F189" s="8"/>
      <c r="G189" s="8"/>
      <c r="H189" s="8"/>
      <c r="I189" s="10"/>
      <c r="J189" s="10"/>
      <c r="K189" s="11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9"/>
      <c r="B190" s="8"/>
      <c r="C190" s="8"/>
      <c r="D190" s="8"/>
      <c r="E190" s="8"/>
      <c r="F190" s="8"/>
      <c r="G190" s="8"/>
      <c r="H190" s="8"/>
      <c r="I190" s="10"/>
      <c r="J190" s="10"/>
      <c r="K190" s="1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12"/>
      <c r="B191" s="13"/>
      <c r="C191" s="13"/>
      <c r="D191" s="13"/>
      <c r="E191" s="13"/>
      <c r="F191" s="13"/>
      <c r="G191" s="13"/>
      <c r="H191" s="13"/>
      <c r="I191" s="14"/>
      <c r="J191" s="14"/>
      <c r="K191" s="1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9"/>
      <c r="B192" s="8"/>
      <c r="C192" s="8"/>
      <c r="D192" s="8"/>
      <c r="E192" s="8"/>
      <c r="F192" s="8"/>
      <c r="G192" s="8"/>
      <c r="H192" s="8"/>
      <c r="I192" s="10"/>
      <c r="J192" s="10"/>
      <c r="K192" s="11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9"/>
      <c r="B193" s="8"/>
      <c r="C193" s="8"/>
      <c r="D193" s="8"/>
      <c r="E193" s="8"/>
      <c r="F193" s="8"/>
      <c r="G193" s="8"/>
      <c r="H193" s="8"/>
      <c r="I193" s="10"/>
      <c r="J193" s="10"/>
      <c r="K193" s="11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9"/>
      <c r="B194" s="8"/>
      <c r="C194" s="8"/>
      <c r="D194" s="8"/>
      <c r="E194" s="8"/>
      <c r="F194" s="8"/>
      <c r="G194" s="8"/>
      <c r="H194" s="8"/>
      <c r="I194" s="10"/>
      <c r="J194" s="10"/>
      <c r="K194" s="11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9"/>
      <c r="B195" s="8"/>
      <c r="C195" s="8"/>
      <c r="D195" s="8"/>
      <c r="E195" s="8"/>
      <c r="F195" s="8"/>
      <c r="G195" s="8"/>
      <c r="H195" s="8"/>
      <c r="I195" s="10"/>
      <c r="J195" s="10"/>
      <c r="K195" s="11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9"/>
      <c r="B196" s="8"/>
      <c r="C196" s="8"/>
      <c r="D196" s="8"/>
      <c r="E196" s="8"/>
      <c r="F196" s="8"/>
      <c r="G196" s="8"/>
      <c r="H196" s="8"/>
      <c r="I196" s="10"/>
      <c r="J196" s="10"/>
      <c r="K196" s="11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9"/>
      <c r="B197" s="8"/>
      <c r="C197" s="8"/>
      <c r="D197" s="8"/>
      <c r="E197" s="8"/>
      <c r="F197" s="8"/>
      <c r="G197" s="8"/>
      <c r="H197" s="8"/>
      <c r="I197" s="10"/>
      <c r="J197" s="10"/>
      <c r="K197" s="11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9"/>
      <c r="B198" s="8"/>
      <c r="C198" s="8"/>
      <c r="D198" s="8"/>
      <c r="E198" s="8"/>
      <c r="F198" s="8"/>
      <c r="G198" s="8"/>
      <c r="H198" s="8"/>
      <c r="I198" s="10"/>
      <c r="J198" s="10"/>
      <c r="K198" s="1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9"/>
      <c r="B199" s="8"/>
      <c r="C199" s="8"/>
      <c r="D199" s="8"/>
      <c r="E199" s="8"/>
      <c r="F199" s="8"/>
      <c r="G199" s="8"/>
      <c r="H199" s="8"/>
      <c r="I199" s="10"/>
      <c r="J199" s="10"/>
      <c r="K199" s="1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9"/>
      <c r="B200" s="8"/>
      <c r="C200" s="8"/>
      <c r="D200" s="8"/>
      <c r="E200" s="8"/>
      <c r="F200" s="8"/>
      <c r="G200" s="8"/>
      <c r="H200" s="8"/>
      <c r="I200" s="10"/>
      <c r="J200" s="10"/>
      <c r="K200" s="1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9"/>
      <c r="B201" s="8"/>
      <c r="C201" s="8"/>
      <c r="D201" s="8"/>
      <c r="E201" s="8"/>
      <c r="F201" s="8"/>
      <c r="G201" s="8"/>
      <c r="H201" s="8"/>
      <c r="I201" s="10"/>
      <c r="J201" s="10"/>
      <c r="K201" s="1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9"/>
      <c r="B202" s="8"/>
      <c r="C202" s="8"/>
      <c r="D202" s="8"/>
      <c r="E202" s="8"/>
      <c r="F202" s="8"/>
      <c r="G202" s="8"/>
      <c r="H202" s="8"/>
      <c r="I202" s="10"/>
      <c r="J202" s="10"/>
      <c r="K202" s="1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9"/>
      <c r="B203" s="8"/>
      <c r="C203" s="8"/>
      <c r="D203" s="8"/>
      <c r="E203" s="8"/>
      <c r="F203" s="8"/>
      <c r="G203" s="8"/>
      <c r="H203" s="8"/>
      <c r="I203" s="10"/>
      <c r="J203" s="10"/>
      <c r="K203" s="1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9"/>
      <c r="B204" s="8"/>
      <c r="C204" s="8"/>
      <c r="D204" s="8"/>
      <c r="E204" s="8"/>
      <c r="F204" s="8"/>
      <c r="G204" s="8"/>
      <c r="H204" s="8"/>
      <c r="I204" s="10"/>
      <c r="J204" s="10"/>
      <c r="K204" s="1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9"/>
      <c r="B205" s="8"/>
      <c r="C205" s="8"/>
      <c r="D205" s="8"/>
      <c r="E205" s="8"/>
      <c r="F205" s="8"/>
      <c r="G205" s="8"/>
      <c r="H205" s="8"/>
      <c r="I205" s="10"/>
      <c r="J205" s="10"/>
      <c r="K205" s="11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9"/>
      <c r="B206" s="8"/>
      <c r="C206" s="8"/>
      <c r="D206" s="8"/>
      <c r="E206" s="8"/>
      <c r="F206" s="8"/>
      <c r="G206" s="8"/>
      <c r="H206" s="8"/>
      <c r="I206" s="10"/>
      <c r="J206" s="10"/>
      <c r="K206" s="11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9"/>
      <c r="B207" s="8"/>
      <c r="C207" s="8"/>
      <c r="D207" s="8"/>
      <c r="E207" s="8"/>
      <c r="F207" s="8"/>
      <c r="G207" s="8"/>
      <c r="H207" s="8"/>
      <c r="I207" s="10"/>
      <c r="J207" s="10"/>
      <c r="K207" s="11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9"/>
      <c r="B208" s="8"/>
      <c r="C208" s="8"/>
      <c r="D208" s="8"/>
      <c r="E208" s="8"/>
      <c r="F208" s="8"/>
      <c r="G208" s="8"/>
      <c r="H208" s="8"/>
      <c r="I208" s="10"/>
      <c r="J208" s="10"/>
      <c r="K208" s="1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9"/>
      <c r="B209" s="8"/>
      <c r="C209" s="8"/>
      <c r="D209" s="8"/>
      <c r="E209" s="8"/>
      <c r="F209" s="8"/>
      <c r="G209" s="8"/>
      <c r="H209" s="8"/>
      <c r="I209" s="10"/>
      <c r="J209" s="10"/>
      <c r="K209" s="11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9"/>
      <c r="B210" s="8"/>
      <c r="C210" s="8"/>
      <c r="D210" s="8"/>
      <c r="E210" s="8"/>
      <c r="F210" s="8"/>
      <c r="G210" s="8"/>
      <c r="H210" s="8"/>
      <c r="I210" s="10"/>
      <c r="J210" s="10"/>
      <c r="K210" s="11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9"/>
      <c r="B211" s="8"/>
      <c r="C211" s="8"/>
      <c r="D211" s="8"/>
      <c r="E211" s="8"/>
      <c r="F211" s="8"/>
      <c r="G211" s="8"/>
      <c r="H211" s="8"/>
      <c r="I211" s="10"/>
      <c r="J211" s="10"/>
      <c r="K211" s="11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9"/>
      <c r="B212" s="8"/>
      <c r="C212" s="8"/>
      <c r="D212" s="8"/>
      <c r="E212" s="8"/>
      <c r="F212" s="8"/>
      <c r="G212" s="8"/>
      <c r="H212" s="8"/>
      <c r="I212" s="10"/>
      <c r="J212" s="10"/>
      <c r="K212" s="11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9"/>
      <c r="B213" s="8"/>
      <c r="C213" s="8"/>
      <c r="D213" s="8"/>
      <c r="E213" s="8"/>
      <c r="F213" s="8"/>
      <c r="G213" s="8"/>
      <c r="H213" s="8"/>
      <c r="I213" s="10"/>
      <c r="J213" s="10"/>
      <c r="K213" s="11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9"/>
      <c r="B214" s="8"/>
      <c r="C214" s="8"/>
      <c r="D214" s="8"/>
      <c r="E214" s="8"/>
      <c r="F214" s="8"/>
      <c r="G214" s="8"/>
      <c r="H214" s="8"/>
      <c r="I214" s="10"/>
      <c r="J214" s="10"/>
      <c r="K214" s="11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9"/>
      <c r="B215" s="8"/>
      <c r="C215" s="8"/>
      <c r="D215" s="8"/>
      <c r="E215" s="8"/>
      <c r="F215" s="8"/>
      <c r="G215" s="8"/>
      <c r="H215" s="8"/>
      <c r="I215" s="10"/>
      <c r="J215" s="10"/>
      <c r="K215" s="11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9"/>
      <c r="B216" s="8"/>
      <c r="C216" s="8"/>
      <c r="D216" s="8"/>
      <c r="E216" s="8"/>
      <c r="F216" s="8"/>
      <c r="G216" s="8"/>
      <c r="H216" s="8"/>
      <c r="I216" s="10"/>
      <c r="J216" s="10"/>
      <c r="K216" s="11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9"/>
      <c r="B217" s="8"/>
      <c r="C217" s="8"/>
      <c r="D217" s="8"/>
      <c r="E217" s="8"/>
      <c r="F217" s="8"/>
      <c r="G217" s="8"/>
      <c r="H217" s="8"/>
      <c r="I217" s="10"/>
      <c r="J217" s="10"/>
      <c r="K217" s="11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9"/>
      <c r="B218" s="8"/>
      <c r="C218" s="8"/>
      <c r="D218" s="8"/>
      <c r="E218" s="8"/>
      <c r="F218" s="8"/>
      <c r="G218" s="8"/>
      <c r="H218" s="8"/>
      <c r="I218" s="10"/>
      <c r="J218" s="10"/>
      <c r="K218" s="11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9"/>
      <c r="B219" s="8"/>
      <c r="C219" s="8"/>
      <c r="D219" s="8"/>
      <c r="E219" s="8"/>
      <c r="F219" s="8"/>
      <c r="G219" s="8"/>
      <c r="H219" s="8"/>
      <c r="I219" s="10"/>
      <c r="J219" s="10"/>
      <c r="K219" s="11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9"/>
      <c r="B220" s="8"/>
      <c r="C220" s="8"/>
      <c r="D220" s="8"/>
      <c r="E220" s="8"/>
      <c r="F220" s="8"/>
      <c r="G220" s="8"/>
      <c r="H220" s="8"/>
      <c r="I220" s="10"/>
      <c r="J220" s="10"/>
      <c r="K220" s="11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9"/>
      <c r="B221" s="8"/>
      <c r="C221" s="8"/>
      <c r="D221" s="8"/>
      <c r="E221" s="8"/>
      <c r="F221" s="8"/>
      <c r="G221" s="8"/>
      <c r="H221" s="8"/>
      <c r="I221" s="10"/>
      <c r="J221" s="10"/>
      <c r="K221" s="11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9"/>
      <c r="B222" s="8"/>
      <c r="C222" s="8"/>
      <c r="D222" s="8"/>
      <c r="E222" s="8"/>
      <c r="F222" s="8"/>
      <c r="G222" s="8"/>
      <c r="H222" s="8"/>
      <c r="I222" s="10"/>
      <c r="J222" s="10"/>
      <c r="K222" s="11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9"/>
      <c r="B223" s="8"/>
      <c r="C223" s="8"/>
      <c r="D223" s="8"/>
      <c r="E223" s="8"/>
      <c r="F223" s="8"/>
      <c r="G223" s="8"/>
      <c r="H223" s="8"/>
      <c r="I223" s="10"/>
      <c r="J223" s="10"/>
      <c r="K223" s="11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9"/>
      <c r="B224" s="8"/>
      <c r="C224" s="8"/>
      <c r="D224" s="8"/>
      <c r="E224" s="8"/>
      <c r="F224" s="8"/>
      <c r="G224" s="8"/>
      <c r="H224" s="8"/>
      <c r="I224" s="10"/>
      <c r="J224" s="10"/>
      <c r="K224" s="11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9"/>
      <c r="B225" s="8"/>
      <c r="C225" s="8"/>
      <c r="D225" s="8"/>
      <c r="E225" s="8"/>
      <c r="F225" s="8"/>
      <c r="G225" s="8"/>
      <c r="H225" s="8"/>
      <c r="I225" s="10"/>
      <c r="J225" s="10"/>
      <c r="K225" s="11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9"/>
      <c r="B226" s="8"/>
      <c r="C226" s="8"/>
      <c r="D226" s="8"/>
      <c r="E226" s="8"/>
      <c r="F226" s="8"/>
      <c r="G226" s="8"/>
      <c r="H226" s="8"/>
      <c r="I226" s="10"/>
      <c r="J226" s="10"/>
      <c r="K226" s="11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9"/>
      <c r="B227" s="8"/>
      <c r="C227" s="8"/>
      <c r="D227" s="8"/>
      <c r="E227" s="8"/>
      <c r="F227" s="8"/>
      <c r="G227" s="8"/>
      <c r="H227" s="8"/>
      <c r="I227" s="10"/>
      <c r="J227" s="10"/>
      <c r="K227" s="11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9"/>
      <c r="B228" s="8"/>
      <c r="C228" s="8"/>
      <c r="D228" s="8"/>
      <c r="E228" s="8"/>
      <c r="F228" s="8"/>
      <c r="G228" s="8"/>
      <c r="H228" s="8"/>
      <c r="I228" s="10"/>
      <c r="J228" s="10"/>
      <c r="K228" s="11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9"/>
      <c r="B229" s="8"/>
      <c r="C229" s="8"/>
      <c r="D229" s="8"/>
      <c r="E229" s="8"/>
      <c r="F229" s="8"/>
      <c r="G229" s="8"/>
      <c r="H229" s="8"/>
      <c r="I229" s="10"/>
      <c r="J229" s="10"/>
      <c r="K229" s="11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9"/>
      <c r="B230" s="8"/>
      <c r="C230" s="8"/>
      <c r="D230" s="8"/>
      <c r="E230" s="8"/>
      <c r="F230" s="8"/>
      <c r="G230" s="8"/>
      <c r="H230" s="8"/>
      <c r="I230" s="10"/>
      <c r="J230" s="10"/>
      <c r="K230" s="11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9"/>
      <c r="B231" s="8"/>
      <c r="C231" s="8"/>
      <c r="D231" s="8"/>
      <c r="E231" s="8"/>
      <c r="F231" s="8"/>
      <c r="G231" s="8"/>
      <c r="H231" s="8"/>
      <c r="I231" s="10"/>
      <c r="J231" s="10"/>
      <c r="K231" s="11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9"/>
      <c r="B232" s="8"/>
      <c r="C232" s="8"/>
      <c r="D232" s="8"/>
      <c r="E232" s="8"/>
      <c r="F232" s="8"/>
      <c r="G232" s="8"/>
      <c r="H232" s="8"/>
      <c r="I232" s="10"/>
      <c r="J232" s="10"/>
      <c r="K232" s="11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9"/>
      <c r="B233" s="8"/>
      <c r="C233" s="8"/>
      <c r="D233" s="8"/>
      <c r="E233" s="8"/>
      <c r="F233" s="8"/>
      <c r="G233" s="8"/>
      <c r="H233" s="8"/>
      <c r="I233" s="10"/>
      <c r="J233" s="10"/>
      <c r="K233" s="11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9"/>
      <c r="B234" s="8"/>
      <c r="C234" s="8"/>
      <c r="D234" s="8"/>
      <c r="E234" s="8"/>
      <c r="F234" s="8"/>
      <c r="G234" s="8"/>
      <c r="H234" s="8"/>
      <c r="I234" s="10"/>
      <c r="J234" s="10"/>
      <c r="K234" s="11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9"/>
      <c r="B235" s="8"/>
      <c r="C235" s="8"/>
      <c r="D235" s="8"/>
      <c r="E235" s="8"/>
      <c r="F235" s="8"/>
      <c r="G235" s="8"/>
      <c r="H235" s="8"/>
      <c r="I235" s="10"/>
      <c r="J235" s="10"/>
      <c r="K235" s="11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9"/>
      <c r="B236" s="8"/>
      <c r="C236" s="8"/>
      <c r="D236" s="8"/>
      <c r="E236" s="8"/>
      <c r="F236" s="8"/>
      <c r="G236" s="8"/>
      <c r="H236" s="8"/>
      <c r="I236" s="10"/>
      <c r="J236" s="10"/>
      <c r="K236" s="11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9"/>
      <c r="B237" s="8"/>
      <c r="C237" s="8"/>
      <c r="D237" s="8"/>
      <c r="E237" s="8"/>
      <c r="F237" s="8"/>
      <c r="G237" s="8"/>
      <c r="H237" s="8"/>
      <c r="I237" s="10"/>
      <c r="J237" s="10"/>
      <c r="K237" s="11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9"/>
      <c r="B238" s="8"/>
      <c r="C238" s="8"/>
      <c r="D238" s="8"/>
      <c r="E238" s="8"/>
      <c r="F238" s="8"/>
      <c r="G238" s="8"/>
      <c r="H238" s="8"/>
      <c r="I238" s="10"/>
      <c r="J238" s="10"/>
      <c r="K238" s="11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9"/>
      <c r="B239" s="8"/>
      <c r="C239" s="8"/>
      <c r="D239" s="8"/>
      <c r="E239" s="8"/>
      <c r="F239" s="8"/>
      <c r="G239" s="8"/>
      <c r="H239" s="8"/>
      <c r="I239" s="10"/>
      <c r="J239" s="10"/>
      <c r="K239" s="11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9"/>
      <c r="B240" s="8"/>
      <c r="C240" s="8"/>
      <c r="D240" s="8"/>
      <c r="E240" s="8"/>
      <c r="F240" s="8"/>
      <c r="G240" s="8"/>
      <c r="H240" s="8"/>
      <c r="I240" s="10"/>
      <c r="J240" s="10"/>
      <c r="K240" s="11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9"/>
      <c r="B241" s="8"/>
      <c r="C241" s="8"/>
      <c r="D241" s="8"/>
      <c r="E241" s="8"/>
      <c r="F241" s="8"/>
      <c r="G241" s="8"/>
      <c r="H241" s="8"/>
      <c r="I241" s="10"/>
      <c r="J241" s="10"/>
      <c r="K241" s="11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9"/>
      <c r="B242" s="8"/>
      <c r="C242" s="8"/>
      <c r="D242" s="8"/>
      <c r="E242" s="8"/>
      <c r="F242" s="8"/>
      <c r="G242" s="8"/>
      <c r="H242" s="8"/>
      <c r="I242" s="10"/>
      <c r="J242" s="10"/>
      <c r="K242" s="11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9"/>
      <c r="B243" s="8"/>
      <c r="C243" s="8"/>
      <c r="D243" s="8"/>
      <c r="E243" s="8"/>
      <c r="F243" s="8"/>
      <c r="G243" s="8"/>
      <c r="H243" s="8"/>
      <c r="I243" s="10"/>
      <c r="J243" s="10"/>
      <c r="K243" s="11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9"/>
      <c r="B244" s="8"/>
      <c r="C244" s="8"/>
      <c r="D244" s="8"/>
      <c r="E244" s="8"/>
      <c r="F244" s="8"/>
      <c r="G244" s="8"/>
      <c r="H244" s="8"/>
      <c r="I244" s="10"/>
      <c r="J244" s="10"/>
      <c r="K244" s="11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9"/>
      <c r="B245" s="8"/>
      <c r="C245" s="8"/>
      <c r="D245" s="8"/>
      <c r="E245" s="8"/>
      <c r="F245" s="8"/>
      <c r="G245" s="8"/>
      <c r="H245" s="8"/>
      <c r="I245" s="10"/>
      <c r="J245" s="10"/>
      <c r="K245" s="11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9"/>
      <c r="B246" s="8"/>
      <c r="C246" s="8"/>
      <c r="D246" s="8"/>
      <c r="E246" s="8"/>
      <c r="F246" s="8"/>
      <c r="G246" s="8"/>
      <c r="H246" s="8"/>
      <c r="I246" s="10"/>
      <c r="J246" s="10"/>
      <c r="K246" s="11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9"/>
      <c r="B247" s="8"/>
      <c r="C247" s="8"/>
      <c r="D247" s="8"/>
      <c r="E247" s="8"/>
      <c r="F247" s="8"/>
      <c r="G247" s="8"/>
      <c r="H247" s="8"/>
      <c r="I247" s="10"/>
      <c r="J247" s="10"/>
      <c r="K247" s="11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9"/>
      <c r="B248" s="8"/>
      <c r="C248" s="8"/>
      <c r="D248" s="8"/>
      <c r="E248" s="8"/>
      <c r="F248" s="8"/>
      <c r="G248" s="8"/>
      <c r="H248" s="8"/>
      <c r="I248" s="10"/>
      <c r="J248" s="10"/>
      <c r="K248" s="11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9"/>
      <c r="B249" s="8"/>
      <c r="C249" s="8"/>
      <c r="D249" s="8"/>
      <c r="E249" s="8"/>
      <c r="F249" s="8"/>
      <c r="G249" s="8"/>
      <c r="H249" s="8"/>
      <c r="I249" s="10"/>
      <c r="J249" s="10"/>
      <c r="K249" s="11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9"/>
      <c r="B250" s="8"/>
      <c r="C250" s="8"/>
      <c r="D250" s="8"/>
      <c r="E250" s="8"/>
      <c r="F250" s="8"/>
      <c r="G250" s="8"/>
      <c r="H250" s="8"/>
      <c r="I250" s="10"/>
      <c r="J250" s="10"/>
      <c r="K250" s="11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9"/>
      <c r="B251" s="8"/>
      <c r="C251" s="8"/>
      <c r="D251" s="8"/>
      <c r="E251" s="8"/>
      <c r="F251" s="8"/>
      <c r="G251" s="8"/>
      <c r="H251" s="8"/>
      <c r="I251" s="10"/>
      <c r="J251" s="10"/>
      <c r="K251" s="11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9"/>
      <c r="B252" s="8"/>
      <c r="C252" s="8"/>
      <c r="D252" s="8"/>
      <c r="E252" s="8"/>
      <c r="F252" s="8"/>
      <c r="G252" s="8"/>
      <c r="H252" s="8"/>
      <c r="I252" s="10"/>
      <c r="J252" s="10"/>
      <c r="K252" s="11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9"/>
      <c r="B253" s="8"/>
      <c r="C253" s="8"/>
      <c r="D253" s="8"/>
      <c r="E253" s="8"/>
      <c r="F253" s="8"/>
      <c r="G253" s="8"/>
      <c r="H253" s="8"/>
      <c r="I253" s="10"/>
      <c r="J253" s="10"/>
      <c r="K253" s="11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9"/>
      <c r="B254" s="8"/>
      <c r="C254" s="8"/>
      <c r="D254" s="8"/>
      <c r="E254" s="8"/>
      <c r="F254" s="8"/>
      <c r="G254" s="8"/>
      <c r="H254" s="8"/>
      <c r="I254" s="10"/>
      <c r="J254" s="10"/>
      <c r="K254" s="11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9"/>
      <c r="B255" s="8"/>
      <c r="C255" s="8"/>
      <c r="D255" s="8"/>
      <c r="E255" s="8"/>
      <c r="F255" s="8"/>
      <c r="G255" s="8"/>
      <c r="H255" s="8"/>
      <c r="I255" s="10"/>
      <c r="J255" s="10"/>
      <c r="K255" s="11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9"/>
      <c r="B256" s="8"/>
      <c r="C256" s="8"/>
      <c r="D256" s="8"/>
      <c r="E256" s="8"/>
      <c r="F256" s="8"/>
      <c r="G256" s="8"/>
      <c r="H256" s="8"/>
      <c r="I256" s="10"/>
      <c r="J256" s="10"/>
      <c r="K256" s="11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9"/>
      <c r="B257" s="8"/>
      <c r="C257" s="8"/>
      <c r="D257" s="8"/>
      <c r="E257" s="8"/>
      <c r="F257" s="8"/>
      <c r="G257" s="8"/>
      <c r="H257" s="8"/>
      <c r="I257" s="10"/>
      <c r="J257" s="10"/>
      <c r="K257" s="11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9"/>
      <c r="B258" s="8"/>
      <c r="C258" s="8"/>
      <c r="D258" s="8"/>
      <c r="E258" s="8"/>
      <c r="F258" s="8"/>
      <c r="G258" s="8"/>
      <c r="H258" s="8"/>
      <c r="I258" s="10"/>
      <c r="J258" s="10"/>
      <c r="K258" s="11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9"/>
      <c r="B259" s="8"/>
      <c r="C259" s="8"/>
      <c r="D259" s="8"/>
      <c r="E259" s="8"/>
      <c r="F259" s="8"/>
      <c r="G259" s="8"/>
      <c r="H259" s="8"/>
      <c r="I259" s="10"/>
      <c r="J259" s="10"/>
      <c r="K259" s="11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9"/>
      <c r="B260" s="8"/>
      <c r="C260" s="8"/>
      <c r="D260" s="8"/>
      <c r="E260" s="8"/>
      <c r="F260" s="8"/>
      <c r="G260" s="8"/>
      <c r="H260" s="8"/>
      <c r="I260" s="10"/>
      <c r="J260" s="10"/>
      <c r="K260" s="11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9"/>
      <c r="B261" s="8"/>
      <c r="C261" s="8"/>
      <c r="D261" s="8"/>
      <c r="E261" s="8"/>
      <c r="F261" s="8"/>
      <c r="G261" s="8"/>
      <c r="H261" s="8"/>
      <c r="I261" s="10"/>
      <c r="J261" s="10"/>
      <c r="K261" s="1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9"/>
      <c r="B262" s="8"/>
      <c r="C262" s="8"/>
      <c r="D262" s="8"/>
      <c r="E262" s="8"/>
      <c r="F262" s="8"/>
      <c r="G262" s="8"/>
      <c r="H262" s="8"/>
      <c r="I262" s="10"/>
      <c r="J262" s="10"/>
      <c r="K262" s="11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9"/>
      <c r="B263" s="8"/>
      <c r="C263" s="8"/>
      <c r="D263" s="8"/>
      <c r="E263" s="8"/>
      <c r="F263" s="8"/>
      <c r="G263" s="8"/>
      <c r="H263" s="8"/>
      <c r="I263" s="10"/>
      <c r="J263" s="10"/>
      <c r="K263" s="11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9"/>
      <c r="B264" s="8"/>
      <c r="C264" s="8"/>
      <c r="D264" s="8"/>
      <c r="E264" s="8"/>
      <c r="F264" s="8"/>
      <c r="G264" s="8"/>
      <c r="H264" s="8"/>
      <c r="I264" s="10"/>
      <c r="J264" s="10"/>
      <c r="K264" s="11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9"/>
      <c r="B265" s="8"/>
      <c r="C265" s="8"/>
      <c r="D265" s="8"/>
      <c r="E265" s="8"/>
      <c r="F265" s="8"/>
      <c r="G265" s="8"/>
      <c r="H265" s="8"/>
      <c r="I265" s="10"/>
      <c r="J265" s="10"/>
      <c r="K265" s="11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9"/>
      <c r="B266" s="8"/>
      <c r="C266" s="8"/>
      <c r="D266" s="8"/>
      <c r="E266" s="8"/>
      <c r="F266" s="8"/>
      <c r="G266" s="8"/>
      <c r="H266" s="8"/>
      <c r="I266" s="10"/>
      <c r="J266" s="10"/>
      <c r="K266" s="11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9"/>
      <c r="B267" s="8"/>
      <c r="C267" s="8"/>
      <c r="D267" s="8"/>
      <c r="E267" s="8"/>
      <c r="F267" s="8"/>
      <c r="G267" s="8"/>
      <c r="H267" s="8"/>
      <c r="I267" s="10"/>
      <c r="J267" s="10"/>
      <c r="K267" s="11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9"/>
      <c r="B268" s="8"/>
      <c r="C268" s="8"/>
      <c r="D268" s="8"/>
      <c r="E268" s="8"/>
      <c r="F268" s="8"/>
      <c r="G268" s="8"/>
      <c r="H268" s="8"/>
      <c r="I268" s="10"/>
      <c r="J268" s="10"/>
      <c r="K268" s="11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9"/>
      <c r="B269" s="8"/>
      <c r="C269" s="8"/>
      <c r="D269" s="8"/>
      <c r="E269" s="8"/>
      <c r="F269" s="8"/>
      <c r="G269" s="8"/>
      <c r="H269" s="8"/>
      <c r="I269" s="10"/>
      <c r="J269" s="10"/>
      <c r="K269" s="11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9"/>
      <c r="B270" s="8"/>
      <c r="C270" s="8"/>
      <c r="D270" s="8"/>
      <c r="E270" s="8"/>
      <c r="F270" s="8"/>
      <c r="G270" s="8"/>
      <c r="H270" s="8"/>
      <c r="I270" s="10"/>
      <c r="J270" s="10"/>
      <c r="K270" s="11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9"/>
      <c r="B271" s="8"/>
      <c r="C271" s="8"/>
      <c r="D271" s="8"/>
      <c r="E271" s="8"/>
      <c r="F271" s="8"/>
      <c r="G271" s="8"/>
      <c r="H271" s="8"/>
      <c r="I271" s="10"/>
      <c r="J271" s="10"/>
      <c r="K271" s="1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9"/>
      <c r="B272" s="8"/>
      <c r="C272" s="8"/>
      <c r="D272" s="8"/>
      <c r="E272" s="8"/>
      <c r="F272" s="8"/>
      <c r="G272" s="8"/>
      <c r="H272" s="8"/>
      <c r="I272" s="10"/>
      <c r="J272" s="10"/>
      <c r="K272" s="1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9"/>
      <c r="B273" s="8"/>
      <c r="C273" s="8"/>
      <c r="D273" s="8"/>
      <c r="E273" s="8"/>
      <c r="F273" s="8"/>
      <c r="G273" s="8"/>
      <c r="H273" s="8"/>
      <c r="I273" s="10"/>
      <c r="J273" s="10"/>
      <c r="K273" s="11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9"/>
      <c r="B274" s="8"/>
      <c r="C274" s="8"/>
      <c r="D274" s="8"/>
      <c r="E274" s="8"/>
      <c r="F274" s="8"/>
      <c r="G274" s="8"/>
      <c r="H274" s="8"/>
      <c r="I274" s="10"/>
      <c r="J274" s="10"/>
      <c r="K274" s="11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9"/>
      <c r="B275" s="8"/>
      <c r="C275" s="8"/>
      <c r="D275" s="8"/>
      <c r="E275" s="8"/>
      <c r="F275" s="8"/>
      <c r="G275" s="8"/>
      <c r="H275" s="8"/>
      <c r="I275" s="10"/>
      <c r="J275" s="10"/>
      <c r="K275" s="11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9"/>
      <c r="B276" s="8"/>
      <c r="C276" s="8"/>
      <c r="D276" s="8"/>
      <c r="E276" s="8"/>
      <c r="F276" s="8"/>
      <c r="G276" s="8"/>
      <c r="H276" s="8"/>
      <c r="I276" s="10"/>
      <c r="J276" s="10"/>
      <c r="K276" s="11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9"/>
      <c r="B277" s="8"/>
      <c r="C277" s="8"/>
      <c r="D277" s="8"/>
      <c r="E277" s="8"/>
      <c r="F277" s="8"/>
      <c r="G277" s="8"/>
      <c r="H277" s="8"/>
      <c r="I277" s="10"/>
      <c r="J277" s="10"/>
      <c r="K277" s="11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9"/>
      <c r="B278" s="8"/>
      <c r="C278" s="8"/>
      <c r="D278" s="8"/>
      <c r="E278" s="8"/>
      <c r="F278" s="8"/>
      <c r="G278" s="8"/>
      <c r="H278" s="8"/>
      <c r="I278" s="10"/>
      <c r="J278" s="10"/>
      <c r="K278" s="1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9"/>
      <c r="B279" s="8"/>
      <c r="C279" s="8"/>
      <c r="D279" s="8"/>
      <c r="E279" s="8"/>
      <c r="F279" s="8"/>
      <c r="G279" s="8"/>
      <c r="H279" s="8"/>
      <c r="I279" s="10"/>
      <c r="J279" s="10"/>
      <c r="K279" s="1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9"/>
      <c r="B280" s="8"/>
      <c r="C280" s="8"/>
      <c r="D280" s="8"/>
      <c r="E280" s="8"/>
      <c r="F280" s="8"/>
      <c r="G280" s="8"/>
      <c r="H280" s="8"/>
      <c r="I280" s="10"/>
      <c r="J280" s="10"/>
      <c r="K280" s="11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9"/>
      <c r="B281" s="8"/>
      <c r="C281" s="8"/>
      <c r="D281" s="8"/>
      <c r="E281" s="8"/>
      <c r="F281" s="8"/>
      <c r="G281" s="8"/>
      <c r="H281" s="8"/>
      <c r="I281" s="10"/>
      <c r="J281" s="10"/>
      <c r="K281" s="11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9"/>
      <c r="B282" s="8"/>
      <c r="C282" s="8"/>
      <c r="D282" s="8"/>
      <c r="E282" s="8"/>
      <c r="F282" s="8"/>
      <c r="G282" s="8"/>
      <c r="H282" s="8"/>
      <c r="I282" s="10"/>
      <c r="J282" s="10"/>
      <c r="K282" s="1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9"/>
      <c r="B283" s="8"/>
      <c r="C283" s="8"/>
      <c r="D283" s="8"/>
      <c r="E283" s="8"/>
      <c r="F283" s="8"/>
      <c r="G283" s="8"/>
      <c r="H283" s="8"/>
      <c r="I283" s="10"/>
      <c r="J283" s="10"/>
      <c r="K283" s="1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9"/>
      <c r="B284" s="8"/>
      <c r="C284" s="8"/>
      <c r="D284" s="8"/>
      <c r="E284" s="8"/>
      <c r="F284" s="8"/>
      <c r="G284" s="8"/>
      <c r="H284" s="8"/>
      <c r="I284" s="10"/>
      <c r="J284" s="10"/>
      <c r="K284" s="1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9"/>
      <c r="B285" s="8"/>
      <c r="C285" s="8"/>
      <c r="D285" s="8"/>
      <c r="E285" s="8"/>
      <c r="F285" s="8"/>
      <c r="G285" s="8"/>
      <c r="H285" s="8"/>
      <c r="I285" s="10"/>
      <c r="J285" s="10"/>
      <c r="K285" s="1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9"/>
      <c r="B286" s="8"/>
      <c r="C286" s="8"/>
      <c r="D286" s="8"/>
      <c r="E286" s="8"/>
      <c r="F286" s="8"/>
      <c r="G286" s="8"/>
      <c r="H286" s="8"/>
      <c r="I286" s="10"/>
      <c r="J286" s="10"/>
      <c r="K286" s="1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9"/>
      <c r="B287" s="8"/>
      <c r="C287" s="8"/>
      <c r="D287" s="8"/>
      <c r="E287" s="8"/>
      <c r="F287" s="8"/>
      <c r="G287" s="8"/>
      <c r="H287" s="8"/>
      <c r="I287" s="10"/>
      <c r="J287" s="10"/>
      <c r="K287" s="1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9"/>
      <c r="B288" s="8"/>
      <c r="C288" s="8"/>
      <c r="D288" s="8"/>
      <c r="E288" s="8"/>
      <c r="F288" s="8"/>
      <c r="G288" s="8"/>
      <c r="H288" s="8"/>
      <c r="I288" s="10"/>
      <c r="J288" s="10"/>
      <c r="K288" s="1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9"/>
      <c r="B289" s="8"/>
      <c r="C289" s="8"/>
      <c r="D289" s="8"/>
      <c r="E289" s="8"/>
      <c r="F289" s="8"/>
      <c r="G289" s="8"/>
      <c r="H289" s="8"/>
      <c r="I289" s="10"/>
      <c r="J289" s="10"/>
      <c r="K289" s="11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9"/>
      <c r="B290" s="8"/>
      <c r="C290" s="8"/>
      <c r="D290" s="8"/>
      <c r="E290" s="8"/>
      <c r="F290" s="8"/>
      <c r="G290" s="8"/>
      <c r="H290" s="8"/>
      <c r="I290" s="10"/>
      <c r="J290" s="10"/>
      <c r="K290" s="11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9"/>
      <c r="B291" s="8"/>
      <c r="C291" s="8"/>
      <c r="D291" s="8"/>
      <c r="E291" s="8"/>
      <c r="F291" s="8"/>
      <c r="G291" s="8"/>
      <c r="H291" s="8"/>
      <c r="I291" s="10"/>
      <c r="J291" s="10"/>
      <c r="K291" s="11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9"/>
      <c r="B292" s="8"/>
      <c r="C292" s="8"/>
      <c r="D292" s="8"/>
      <c r="E292" s="8"/>
      <c r="F292" s="8"/>
      <c r="G292" s="8"/>
      <c r="H292" s="8"/>
      <c r="I292" s="10"/>
      <c r="J292" s="10"/>
      <c r="K292" s="1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9"/>
      <c r="B293" s="8"/>
      <c r="C293" s="8"/>
      <c r="D293" s="8"/>
      <c r="E293" s="8"/>
      <c r="F293" s="8"/>
      <c r="G293" s="8"/>
      <c r="H293" s="8"/>
      <c r="I293" s="10"/>
      <c r="J293" s="10"/>
      <c r="K293" s="1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9"/>
      <c r="B294" s="8"/>
      <c r="C294" s="8"/>
      <c r="D294" s="8"/>
      <c r="E294" s="8"/>
      <c r="F294" s="8"/>
      <c r="G294" s="8"/>
      <c r="H294" s="8"/>
      <c r="I294" s="10"/>
      <c r="J294" s="10"/>
      <c r="K294" s="11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9"/>
      <c r="B295" s="8"/>
      <c r="C295" s="8"/>
      <c r="D295" s="8"/>
      <c r="E295" s="8"/>
      <c r="F295" s="8"/>
      <c r="G295" s="8"/>
      <c r="H295" s="8"/>
      <c r="I295" s="10"/>
      <c r="J295" s="10"/>
      <c r="K295" s="11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9"/>
      <c r="B296" s="8"/>
      <c r="C296" s="8"/>
      <c r="D296" s="8"/>
      <c r="E296" s="8"/>
      <c r="F296" s="8"/>
      <c r="G296" s="8"/>
      <c r="H296" s="8"/>
      <c r="I296" s="10"/>
      <c r="J296" s="10"/>
      <c r="K296" s="1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9"/>
      <c r="B297" s="8"/>
      <c r="C297" s="8"/>
      <c r="D297" s="8"/>
      <c r="E297" s="8"/>
      <c r="F297" s="8"/>
      <c r="G297" s="8"/>
      <c r="H297" s="8"/>
      <c r="I297" s="10"/>
      <c r="J297" s="10"/>
      <c r="K297" s="1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9"/>
      <c r="B298" s="8"/>
      <c r="C298" s="8"/>
      <c r="D298" s="8"/>
      <c r="E298" s="8"/>
      <c r="F298" s="8"/>
      <c r="G298" s="8"/>
      <c r="H298" s="8"/>
      <c r="I298" s="10"/>
      <c r="J298" s="10"/>
      <c r="K298" s="11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9"/>
      <c r="B299" s="8"/>
      <c r="C299" s="8"/>
      <c r="D299" s="8"/>
      <c r="E299" s="8"/>
      <c r="F299" s="8"/>
      <c r="G299" s="8"/>
      <c r="H299" s="8"/>
      <c r="I299" s="10"/>
      <c r="J299" s="10"/>
      <c r="K299" s="11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9"/>
      <c r="B300" s="8"/>
      <c r="C300" s="8"/>
      <c r="D300" s="8"/>
      <c r="E300" s="8"/>
      <c r="F300" s="8"/>
      <c r="G300" s="8"/>
      <c r="H300" s="8"/>
      <c r="I300" s="10"/>
      <c r="J300" s="10"/>
      <c r="K300" s="1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9"/>
      <c r="B301" s="8"/>
      <c r="C301" s="8"/>
      <c r="D301" s="8"/>
      <c r="E301" s="8"/>
      <c r="F301" s="8"/>
      <c r="G301" s="8"/>
      <c r="H301" s="8"/>
      <c r="I301" s="10"/>
      <c r="J301" s="10"/>
      <c r="K301" s="1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9"/>
      <c r="B302" s="8"/>
      <c r="C302" s="8"/>
      <c r="D302" s="8"/>
      <c r="E302" s="8"/>
      <c r="F302" s="8"/>
      <c r="G302" s="8"/>
      <c r="H302" s="8"/>
      <c r="I302" s="10"/>
      <c r="J302" s="10"/>
      <c r="K302" s="11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9"/>
      <c r="B303" s="8"/>
      <c r="C303" s="8"/>
      <c r="D303" s="8"/>
      <c r="E303" s="8"/>
      <c r="F303" s="8"/>
      <c r="G303" s="8"/>
      <c r="H303" s="8"/>
      <c r="I303" s="10"/>
      <c r="J303" s="10"/>
      <c r="K303" s="11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9"/>
      <c r="B304" s="8"/>
      <c r="C304" s="8"/>
      <c r="D304" s="8"/>
      <c r="E304" s="8"/>
      <c r="F304" s="8"/>
      <c r="G304" s="8"/>
      <c r="H304" s="8"/>
      <c r="I304" s="10"/>
      <c r="J304" s="10"/>
      <c r="K304" s="1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9"/>
      <c r="B305" s="8"/>
      <c r="C305" s="8"/>
      <c r="D305" s="8"/>
      <c r="E305" s="8"/>
      <c r="F305" s="8"/>
      <c r="G305" s="8"/>
      <c r="H305" s="8"/>
      <c r="I305" s="10"/>
      <c r="J305" s="10"/>
      <c r="K305" s="1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9"/>
      <c r="B306" s="8"/>
      <c r="C306" s="8"/>
      <c r="D306" s="8"/>
      <c r="E306" s="8"/>
      <c r="F306" s="8"/>
      <c r="G306" s="8"/>
      <c r="H306" s="8"/>
      <c r="I306" s="10"/>
      <c r="J306" s="10"/>
      <c r="K306" s="11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9"/>
      <c r="B307" s="8"/>
      <c r="C307" s="8"/>
      <c r="D307" s="8"/>
      <c r="E307" s="8"/>
      <c r="F307" s="8"/>
      <c r="G307" s="8"/>
      <c r="H307" s="8"/>
      <c r="I307" s="10"/>
      <c r="J307" s="10"/>
      <c r="K307" s="11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9"/>
      <c r="B308" s="8"/>
      <c r="C308" s="8"/>
      <c r="D308" s="8"/>
      <c r="E308" s="8"/>
      <c r="F308" s="8"/>
      <c r="G308" s="8"/>
      <c r="H308" s="8"/>
      <c r="I308" s="10"/>
      <c r="J308" s="10"/>
      <c r="K308" s="1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9"/>
      <c r="B309" s="8"/>
      <c r="C309" s="8"/>
      <c r="D309" s="8"/>
      <c r="E309" s="8"/>
      <c r="F309" s="8"/>
      <c r="G309" s="8"/>
      <c r="H309" s="8"/>
      <c r="I309" s="10"/>
      <c r="J309" s="10"/>
      <c r="K309" s="1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9"/>
      <c r="B310" s="8"/>
      <c r="C310" s="8"/>
      <c r="D310" s="8"/>
      <c r="E310" s="8"/>
      <c r="F310" s="8"/>
      <c r="G310" s="8"/>
      <c r="H310" s="8"/>
      <c r="I310" s="10"/>
      <c r="J310" s="10"/>
      <c r="K310" s="11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9"/>
      <c r="B311" s="8"/>
      <c r="C311" s="8"/>
      <c r="D311" s="8"/>
      <c r="E311" s="8"/>
      <c r="F311" s="8"/>
      <c r="G311" s="8"/>
      <c r="H311" s="8"/>
      <c r="I311" s="10"/>
      <c r="J311" s="10"/>
      <c r="K311" s="11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9"/>
      <c r="B312" s="8"/>
      <c r="C312" s="8"/>
      <c r="D312" s="8"/>
      <c r="E312" s="8"/>
      <c r="F312" s="8"/>
      <c r="G312" s="8"/>
      <c r="H312" s="8"/>
      <c r="I312" s="10"/>
      <c r="J312" s="10"/>
      <c r="K312" s="11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9"/>
      <c r="B313" s="8"/>
      <c r="C313" s="8"/>
      <c r="D313" s="8"/>
      <c r="E313" s="8"/>
      <c r="F313" s="8"/>
      <c r="G313" s="8"/>
      <c r="H313" s="8"/>
      <c r="I313" s="10"/>
      <c r="J313" s="10"/>
      <c r="K313" s="1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9"/>
      <c r="B314" s="8"/>
      <c r="C314" s="8"/>
      <c r="D314" s="8"/>
      <c r="E314" s="8"/>
      <c r="F314" s="8"/>
      <c r="G314" s="8"/>
      <c r="H314" s="8"/>
      <c r="I314" s="10"/>
      <c r="J314" s="10"/>
      <c r="K314" s="1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9"/>
      <c r="B315" s="8"/>
      <c r="C315" s="8"/>
      <c r="D315" s="8"/>
      <c r="E315" s="8"/>
      <c r="F315" s="8"/>
      <c r="G315" s="8"/>
      <c r="H315" s="8"/>
      <c r="I315" s="10"/>
      <c r="J315" s="10"/>
      <c r="K315" s="11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9"/>
      <c r="B316" s="8"/>
      <c r="C316" s="8"/>
      <c r="D316" s="8"/>
      <c r="E316" s="8"/>
      <c r="F316" s="8"/>
      <c r="G316" s="8"/>
      <c r="H316" s="8"/>
      <c r="I316" s="10"/>
      <c r="J316" s="10"/>
      <c r="K316" s="11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9"/>
      <c r="B317" s="8"/>
      <c r="C317" s="8"/>
      <c r="D317" s="8"/>
      <c r="E317" s="8"/>
      <c r="F317" s="8"/>
      <c r="G317" s="8"/>
      <c r="H317" s="8"/>
      <c r="I317" s="10"/>
      <c r="J317" s="10"/>
      <c r="K317" s="1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9"/>
      <c r="B318" s="8"/>
      <c r="C318" s="8"/>
      <c r="D318" s="8"/>
      <c r="E318" s="8"/>
      <c r="F318" s="8"/>
      <c r="G318" s="8"/>
      <c r="H318" s="8"/>
      <c r="I318" s="10"/>
      <c r="J318" s="10"/>
      <c r="K318" s="1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9"/>
      <c r="B319" s="8"/>
      <c r="C319" s="8"/>
      <c r="D319" s="8"/>
      <c r="E319" s="8"/>
      <c r="F319" s="8"/>
      <c r="G319" s="8"/>
      <c r="H319" s="8"/>
      <c r="I319" s="10"/>
      <c r="J319" s="10"/>
      <c r="K319" s="11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12"/>
      <c r="B320" s="13"/>
      <c r="C320" s="13"/>
      <c r="D320" s="13"/>
      <c r="E320" s="13"/>
      <c r="F320" s="13"/>
      <c r="G320" s="13"/>
      <c r="H320" s="13"/>
      <c r="I320" s="14"/>
      <c r="J320" s="14"/>
      <c r="K320" s="11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9"/>
      <c r="B321" s="8"/>
      <c r="C321" s="8"/>
      <c r="D321" s="8"/>
      <c r="E321" s="8"/>
      <c r="F321" s="8"/>
      <c r="G321" s="8"/>
      <c r="H321" s="8"/>
      <c r="I321" s="10"/>
      <c r="J321" s="10"/>
      <c r="K321" s="11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9"/>
      <c r="B322" s="8"/>
      <c r="C322" s="8"/>
      <c r="D322" s="8"/>
      <c r="E322" s="8"/>
      <c r="F322" s="8"/>
      <c r="G322" s="8"/>
      <c r="H322" s="8"/>
      <c r="I322" s="10"/>
      <c r="J322" s="10"/>
      <c r="K322" s="11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9"/>
      <c r="B323" s="8"/>
      <c r="C323" s="8"/>
      <c r="D323" s="8"/>
      <c r="E323" s="8"/>
      <c r="F323" s="8"/>
      <c r="G323" s="8"/>
      <c r="H323" s="8"/>
      <c r="I323" s="10"/>
      <c r="J323" s="10"/>
      <c r="K323" s="1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9"/>
      <c r="B324" s="8"/>
      <c r="C324" s="8"/>
      <c r="D324" s="8"/>
      <c r="E324" s="8"/>
      <c r="F324" s="8"/>
      <c r="G324" s="8"/>
      <c r="H324" s="8"/>
      <c r="I324" s="10"/>
      <c r="J324" s="10"/>
      <c r="K324" s="1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9"/>
      <c r="B325" s="8"/>
      <c r="C325" s="8"/>
      <c r="D325" s="8"/>
      <c r="E325" s="8"/>
      <c r="F325" s="8"/>
      <c r="G325" s="8"/>
      <c r="H325" s="8"/>
      <c r="I325" s="10"/>
      <c r="J325" s="10"/>
      <c r="K325" s="11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9"/>
      <c r="B326" s="8"/>
      <c r="C326" s="8"/>
      <c r="D326" s="8"/>
      <c r="E326" s="8"/>
      <c r="F326" s="8"/>
      <c r="G326" s="8"/>
      <c r="H326" s="8"/>
      <c r="I326" s="10"/>
      <c r="J326" s="10"/>
      <c r="K326" s="11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9"/>
      <c r="B327" s="8"/>
      <c r="C327" s="8"/>
      <c r="D327" s="8"/>
      <c r="E327" s="8"/>
      <c r="F327" s="8"/>
      <c r="G327" s="8"/>
      <c r="H327" s="8"/>
      <c r="I327" s="10"/>
      <c r="J327" s="10"/>
      <c r="K327" s="1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9"/>
      <c r="B328" s="8"/>
      <c r="C328" s="8"/>
      <c r="D328" s="8"/>
      <c r="E328" s="8"/>
      <c r="F328" s="8"/>
      <c r="G328" s="8"/>
      <c r="H328" s="8"/>
      <c r="I328" s="10"/>
      <c r="J328" s="10"/>
      <c r="K328" s="1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9"/>
      <c r="B329" s="8"/>
      <c r="C329" s="8"/>
      <c r="D329" s="8"/>
      <c r="E329" s="8"/>
      <c r="F329" s="8"/>
      <c r="G329" s="8"/>
      <c r="H329" s="8"/>
      <c r="I329" s="10"/>
      <c r="J329" s="10"/>
      <c r="K329" s="11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9"/>
      <c r="B330" s="8"/>
      <c r="C330" s="8"/>
      <c r="D330" s="8"/>
      <c r="E330" s="8"/>
      <c r="F330" s="8"/>
      <c r="G330" s="8"/>
      <c r="H330" s="8"/>
      <c r="I330" s="10"/>
      <c r="J330" s="10"/>
      <c r="K330" s="11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9"/>
      <c r="B331" s="8"/>
      <c r="C331" s="8"/>
      <c r="D331" s="8"/>
      <c r="E331" s="8"/>
      <c r="F331" s="8"/>
      <c r="G331" s="8"/>
      <c r="H331" s="8"/>
      <c r="I331" s="10"/>
      <c r="J331" s="10"/>
      <c r="K331" s="11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9"/>
      <c r="B332" s="8"/>
      <c r="C332" s="8"/>
      <c r="D332" s="8"/>
      <c r="E332" s="8"/>
      <c r="F332" s="8"/>
      <c r="G332" s="8"/>
      <c r="H332" s="8"/>
      <c r="I332" s="10"/>
      <c r="J332" s="10"/>
      <c r="K332" s="11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9"/>
      <c r="B333" s="8"/>
      <c r="C333" s="8"/>
      <c r="D333" s="8"/>
      <c r="E333" s="8"/>
      <c r="F333" s="8"/>
      <c r="G333" s="8"/>
      <c r="H333" s="8"/>
      <c r="I333" s="10"/>
      <c r="J333" s="10"/>
      <c r="K333" s="1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9"/>
      <c r="B334" s="8"/>
      <c r="C334" s="8"/>
      <c r="D334" s="8"/>
      <c r="E334" s="8"/>
      <c r="F334" s="8"/>
      <c r="G334" s="8"/>
      <c r="H334" s="8"/>
      <c r="I334" s="10"/>
      <c r="J334" s="10"/>
      <c r="K334" s="1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9"/>
      <c r="B335" s="8"/>
      <c r="C335" s="8"/>
      <c r="D335" s="8"/>
      <c r="E335" s="8"/>
      <c r="F335" s="8"/>
      <c r="G335" s="8"/>
      <c r="H335" s="8"/>
      <c r="I335" s="10"/>
      <c r="J335" s="10"/>
      <c r="K335" s="11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9"/>
      <c r="B336" s="8"/>
      <c r="C336" s="8"/>
      <c r="D336" s="8"/>
      <c r="E336" s="8"/>
      <c r="F336" s="8"/>
      <c r="G336" s="8"/>
      <c r="H336" s="8"/>
      <c r="I336" s="10"/>
      <c r="J336" s="10"/>
      <c r="K336" s="11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9"/>
      <c r="B337" s="8"/>
      <c r="C337" s="8"/>
      <c r="D337" s="8"/>
      <c r="E337" s="8"/>
      <c r="F337" s="8"/>
      <c r="G337" s="8"/>
      <c r="H337" s="8"/>
      <c r="I337" s="10"/>
      <c r="J337" s="10"/>
      <c r="K337" s="1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9"/>
      <c r="B338" s="8"/>
      <c r="C338" s="8"/>
      <c r="D338" s="8"/>
      <c r="E338" s="8"/>
      <c r="F338" s="8"/>
      <c r="G338" s="8"/>
      <c r="H338" s="8"/>
      <c r="I338" s="10"/>
      <c r="J338" s="10"/>
      <c r="K338" s="1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9"/>
      <c r="B339" s="8"/>
      <c r="C339" s="8"/>
      <c r="D339" s="8"/>
      <c r="E339" s="8"/>
      <c r="F339" s="8"/>
      <c r="G339" s="8"/>
      <c r="H339" s="8"/>
      <c r="I339" s="10"/>
      <c r="J339" s="10"/>
      <c r="K339" s="11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9"/>
      <c r="B340" s="8"/>
      <c r="C340" s="8"/>
      <c r="D340" s="8"/>
      <c r="E340" s="8"/>
      <c r="F340" s="8"/>
      <c r="G340" s="8"/>
      <c r="H340" s="8"/>
      <c r="I340" s="10"/>
      <c r="J340" s="10"/>
      <c r="K340" s="11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9"/>
      <c r="B341" s="8"/>
      <c r="C341" s="8"/>
      <c r="D341" s="8"/>
      <c r="E341" s="8"/>
      <c r="F341" s="8"/>
      <c r="G341" s="8"/>
      <c r="H341" s="8"/>
      <c r="I341" s="10"/>
      <c r="J341" s="10"/>
      <c r="K341" s="1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9"/>
      <c r="B342" s="8"/>
      <c r="C342" s="8"/>
      <c r="D342" s="8"/>
      <c r="E342" s="8"/>
      <c r="F342" s="8"/>
      <c r="G342" s="8"/>
      <c r="H342" s="8"/>
      <c r="I342" s="10"/>
      <c r="J342" s="10"/>
      <c r="K342" s="1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9"/>
      <c r="B343" s="8"/>
      <c r="C343" s="8"/>
      <c r="D343" s="8"/>
      <c r="E343" s="8"/>
      <c r="F343" s="8"/>
      <c r="G343" s="8"/>
      <c r="H343" s="8"/>
      <c r="I343" s="10"/>
      <c r="J343" s="10"/>
      <c r="K343" s="11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9"/>
      <c r="B344" s="8"/>
      <c r="C344" s="8"/>
      <c r="D344" s="8"/>
      <c r="E344" s="8"/>
      <c r="F344" s="8"/>
      <c r="G344" s="8"/>
      <c r="H344" s="8"/>
      <c r="I344" s="10"/>
      <c r="J344" s="10"/>
      <c r="K344" s="11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9"/>
      <c r="B345" s="8"/>
      <c r="C345" s="8"/>
      <c r="D345" s="8"/>
      <c r="E345" s="8"/>
      <c r="F345" s="8"/>
      <c r="G345" s="8"/>
      <c r="H345" s="8"/>
      <c r="I345" s="10"/>
      <c r="J345" s="10"/>
      <c r="K345" s="1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9"/>
      <c r="B346" s="8"/>
      <c r="C346" s="8"/>
      <c r="D346" s="8"/>
      <c r="E346" s="8"/>
      <c r="F346" s="8"/>
      <c r="G346" s="8"/>
      <c r="H346" s="8"/>
      <c r="I346" s="10"/>
      <c r="J346" s="10"/>
      <c r="K346" s="1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9"/>
      <c r="B347" s="8"/>
      <c r="C347" s="8"/>
      <c r="D347" s="8"/>
      <c r="E347" s="8"/>
      <c r="F347" s="8"/>
      <c r="G347" s="8"/>
      <c r="H347" s="8"/>
      <c r="I347" s="10"/>
      <c r="J347" s="10"/>
      <c r="K347" s="11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9"/>
      <c r="B348" s="8"/>
      <c r="C348" s="8"/>
      <c r="D348" s="8"/>
      <c r="E348" s="8"/>
      <c r="F348" s="8"/>
      <c r="G348" s="8"/>
      <c r="H348" s="8"/>
      <c r="I348" s="10"/>
      <c r="J348" s="10"/>
      <c r="K348" s="11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9"/>
      <c r="B349" s="8"/>
      <c r="C349" s="8"/>
      <c r="D349" s="8"/>
      <c r="E349" s="8"/>
      <c r="F349" s="8"/>
      <c r="G349" s="8"/>
      <c r="H349" s="8"/>
      <c r="I349" s="10"/>
      <c r="J349" s="10"/>
      <c r="K349" s="1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9"/>
      <c r="B350" s="8"/>
      <c r="C350" s="8"/>
      <c r="D350" s="8"/>
      <c r="E350" s="8"/>
      <c r="F350" s="8"/>
      <c r="G350" s="8"/>
      <c r="H350" s="8"/>
      <c r="I350" s="10"/>
      <c r="J350" s="10"/>
      <c r="K350" s="1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9"/>
      <c r="B351" s="8"/>
      <c r="C351" s="8"/>
      <c r="D351" s="8"/>
      <c r="E351" s="8"/>
      <c r="F351" s="8"/>
      <c r="G351" s="8"/>
      <c r="H351" s="8"/>
      <c r="I351" s="10"/>
      <c r="J351" s="10"/>
      <c r="K351" s="11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9"/>
      <c r="B352" s="8"/>
      <c r="C352" s="8"/>
      <c r="D352" s="8"/>
      <c r="E352" s="8"/>
      <c r="F352" s="8"/>
      <c r="G352" s="8"/>
      <c r="H352" s="8"/>
      <c r="I352" s="10"/>
      <c r="J352" s="10"/>
      <c r="K352" s="11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9"/>
      <c r="B353" s="8"/>
      <c r="C353" s="8"/>
      <c r="D353" s="8"/>
      <c r="E353" s="8"/>
      <c r="F353" s="8"/>
      <c r="G353" s="8"/>
      <c r="H353" s="8"/>
      <c r="I353" s="10"/>
      <c r="J353" s="10"/>
      <c r="K353" s="11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9"/>
      <c r="B354" s="8"/>
      <c r="C354" s="8"/>
      <c r="D354" s="8"/>
      <c r="E354" s="8"/>
      <c r="F354" s="8"/>
      <c r="G354" s="8"/>
      <c r="H354" s="8"/>
      <c r="I354" s="10"/>
      <c r="J354" s="10"/>
      <c r="K354" s="11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9"/>
      <c r="B355" s="8"/>
      <c r="C355" s="8"/>
      <c r="D355" s="8"/>
      <c r="E355" s="8"/>
      <c r="F355" s="8"/>
      <c r="G355" s="8"/>
      <c r="H355" s="8"/>
      <c r="I355" s="10"/>
      <c r="J355" s="10"/>
      <c r="K355" s="11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9"/>
      <c r="B356" s="8"/>
      <c r="C356" s="8"/>
      <c r="D356" s="8"/>
      <c r="E356" s="8"/>
      <c r="F356" s="8"/>
      <c r="G356" s="8"/>
      <c r="H356" s="8"/>
      <c r="I356" s="10"/>
      <c r="J356" s="10"/>
      <c r="K356" s="1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9"/>
      <c r="B357" s="8"/>
      <c r="C357" s="8"/>
      <c r="D357" s="8"/>
      <c r="E357" s="8"/>
      <c r="F357" s="8"/>
      <c r="G357" s="8"/>
      <c r="H357" s="8"/>
      <c r="I357" s="10"/>
      <c r="J357" s="10"/>
      <c r="K357" s="1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9"/>
      <c r="B358" s="8"/>
      <c r="C358" s="8"/>
      <c r="D358" s="8"/>
      <c r="E358" s="8"/>
      <c r="F358" s="8"/>
      <c r="G358" s="8"/>
      <c r="H358" s="8"/>
      <c r="I358" s="10"/>
      <c r="J358" s="10"/>
      <c r="K358" s="11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9"/>
      <c r="B359" s="8"/>
      <c r="C359" s="8"/>
      <c r="D359" s="8"/>
      <c r="E359" s="8"/>
      <c r="F359" s="8"/>
      <c r="G359" s="8"/>
      <c r="H359" s="8"/>
      <c r="I359" s="10"/>
      <c r="J359" s="10"/>
      <c r="K359" s="11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9"/>
      <c r="B360" s="8"/>
      <c r="C360" s="8"/>
      <c r="D360" s="8"/>
      <c r="E360" s="8"/>
      <c r="F360" s="8"/>
      <c r="G360" s="8"/>
      <c r="H360" s="8"/>
      <c r="I360" s="10"/>
      <c r="J360" s="10"/>
      <c r="K360" s="1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9"/>
      <c r="B361" s="8"/>
      <c r="C361" s="8"/>
      <c r="D361" s="8"/>
      <c r="E361" s="8"/>
      <c r="F361" s="8"/>
      <c r="G361" s="8"/>
      <c r="H361" s="8"/>
      <c r="I361" s="10"/>
      <c r="J361" s="10"/>
      <c r="K361" s="1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9"/>
      <c r="B362" s="8"/>
      <c r="C362" s="8"/>
      <c r="D362" s="8"/>
      <c r="E362" s="8"/>
      <c r="F362" s="8"/>
      <c r="G362" s="8"/>
      <c r="H362" s="8"/>
      <c r="I362" s="10"/>
      <c r="J362" s="10"/>
      <c r="K362" s="11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9"/>
      <c r="B363" s="8"/>
      <c r="C363" s="8"/>
      <c r="D363" s="8"/>
      <c r="E363" s="8"/>
      <c r="F363" s="8"/>
      <c r="G363" s="8"/>
      <c r="H363" s="8"/>
      <c r="I363" s="10"/>
      <c r="J363" s="10"/>
      <c r="K363" s="11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9"/>
      <c r="B364" s="8"/>
      <c r="C364" s="8"/>
      <c r="D364" s="8"/>
      <c r="E364" s="8"/>
      <c r="F364" s="8"/>
      <c r="G364" s="8"/>
      <c r="H364" s="8"/>
      <c r="I364" s="10"/>
      <c r="J364" s="10"/>
      <c r="K364" s="11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9"/>
      <c r="B365" s="8"/>
      <c r="C365" s="8"/>
      <c r="D365" s="8"/>
      <c r="E365" s="8"/>
      <c r="F365" s="8"/>
      <c r="G365" s="8"/>
      <c r="H365" s="8"/>
      <c r="I365" s="10"/>
      <c r="J365" s="10"/>
      <c r="K365" s="11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9"/>
      <c r="B366" s="8"/>
      <c r="C366" s="8"/>
      <c r="D366" s="8"/>
      <c r="E366" s="8"/>
      <c r="F366" s="8"/>
      <c r="G366" s="8"/>
      <c r="H366" s="8"/>
      <c r="I366" s="10"/>
      <c r="J366" s="10"/>
      <c r="K366" s="1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9"/>
      <c r="B367" s="8"/>
      <c r="C367" s="8"/>
      <c r="D367" s="8"/>
      <c r="E367" s="8"/>
      <c r="F367" s="8"/>
      <c r="G367" s="8"/>
      <c r="H367" s="8"/>
      <c r="I367" s="10"/>
      <c r="J367" s="10"/>
      <c r="K367" s="1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9"/>
      <c r="B368" s="8"/>
      <c r="C368" s="8"/>
      <c r="D368" s="8"/>
      <c r="E368" s="8"/>
      <c r="F368" s="8"/>
      <c r="G368" s="8"/>
      <c r="H368" s="8"/>
      <c r="I368" s="10"/>
      <c r="J368" s="10"/>
      <c r="K368" s="1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9"/>
      <c r="B369" s="8"/>
      <c r="C369" s="8"/>
      <c r="D369" s="8"/>
      <c r="E369" s="8"/>
      <c r="F369" s="8"/>
      <c r="G369" s="8"/>
      <c r="H369" s="8"/>
      <c r="I369" s="10"/>
      <c r="J369" s="10"/>
      <c r="K369" s="1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9"/>
      <c r="B370" s="8"/>
      <c r="C370" s="8"/>
      <c r="D370" s="8"/>
      <c r="E370" s="8"/>
      <c r="F370" s="8"/>
      <c r="G370" s="8"/>
      <c r="H370" s="8"/>
      <c r="I370" s="10"/>
      <c r="J370" s="10"/>
      <c r="K370" s="1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12"/>
      <c r="B371" s="13"/>
      <c r="C371" s="13"/>
      <c r="D371" s="13"/>
      <c r="E371" s="13"/>
      <c r="F371" s="13"/>
      <c r="G371" s="13"/>
      <c r="H371" s="13"/>
      <c r="I371" s="14"/>
      <c r="J371" s="14"/>
      <c r="K371" s="11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9"/>
      <c r="B372" s="8"/>
      <c r="C372" s="8"/>
      <c r="D372" s="8"/>
      <c r="E372" s="8"/>
      <c r="F372" s="8"/>
      <c r="G372" s="8"/>
      <c r="H372" s="8"/>
      <c r="I372" s="10"/>
      <c r="J372" s="10"/>
      <c r="K372" s="11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9"/>
      <c r="B373" s="8"/>
      <c r="C373" s="8"/>
      <c r="D373" s="8"/>
      <c r="E373" s="8"/>
      <c r="F373" s="8"/>
      <c r="G373" s="8"/>
      <c r="H373" s="8"/>
      <c r="I373" s="10"/>
      <c r="J373" s="10"/>
      <c r="K373" s="11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9"/>
      <c r="B374" s="8"/>
      <c r="C374" s="8"/>
      <c r="D374" s="8"/>
      <c r="E374" s="8"/>
      <c r="F374" s="8"/>
      <c r="G374" s="8"/>
      <c r="H374" s="8"/>
      <c r="I374" s="10"/>
      <c r="J374" s="10"/>
      <c r="K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9"/>
      <c r="B375" s="8"/>
      <c r="C375" s="8"/>
      <c r="D375" s="8"/>
      <c r="E375" s="8"/>
      <c r="F375" s="8"/>
      <c r="G375" s="8"/>
      <c r="H375" s="8"/>
      <c r="I375" s="10"/>
      <c r="J375" s="10"/>
      <c r="K375" s="11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9"/>
      <c r="B376" s="8"/>
      <c r="C376" s="8"/>
      <c r="D376" s="8"/>
      <c r="E376" s="8"/>
      <c r="F376" s="8"/>
      <c r="G376" s="8"/>
      <c r="H376" s="8"/>
      <c r="I376" s="10"/>
      <c r="J376" s="10"/>
      <c r="K376" s="11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9"/>
      <c r="B377" s="8"/>
      <c r="C377" s="8"/>
      <c r="D377" s="8"/>
      <c r="E377" s="8"/>
      <c r="F377" s="8"/>
      <c r="G377" s="8"/>
      <c r="H377" s="8"/>
      <c r="I377" s="10"/>
      <c r="J377" s="10"/>
      <c r="K377" s="11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9"/>
      <c r="B378" s="8"/>
      <c r="C378" s="8"/>
      <c r="D378" s="8"/>
      <c r="E378" s="8"/>
      <c r="F378" s="8"/>
      <c r="G378" s="8"/>
      <c r="H378" s="8"/>
      <c r="I378" s="10"/>
      <c r="J378" s="10"/>
      <c r="K378" s="11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9"/>
      <c r="B379" s="8"/>
      <c r="C379" s="8"/>
      <c r="D379" s="8"/>
      <c r="E379" s="8"/>
      <c r="F379" s="8"/>
      <c r="G379" s="8"/>
      <c r="H379" s="8"/>
      <c r="I379" s="10"/>
      <c r="J379" s="10"/>
      <c r="K379" s="11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9"/>
      <c r="B380" s="8"/>
      <c r="C380" s="8"/>
      <c r="D380" s="8"/>
      <c r="E380" s="8"/>
      <c r="F380" s="8"/>
      <c r="G380" s="8"/>
      <c r="H380" s="8"/>
      <c r="I380" s="10"/>
      <c r="J380" s="10"/>
      <c r="K380" s="11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9"/>
      <c r="B381" s="8"/>
      <c r="C381" s="8"/>
      <c r="D381" s="8"/>
      <c r="E381" s="8"/>
      <c r="F381" s="8"/>
      <c r="G381" s="8"/>
      <c r="H381" s="8"/>
      <c r="I381" s="10"/>
      <c r="J381" s="10"/>
      <c r="K381" s="11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9"/>
      <c r="B382" s="8"/>
      <c r="C382" s="8"/>
      <c r="D382" s="8"/>
      <c r="E382" s="8"/>
      <c r="F382" s="8"/>
      <c r="G382" s="8"/>
      <c r="H382" s="8"/>
      <c r="I382" s="10"/>
      <c r="J382" s="10"/>
      <c r="K382" s="11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9"/>
      <c r="B383" s="8"/>
      <c r="C383" s="8"/>
      <c r="D383" s="8"/>
      <c r="E383" s="8"/>
      <c r="F383" s="8"/>
      <c r="G383" s="8"/>
      <c r="H383" s="8"/>
      <c r="I383" s="10"/>
      <c r="J383" s="10"/>
      <c r="K383" s="11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9"/>
      <c r="B384" s="8"/>
      <c r="C384" s="8"/>
      <c r="D384" s="8"/>
      <c r="E384" s="8"/>
      <c r="F384" s="8"/>
      <c r="G384" s="8"/>
      <c r="H384" s="8"/>
      <c r="I384" s="10"/>
      <c r="J384" s="10"/>
      <c r="K384" s="11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9"/>
      <c r="B385" s="8"/>
      <c r="C385" s="8"/>
      <c r="D385" s="8"/>
      <c r="E385" s="8"/>
      <c r="F385" s="8"/>
      <c r="G385" s="8"/>
      <c r="H385" s="8"/>
      <c r="I385" s="10"/>
      <c r="J385" s="10"/>
      <c r="K385" s="11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12"/>
      <c r="B386" s="13"/>
      <c r="C386" s="13"/>
      <c r="D386" s="13"/>
      <c r="E386" s="13"/>
      <c r="F386" s="13"/>
      <c r="G386" s="13"/>
      <c r="H386" s="13"/>
      <c r="I386" s="14"/>
      <c r="J386" s="14"/>
      <c r="K386" s="11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9"/>
      <c r="B387" s="8"/>
      <c r="C387" s="8"/>
      <c r="D387" s="8"/>
      <c r="E387" s="8"/>
      <c r="F387" s="8"/>
      <c r="G387" s="8"/>
      <c r="H387" s="8"/>
      <c r="I387" s="10"/>
      <c r="J387" s="10"/>
      <c r="K387" s="11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9"/>
      <c r="B388" s="8"/>
      <c r="C388" s="8"/>
      <c r="D388" s="8"/>
      <c r="E388" s="8"/>
      <c r="F388" s="8"/>
      <c r="G388" s="8"/>
      <c r="H388" s="8"/>
      <c r="I388" s="10"/>
      <c r="J388" s="10"/>
      <c r="K388" s="11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9"/>
      <c r="B389" s="8"/>
      <c r="C389" s="8"/>
      <c r="D389" s="8"/>
      <c r="E389" s="8"/>
      <c r="F389" s="8"/>
      <c r="G389" s="8"/>
      <c r="H389" s="8"/>
      <c r="I389" s="10"/>
      <c r="J389" s="10"/>
      <c r="K389" s="11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9"/>
      <c r="B390" s="8"/>
      <c r="C390" s="8"/>
      <c r="D390" s="8"/>
      <c r="E390" s="8"/>
      <c r="F390" s="8"/>
      <c r="G390" s="8"/>
      <c r="H390" s="8"/>
      <c r="I390" s="10"/>
      <c r="J390" s="10"/>
      <c r="K390" s="11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9"/>
      <c r="B391" s="8"/>
      <c r="C391" s="8"/>
      <c r="D391" s="8"/>
      <c r="E391" s="8"/>
      <c r="F391" s="8"/>
      <c r="G391" s="8"/>
      <c r="H391" s="8"/>
      <c r="I391" s="10"/>
      <c r="J391" s="10"/>
      <c r="K391" s="11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9"/>
      <c r="B392" s="8"/>
      <c r="C392" s="8"/>
      <c r="D392" s="8"/>
      <c r="E392" s="8"/>
      <c r="F392" s="8"/>
      <c r="G392" s="8"/>
      <c r="H392" s="8"/>
      <c r="I392" s="10"/>
      <c r="J392" s="10"/>
      <c r="K392" s="11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9"/>
      <c r="B393" s="8"/>
      <c r="C393" s="8"/>
      <c r="D393" s="8"/>
      <c r="E393" s="8"/>
      <c r="F393" s="8"/>
      <c r="G393" s="8"/>
      <c r="H393" s="8"/>
      <c r="I393" s="10"/>
      <c r="J393" s="10"/>
      <c r="K393" s="11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9"/>
      <c r="B394" s="8"/>
      <c r="C394" s="8"/>
      <c r="D394" s="8"/>
      <c r="E394" s="8"/>
      <c r="F394" s="8"/>
      <c r="G394" s="8"/>
      <c r="H394" s="8"/>
      <c r="I394" s="10"/>
      <c r="J394" s="10"/>
      <c r="K394" s="11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9"/>
      <c r="B395" s="8"/>
      <c r="C395" s="8"/>
      <c r="D395" s="8"/>
      <c r="E395" s="8"/>
      <c r="F395" s="8"/>
      <c r="G395" s="8"/>
      <c r="H395" s="8"/>
      <c r="I395" s="10"/>
      <c r="J395" s="10"/>
      <c r="K395" s="11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9"/>
      <c r="B396" s="8"/>
      <c r="C396" s="8"/>
      <c r="D396" s="8"/>
      <c r="E396" s="8"/>
      <c r="F396" s="8"/>
      <c r="G396" s="8"/>
      <c r="H396" s="8"/>
      <c r="I396" s="10"/>
      <c r="J396" s="10"/>
      <c r="K396" s="11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9"/>
      <c r="B397" s="8"/>
      <c r="C397" s="8"/>
      <c r="D397" s="8"/>
      <c r="E397" s="8"/>
      <c r="F397" s="8"/>
      <c r="G397" s="8"/>
      <c r="H397" s="8"/>
      <c r="I397" s="10"/>
      <c r="J397" s="10"/>
      <c r="K397" s="11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9"/>
      <c r="B398" s="8"/>
      <c r="C398" s="8"/>
      <c r="D398" s="8"/>
      <c r="E398" s="8"/>
      <c r="F398" s="8"/>
      <c r="G398" s="8"/>
      <c r="H398" s="8"/>
      <c r="I398" s="10"/>
      <c r="J398" s="10"/>
      <c r="K398" s="11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9"/>
      <c r="B399" s="8"/>
      <c r="C399" s="8"/>
      <c r="D399" s="8"/>
      <c r="E399" s="8"/>
      <c r="F399" s="8"/>
      <c r="G399" s="8"/>
      <c r="H399" s="8"/>
      <c r="I399" s="10"/>
      <c r="J399" s="10"/>
      <c r="K399" s="11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9"/>
      <c r="B400" s="8"/>
      <c r="C400" s="8"/>
      <c r="D400" s="8"/>
      <c r="E400" s="8"/>
      <c r="F400" s="8"/>
      <c r="G400" s="8"/>
      <c r="H400" s="8"/>
      <c r="I400" s="10"/>
      <c r="J400" s="10"/>
      <c r="K400" s="11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9"/>
      <c r="B401" s="8"/>
      <c r="C401" s="8"/>
      <c r="D401" s="8"/>
      <c r="E401" s="8"/>
      <c r="F401" s="8"/>
      <c r="G401" s="8"/>
      <c r="H401" s="8"/>
      <c r="I401" s="10"/>
      <c r="J401" s="10"/>
      <c r="K401" s="11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9"/>
      <c r="B402" s="8"/>
      <c r="C402" s="8"/>
      <c r="D402" s="8"/>
      <c r="E402" s="8"/>
      <c r="F402" s="8"/>
      <c r="G402" s="8"/>
      <c r="H402" s="8"/>
      <c r="I402" s="10"/>
      <c r="J402" s="10"/>
      <c r="K402" s="11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9"/>
      <c r="B403" s="8"/>
      <c r="C403" s="8"/>
      <c r="D403" s="8"/>
      <c r="E403" s="8"/>
      <c r="F403" s="8"/>
      <c r="G403" s="8"/>
      <c r="H403" s="8"/>
      <c r="I403" s="10"/>
      <c r="J403" s="10"/>
      <c r="K403" s="11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9"/>
      <c r="B404" s="8"/>
      <c r="C404" s="8"/>
      <c r="D404" s="8"/>
      <c r="E404" s="8"/>
      <c r="F404" s="8"/>
      <c r="G404" s="8"/>
      <c r="H404" s="8"/>
      <c r="I404" s="10"/>
      <c r="J404" s="10"/>
      <c r="K404" s="11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9"/>
      <c r="B405" s="8"/>
      <c r="C405" s="8"/>
      <c r="D405" s="8"/>
      <c r="E405" s="8"/>
      <c r="F405" s="8"/>
      <c r="G405" s="8"/>
      <c r="H405" s="8"/>
      <c r="I405" s="10"/>
      <c r="J405" s="10"/>
      <c r="K405" s="11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9"/>
      <c r="B406" s="8"/>
      <c r="C406" s="8"/>
      <c r="D406" s="8"/>
      <c r="E406" s="8"/>
      <c r="F406" s="8"/>
      <c r="G406" s="8"/>
      <c r="H406" s="8"/>
      <c r="I406" s="10"/>
      <c r="J406" s="10"/>
      <c r="K406" s="11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9"/>
      <c r="B407" s="8"/>
      <c r="C407" s="8"/>
      <c r="D407" s="8"/>
      <c r="E407" s="8"/>
      <c r="F407" s="8"/>
      <c r="G407" s="8"/>
      <c r="H407" s="8"/>
      <c r="I407" s="10"/>
      <c r="J407" s="10"/>
      <c r="K407" s="11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9"/>
      <c r="B408" s="8"/>
      <c r="C408" s="8"/>
      <c r="D408" s="8"/>
      <c r="E408" s="8"/>
      <c r="F408" s="8"/>
      <c r="G408" s="8"/>
      <c r="H408" s="8"/>
      <c r="I408" s="10"/>
      <c r="J408" s="10"/>
      <c r="K408" s="11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9"/>
      <c r="B409" s="8"/>
      <c r="C409" s="8"/>
      <c r="D409" s="8"/>
      <c r="E409" s="8"/>
      <c r="F409" s="8"/>
      <c r="G409" s="8"/>
      <c r="H409" s="8"/>
      <c r="I409" s="10"/>
      <c r="J409" s="10"/>
      <c r="K409" s="11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9"/>
      <c r="B410" s="8"/>
      <c r="C410" s="8"/>
      <c r="D410" s="8"/>
      <c r="E410" s="8"/>
      <c r="F410" s="8"/>
      <c r="G410" s="8"/>
      <c r="H410" s="8"/>
      <c r="I410" s="10"/>
      <c r="J410" s="10"/>
      <c r="K410" s="11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9"/>
      <c r="B411" s="8"/>
      <c r="C411" s="8"/>
      <c r="D411" s="8"/>
      <c r="E411" s="8"/>
      <c r="F411" s="8"/>
      <c r="G411" s="8"/>
      <c r="H411" s="8"/>
      <c r="I411" s="10"/>
      <c r="J411" s="10"/>
      <c r="K411" s="11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9"/>
      <c r="B412" s="8"/>
      <c r="C412" s="8"/>
      <c r="D412" s="8"/>
      <c r="E412" s="8"/>
      <c r="F412" s="8"/>
      <c r="G412" s="8"/>
      <c r="H412" s="8"/>
      <c r="I412" s="10"/>
      <c r="J412" s="10"/>
      <c r="K412" s="11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9"/>
      <c r="B413" s="8"/>
      <c r="C413" s="8"/>
      <c r="D413" s="8"/>
      <c r="E413" s="8"/>
      <c r="F413" s="8"/>
      <c r="G413" s="8"/>
      <c r="H413" s="8"/>
      <c r="I413" s="10"/>
      <c r="J413" s="10"/>
      <c r="K413" s="11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9"/>
      <c r="B414" s="8"/>
      <c r="C414" s="8"/>
      <c r="D414" s="8"/>
      <c r="E414" s="8"/>
      <c r="F414" s="8"/>
      <c r="G414" s="8"/>
      <c r="H414" s="8"/>
      <c r="I414" s="10"/>
      <c r="J414" s="10"/>
      <c r="K414" s="11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9"/>
      <c r="B415" s="8"/>
      <c r="C415" s="8"/>
      <c r="D415" s="8"/>
      <c r="E415" s="8"/>
      <c r="F415" s="8"/>
      <c r="G415" s="8"/>
      <c r="H415" s="8"/>
      <c r="I415" s="10"/>
      <c r="J415" s="10"/>
      <c r="K415" s="11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9"/>
      <c r="B416" s="8"/>
      <c r="C416" s="8"/>
      <c r="D416" s="8"/>
      <c r="E416" s="8"/>
      <c r="F416" s="8"/>
      <c r="G416" s="8"/>
      <c r="H416" s="8"/>
      <c r="I416" s="10"/>
      <c r="J416" s="10"/>
      <c r="K416" s="11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9"/>
      <c r="B417" s="8"/>
      <c r="C417" s="8"/>
      <c r="D417" s="8"/>
      <c r="E417" s="8"/>
      <c r="F417" s="8"/>
      <c r="G417" s="8"/>
      <c r="H417" s="8"/>
      <c r="I417" s="10"/>
      <c r="J417" s="10"/>
      <c r="K417" s="11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9"/>
      <c r="B418" s="8"/>
      <c r="C418" s="8"/>
      <c r="D418" s="8"/>
      <c r="E418" s="8"/>
      <c r="F418" s="8"/>
      <c r="G418" s="8"/>
      <c r="H418" s="8"/>
      <c r="I418" s="10"/>
      <c r="J418" s="10"/>
      <c r="K418" s="11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9"/>
      <c r="B419" s="8"/>
      <c r="C419" s="8"/>
      <c r="D419" s="8"/>
      <c r="E419" s="8"/>
      <c r="F419" s="8"/>
      <c r="G419" s="8"/>
      <c r="H419" s="8"/>
      <c r="I419" s="10"/>
      <c r="J419" s="10"/>
      <c r="K419" s="11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9"/>
      <c r="B420" s="8"/>
      <c r="C420" s="8"/>
      <c r="D420" s="8"/>
      <c r="E420" s="8"/>
      <c r="F420" s="8"/>
      <c r="G420" s="8"/>
      <c r="H420" s="8"/>
      <c r="I420" s="10"/>
      <c r="J420" s="10"/>
      <c r="K420" s="11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9"/>
      <c r="B421" s="8"/>
      <c r="C421" s="8"/>
      <c r="D421" s="8"/>
      <c r="E421" s="8"/>
      <c r="F421" s="8"/>
      <c r="G421" s="8"/>
      <c r="H421" s="8"/>
      <c r="I421" s="10"/>
      <c r="J421" s="10"/>
      <c r="K421" s="11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9"/>
      <c r="B422" s="8"/>
      <c r="C422" s="8"/>
      <c r="D422" s="8"/>
      <c r="E422" s="8"/>
      <c r="F422" s="8"/>
      <c r="G422" s="8"/>
      <c r="H422" s="8"/>
      <c r="I422" s="10"/>
      <c r="J422" s="10"/>
      <c r="K422" s="11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9"/>
      <c r="B423" s="8"/>
      <c r="C423" s="8"/>
      <c r="D423" s="8"/>
      <c r="E423" s="8"/>
      <c r="F423" s="8"/>
      <c r="G423" s="8"/>
      <c r="H423" s="8"/>
      <c r="I423" s="10"/>
      <c r="J423" s="10"/>
      <c r="K423" s="11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9"/>
      <c r="B424" s="8"/>
      <c r="C424" s="8"/>
      <c r="D424" s="8"/>
      <c r="E424" s="8"/>
      <c r="F424" s="8"/>
      <c r="G424" s="8"/>
      <c r="H424" s="8"/>
      <c r="I424" s="10"/>
      <c r="J424" s="10"/>
      <c r="K424" s="11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9"/>
      <c r="B425" s="8"/>
      <c r="C425" s="8"/>
      <c r="D425" s="8"/>
      <c r="E425" s="8"/>
      <c r="F425" s="8"/>
      <c r="G425" s="8"/>
      <c r="H425" s="8"/>
      <c r="I425" s="10"/>
      <c r="J425" s="10"/>
      <c r="K425" s="11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9"/>
      <c r="B426" s="8"/>
      <c r="C426" s="8"/>
      <c r="D426" s="8"/>
      <c r="E426" s="8"/>
      <c r="F426" s="8"/>
      <c r="G426" s="8"/>
      <c r="H426" s="8"/>
      <c r="I426" s="10"/>
      <c r="J426" s="10"/>
      <c r="K426" s="11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9"/>
      <c r="B427" s="8"/>
      <c r="C427" s="8"/>
      <c r="D427" s="8"/>
      <c r="E427" s="8"/>
      <c r="F427" s="8"/>
      <c r="G427" s="8"/>
      <c r="H427" s="8"/>
      <c r="I427" s="10"/>
      <c r="J427" s="10"/>
      <c r="K427" s="11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9"/>
      <c r="B428" s="8"/>
      <c r="C428" s="8"/>
      <c r="D428" s="8"/>
      <c r="E428" s="8"/>
      <c r="F428" s="8"/>
      <c r="G428" s="8"/>
      <c r="H428" s="8"/>
      <c r="I428" s="10"/>
      <c r="J428" s="10"/>
      <c r="K428" s="11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9"/>
      <c r="B429" s="8"/>
      <c r="C429" s="8"/>
      <c r="D429" s="8"/>
      <c r="E429" s="8"/>
      <c r="F429" s="8"/>
      <c r="G429" s="8"/>
      <c r="H429" s="8"/>
      <c r="I429" s="10"/>
      <c r="J429" s="10"/>
      <c r="K429" s="11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9"/>
      <c r="B430" s="8"/>
      <c r="C430" s="8"/>
      <c r="D430" s="8"/>
      <c r="E430" s="8"/>
      <c r="F430" s="8"/>
      <c r="G430" s="8"/>
      <c r="H430" s="8"/>
      <c r="I430" s="10"/>
      <c r="J430" s="10"/>
      <c r="K430" s="11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9"/>
      <c r="B431" s="8"/>
      <c r="C431" s="8"/>
      <c r="D431" s="8"/>
      <c r="E431" s="8"/>
      <c r="F431" s="8"/>
      <c r="G431" s="8"/>
      <c r="H431" s="8"/>
      <c r="I431" s="10"/>
      <c r="J431" s="10"/>
      <c r="K431" s="11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9"/>
      <c r="B432" s="8"/>
      <c r="C432" s="8"/>
      <c r="D432" s="8"/>
      <c r="E432" s="8"/>
      <c r="F432" s="8"/>
      <c r="G432" s="8"/>
      <c r="H432" s="8"/>
      <c r="I432" s="10"/>
      <c r="J432" s="10"/>
      <c r="K432" s="11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9"/>
      <c r="B433" s="8"/>
      <c r="C433" s="8"/>
      <c r="D433" s="8"/>
      <c r="E433" s="8"/>
      <c r="F433" s="8"/>
      <c r="G433" s="8"/>
      <c r="H433" s="8"/>
      <c r="I433" s="10"/>
      <c r="J433" s="10"/>
      <c r="K433" s="11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9"/>
      <c r="B434" s="8"/>
      <c r="C434" s="8"/>
      <c r="D434" s="8"/>
      <c r="E434" s="8"/>
      <c r="F434" s="8"/>
      <c r="G434" s="8"/>
      <c r="H434" s="8"/>
      <c r="I434" s="10"/>
      <c r="J434" s="10"/>
      <c r="K434" s="11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9"/>
      <c r="B435" s="8"/>
      <c r="C435" s="8"/>
      <c r="D435" s="8"/>
      <c r="E435" s="8"/>
      <c r="F435" s="8"/>
      <c r="G435" s="8"/>
      <c r="H435" s="8"/>
      <c r="I435" s="10"/>
      <c r="J435" s="10"/>
      <c r="K435" s="11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9"/>
      <c r="B436" s="8"/>
      <c r="C436" s="8"/>
      <c r="D436" s="8"/>
      <c r="E436" s="8"/>
      <c r="F436" s="8"/>
      <c r="G436" s="8"/>
      <c r="H436" s="8"/>
      <c r="I436" s="10"/>
      <c r="J436" s="10"/>
      <c r="K436" s="11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9"/>
      <c r="B437" s="8"/>
      <c r="C437" s="8"/>
      <c r="D437" s="8"/>
      <c r="E437" s="8"/>
      <c r="F437" s="8"/>
      <c r="G437" s="8"/>
      <c r="H437" s="8"/>
      <c r="I437" s="10"/>
      <c r="J437" s="10"/>
      <c r="K437" s="11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9"/>
      <c r="B438" s="8"/>
      <c r="C438" s="8"/>
      <c r="D438" s="8"/>
      <c r="E438" s="8"/>
      <c r="F438" s="8"/>
      <c r="G438" s="8"/>
      <c r="H438" s="8"/>
      <c r="I438" s="10"/>
      <c r="J438" s="10"/>
      <c r="K438" s="11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9"/>
      <c r="B439" s="8"/>
      <c r="C439" s="8"/>
      <c r="D439" s="8"/>
      <c r="E439" s="8"/>
      <c r="F439" s="8"/>
      <c r="G439" s="8"/>
      <c r="H439" s="8"/>
      <c r="I439" s="10"/>
      <c r="J439" s="10"/>
      <c r="K439" s="11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9"/>
      <c r="B440" s="8"/>
      <c r="C440" s="8"/>
      <c r="D440" s="8"/>
      <c r="E440" s="8"/>
      <c r="F440" s="8"/>
      <c r="G440" s="8"/>
      <c r="H440" s="8"/>
      <c r="I440" s="10"/>
      <c r="J440" s="10"/>
      <c r="K440" s="11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9"/>
      <c r="B441" s="8"/>
      <c r="C441" s="8"/>
      <c r="D441" s="8"/>
      <c r="E441" s="8"/>
      <c r="F441" s="8"/>
      <c r="G441" s="8"/>
      <c r="H441" s="8"/>
      <c r="I441" s="10"/>
      <c r="J441" s="10"/>
      <c r="K441" s="11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9"/>
      <c r="B442" s="8"/>
      <c r="C442" s="8"/>
      <c r="D442" s="8"/>
      <c r="E442" s="8"/>
      <c r="F442" s="8"/>
      <c r="G442" s="8"/>
      <c r="H442" s="8"/>
      <c r="I442" s="10"/>
      <c r="J442" s="10"/>
      <c r="K442" s="11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9"/>
      <c r="B443" s="8"/>
      <c r="C443" s="8"/>
      <c r="D443" s="8"/>
      <c r="E443" s="8"/>
      <c r="F443" s="8"/>
      <c r="G443" s="8"/>
      <c r="H443" s="8"/>
      <c r="I443" s="10"/>
      <c r="J443" s="10"/>
      <c r="K443" s="11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9"/>
      <c r="B444" s="8"/>
      <c r="C444" s="8"/>
      <c r="D444" s="8"/>
      <c r="E444" s="8"/>
      <c r="F444" s="8"/>
      <c r="G444" s="8"/>
      <c r="H444" s="8"/>
      <c r="I444" s="10"/>
      <c r="J444" s="10"/>
      <c r="K444" s="11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9"/>
      <c r="B445" s="8"/>
      <c r="C445" s="8"/>
      <c r="D445" s="8"/>
      <c r="E445" s="8"/>
      <c r="F445" s="8"/>
      <c r="G445" s="8"/>
      <c r="H445" s="8"/>
      <c r="I445" s="10"/>
      <c r="J445" s="10"/>
      <c r="K445" s="11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9"/>
      <c r="B446" s="8"/>
      <c r="C446" s="8"/>
      <c r="D446" s="8"/>
      <c r="E446" s="8"/>
      <c r="F446" s="8"/>
      <c r="G446" s="8"/>
      <c r="H446" s="8"/>
      <c r="I446" s="10"/>
      <c r="J446" s="10"/>
      <c r="K446" s="11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9"/>
      <c r="B447" s="8"/>
      <c r="C447" s="8"/>
      <c r="D447" s="8"/>
      <c r="E447" s="8"/>
      <c r="F447" s="8"/>
      <c r="G447" s="8"/>
      <c r="H447" s="8"/>
      <c r="I447" s="10"/>
      <c r="J447" s="10"/>
      <c r="K447" s="11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9"/>
      <c r="B448" s="8"/>
      <c r="C448" s="8"/>
      <c r="D448" s="8"/>
      <c r="E448" s="8"/>
      <c r="F448" s="8"/>
      <c r="G448" s="8"/>
      <c r="H448" s="8"/>
      <c r="I448" s="10"/>
      <c r="J448" s="10"/>
      <c r="K448" s="11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9"/>
      <c r="B449" s="8"/>
      <c r="C449" s="8"/>
      <c r="D449" s="8"/>
      <c r="E449" s="8"/>
      <c r="F449" s="8"/>
      <c r="G449" s="8"/>
      <c r="H449" s="8"/>
      <c r="I449" s="10"/>
      <c r="J449" s="10"/>
      <c r="K449" s="11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9"/>
      <c r="B450" s="8"/>
      <c r="C450" s="8"/>
      <c r="D450" s="8"/>
      <c r="E450" s="8"/>
      <c r="F450" s="8"/>
      <c r="G450" s="8"/>
      <c r="H450" s="8"/>
      <c r="I450" s="10"/>
      <c r="J450" s="10"/>
      <c r="K450" s="11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9"/>
      <c r="B451" s="8"/>
      <c r="C451" s="8"/>
      <c r="D451" s="8"/>
      <c r="E451" s="8"/>
      <c r="F451" s="8"/>
      <c r="G451" s="8"/>
      <c r="H451" s="8"/>
      <c r="I451" s="10"/>
      <c r="J451" s="10"/>
      <c r="K451" s="11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9"/>
      <c r="B452" s="8"/>
      <c r="C452" s="8"/>
      <c r="D452" s="8"/>
      <c r="E452" s="8"/>
      <c r="F452" s="8"/>
      <c r="G452" s="8"/>
      <c r="H452" s="8"/>
      <c r="I452" s="10"/>
      <c r="J452" s="10"/>
      <c r="K452" s="11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9"/>
      <c r="B453" s="8"/>
      <c r="C453" s="8"/>
      <c r="D453" s="8"/>
      <c r="E453" s="8"/>
      <c r="F453" s="8"/>
      <c r="G453" s="8"/>
      <c r="H453" s="8"/>
      <c r="I453" s="10"/>
      <c r="J453" s="10"/>
      <c r="K453" s="11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9"/>
      <c r="B454" s="8"/>
      <c r="C454" s="8"/>
      <c r="D454" s="8"/>
      <c r="E454" s="8"/>
      <c r="F454" s="8"/>
      <c r="G454" s="8"/>
      <c r="H454" s="8"/>
      <c r="I454" s="10"/>
      <c r="J454" s="10"/>
      <c r="K454" s="11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9"/>
      <c r="B455" s="8"/>
      <c r="C455" s="8"/>
      <c r="D455" s="8"/>
      <c r="E455" s="8"/>
      <c r="F455" s="8"/>
      <c r="G455" s="8"/>
      <c r="H455" s="8"/>
      <c r="I455" s="10"/>
      <c r="J455" s="10"/>
      <c r="K455" s="11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9"/>
      <c r="B456" s="8"/>
      <c r="C456" s="8"/>
      <c r="D456" s="8"/>
      <c r="E456" s="8"/>
      <c r="F456" s="8"/>
      <c r="G456" s="8"/>
      <c r="H456" s="8"/>
      <c r="I456" s="10"/>
      <c r="J456" s="10"/>
      <c r="K456" s="11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9"/>
      <c r="B457" s="8"/>
      <c r="C457" s="8"/>
      <c r="D457" s="8"/>
      <c r="E457" s="8"/>
      <c r="F457" s="8"/>
      <c r="G457" s="8"/>
      <c r="H457" s="8"/>
      <c r="I457" s="10"/>
      <c r="J457" s="10"/>
      <c r="K457" s="11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9"/>
      <c r="B458" s="8"/>
      <c r="C458" s="8"/>
      <c r="D458" s="8"/>
      <c r="E458" s="8"/>
      <c r="F458" s="8"/>
      <c r="G458" s="8"/>
      <c r="H458" s="8"/>
      <c r="I458" s="10"/>
      <c r="J458" s="10"/>
      <c r="K458" s="11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9"/>
      <c r="B459" s="8"/>
      <c r="C459" s="8"/>
      <c r="D459" s="8"/>
      <c r="E459" s="8"/>
      <c r="F459" s="8"/>
      <c r="G459" s="8"/>
      <c r="H459" s="8"/>
      <c r="I459" s="10"/>
      <c r="J459" s="10"/>
      <c r="K459" s="11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9"/>
      <c r="B460" s="8"/>
      <c r="C460" s="8"/>
      <c r="D460" s="8"/>
      <c r="E460" s="8"/>
      <c r="F460" s="8"/>
      <c r="G460" s="8"/>
      <c r="H460" s="8"/>
      <c r="I460" s="10"/>
      <c r="J460" s="10"/>
      <c r="K460" s="11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9"/>
      <c r="B461" s="8"/>
      <c r="C461" s="8"/>
      <c r="D461" s="8"/>
      <c r="E461" s="8"/>
      <c r="F461" s="8"/>
      <c r="G461" s="8"/>
      <c r="H461" s="8"/>
      <c r="I461" s="10"/>
      <c r="J461" s="10"/>
      <c r="K461" s="11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9"/>
      <c r="B462" s="8"/>
      <c r="C462" s="8"/>
      <c r="D462" s="8"/>
      <c r="E462" s="8"/>
      <c r="F462" s="8"/>
      <c r="G462" s="8"/>
      <c r="H462" s="8"/>
      <c r="I462" s="10"/>
      <c r="J462" s="10"/>
      <c r="K462" s="11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9"/>
      <c r="B463" s="8"/>
      <c r="C463" s="8"/>
      <c r="D463" s="8"/>
      <c r="E463" s="8"/>
      <c r="F463" s="8"/>
      <c r="G463" s="8"/>
      <c r="H463" s="8"/>
      <c r="I463" s="10"/>
      <c r="J463" s="10"/>
      <c r="K463" s="11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9"/>
      <c r="B464" s="8"/>
      <c r="C464" s="8"/>
      <c r="D464" s="8"/>
      <c r="E464" s="8"/>
      <c r="F464" s="8"/>
      <c r="G464" s="8"/>
      <c r="H464" s="8"/>
      <c r="I464" s="10"/>
      <c r="J464" s="10"/>
      <c r="K464" s="11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9"/>
      <c r="B465" s="8"/>
      <c r="C465" s="8"/>
      <c r="D465" s="8"/>
      <c r="E465" s="8"/>
      <c r="F465" s="8"/>
      <c r="G465" s="8"/>
      <c r="H465" s="8"/>
      <c r="I465" s="10"/>
      <c r="J465" s="10"/>
      <c r="K465" s="11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9"/>
      <c r="B466" s="8"/>
      <c r="C466" s="8"/>
      <c r="D466" s="8"/>
      <c r="E466" s="8"/>
      <c r="F466" s="8"/>
      <c r="G466" s="8"/>
      <c r="H466" s="8"/>
      <c r="I466" s="10"/>
      <c r="J466" s="10"/>
      <c r="K466" s="11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9"/>
      <c r="B467" s="8"/>
      <c r="C467" s="8"/>
      <c r="D467" s="8"/>
      <c r="E467" s="8"/>
      <c r="F467" s="8"/>
      <c r="G467" s="8"/>
      <c r="H467" s="8"/>
      <c r="I467" s="10"/>
      <c r="J467" s="10"/>
      <c r="K467" s="11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9"/>
      <c r="B468" s="8"/>
      <c r="C468" s="8"/>
      <c r="D468" s="8"/>
      <c r="E468" s="8"/>
      <c r="F468" s="8"/>
      <c r="G468" s="8"/>
      <c r="H468" s="8"/>
      <c r="I468" s="10"/>
      <c r="J468" s="10"/>
      <c r="K468" s="11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9"/>
      <c r="B469" s="8"/>
      <c r="C469" s="8"/>
      <c r="D469" s="8"/>
      <c r="E469" s="8"/>
      <c r="F469" s="8"/>
      <c r="G469" s="8"/>
      <c r="H469" s="8"/>
      <c r="I469" s="10"/>
      <c r="J469" s="10"/>
      <c r="K469" s="11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9"/>
      <c r="B470" s="8"/>
      <c r="C470" s="8"/>
      <c r="D470" s="8"/>
      <c r="E470" s="8"/>
      <c r="F470" s="8"/>
      <c r="G470" s="8"/>
      <c r="H470" s="8"/>
      <c r="I470" s="10"/>
      <c r="J470" s="10"/>
      <c r="K470" s="11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9"/>
      <c r="B471" s="8"/>
      <c r="C471" s="8"/>
      <c r="D471" s="8"/>
      <c r="E471" s="8"/>
      <c r="F471" s="8"/>
      <c r="G471" s="8"/>
      <c r="H471" s="8"/>
      <c r="I471" s="10"/>
      <c r="J471" s="10"/>
      <c r="K471" s="11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9"/>
      <c r="B472" s="8"/>
      <c r="C472" s="8"/>
      <c r="D472" s="8"/>
      <c r="E472" s="8"/>
      <c r="F472" s="8"/>
      <c r="G472" s="8"/>
      <c r="H472" s="8"/>
      <c r="I472" s="10"/>
      <c r="J472" s="10"/>
      <c r="K472" s="11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9"/>
      <c r="B473" s="8"/>
      <c r="C473" s="8"/>
      <c r="D473" s="8"/>
      <c r="E473" s="8"/>
      <c r="F473" s="8"/>
      <c r="G473" s="8"/>
      <c r="H473" s="8"/>
      <c r="I473" s="10"/>
      <c r="J473" s="10"/>
      <c r="K473" s="11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9"/>
      <c r="B474" s="8"/>
      <c r="C474" s="8"/>
      <c r="D474" s="8"/>
      <c r="E474" s="8"/>
      <c r="F474" s="8"/>
      <c r="G474" s="8"/>
      <c r="H474" s="8"/>
      <c r="I474" s="10"/>
      <c r="J474" s="10"/>
      <c r="K474" s="11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9"/>
      <c r="B475" s="8"/>
      <c r="C475" s="8"/>
      <c r="D475" s="8"/>
      <c r="E475" s="8"/>
      <c r="F475" s="8"/>
      <c r="G475" s="8"/>
      <c r="H475" s="8"/>
      <c r="I475" s="10"/>
      <c r="J475" s="10"/>
      <c r="K475" s="11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9"/>
      <c r="B476" s="8"/>
      <c r="C476" s="8"/>
      <c r="D476" s="8"/>
      <c r="E476" s="8"/>
      <c r="F476" s="8"/>
      <c r="G476" s="8"/>
      <c r="H476" s="8"/>
      <c r="I476" s="10"/>
      <c r="J476" s="10"/>
      <c r="K476" s="11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9"/>
      <c r="B477" s="8"/>
      <c r="C477" s="8"/>
      <c r="D477" s="8"/>
      <c r="E477" s="8"/>
      <c r="F477" s="8"/>
      <c r="G477" s="8"/>
      <c r="H477" s="8"/>
      <c r="I477" s="10"/>
      <c r="J477" s="10"/>
      <c r="K477" s="11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9"/>
      <c r="B478" s="8"/>
      <c r="C478" s="8"/>
      <c r="D478" s="8"/>
      <c r="E478" s="8"/>
      <c r="F478" s="8"/>
      <c r="G478" s="8"/>
      <c r="H478" s="8"/>
      <c r="I478" s="10"/>
      <c r="J478" s="10"/>
      <c r="K478" s="11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9"/>
      <c r="B479" s="8"/>
      <c r="C479" s="8"/>
      <c r="D479" s="8"/>
      <c r="E479" s="8"/>
      <c r="F479" s="8"/>
      <c r="G479" s="8"/>
      <c r="H479" s="8"/>
      <c r="I479" s="10"/>
      <c r="J479" s="10"/>
      <c r="K479" s="11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9"/>
      <c r="B480" s="8"/>
      <c r="C480" s="8"/>
      <c r="D480" s="8"/>
      <c r="E480" s="8"/>
      <c r="F480" s="8"/>
      <c r="G480" s="8"/>
      <c r="H480" s="8"/>
      <c r="I480" s="10"/>
      <c r="J480" s="10"/>
      <c r="K480" s="11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9"/>
      <c r="B481" s="8"/>
      <c r="C481" s="8"/>
      <c r="D481" s="8"/>
      <c r="E481" s="8"/>
      <c r="F481" s="8"/>
      <c r="G481" s="8"/>
      <c r="H481" s="8"/>
      <c r="I481" s="10"/>
      <c r="J481" s="10"/>
      <c r="K481" s="11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9"/>
      <c r="B482" s="8"/>
      <c r="C482" s="8"/>
      <c r="D482" s="8"/>
      <c r="E482" s="8"/>
      <c r="F482" s="8"/>
      <c r="G482" s="8"/>
      <c r="H482" s="8"/>
      <c r="I482" s="10"/>
      <c r="J482" s="10"/>
      <c r="K482" s="11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9"/>
      <c r="B483" s="8"/>
      <c r="C483" s="8"/>
      <c r="D483" s="8"/>
      <c r="E483" s="8"/>
      <c r="F483" s="8"/>
      <c r="G483" s="8"/>
      <c r="H483" s="8"/>
      <c r="I483" s="10"/>
      <c r="J483" s="10"/>
      <c r="K483" s="11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9"/>
      <c r="B484" s="8"/>
      <c r="C484" s="8"/>
      <c r="D484" s="8"/>
      <c r="E484" s="8"/>
      <c r="F484" s="8"/>
      <c r="G484" s="8"/>
      <c r="H484" s="8"/>
      <c r="I484" s="10"/>
      <c r="J484" s="10"/>
      <c r="K484" s="11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9"/>
      <c r="B485" s="8"/>
      <c r="C485" s="8"/>
      <c r="D485" s="8"/>
      <c r="E485" s="8"/>
      <c r="F485" s="8"/>
      <c r="G485" s="8"/>
      <c r="H485" s="8"/>
      <c r="I485" s="10"/>
      <c r="J485" s="10"/>
      <c r="K485" s="11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9"/>
      <c r="B486" s="8"/>
      <c r="C486" s="8"/>
      <c r="D486" s="8"/>
      <c r="E486" s="8"/>
      <c r="F486" s="8"/>
      <c r="G486" s="8"/>
      <c r="H486" s="8"/>
      <c r="I486" s="10"/>
      <c r="J486" s="10"/>
      <c r="K486" s="11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9"/>
      <c r="B487" s="8"/>
      <c r="C487" s="8"/>
      <c r="D487" s="8"/>
      <c r="E487" s="8"/>
      <c r="F487" s="8"/>
      <c r="G487" s="8"/>
      <c r="H487" s="8"/>
      <c r="I487" s="10"/>
      <c r="J487" s="10"/>
      <c r="K487" s="11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9"/>
      <c r="B488" s="8"/>
      <c r="C488" s="8"/>
      <c r="D488" s="8"/>
      <c r="E488" s="8"/>
      <c r="F488" s="8"/>
      <c r="G488" s="8"/>
      <c r="H488" s="8"/>
      <c r="I488" s="10"/>
      <c r="J488" s="10"/>
      <c r="K488" s="11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9"/>
      <c r="B489" s="8"/>
      <c r="C489" s="8"/>
      <c r="D489" s="8"/>
      <c r="E489" s="8"/>
      <c r="F489" s="8"/>
      <c r="G489" s="8"/>
      <c r="H489" s="8"/>
      <c r="I489" s="10"/>
      <c r="J489" s="10"/>
      <c r="K489" s="11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9"/>
      <c r="B490" s="8"/>
      <c r="C490" s="8"/>
      <c r="D490" s="8"/>
      <c r="E490" s="8"/>
      <c r="F490" s="8"/>
      <c r="G490" s="8"/>
      <c r="H490" s="8"/>
      <c r="I490" s="10"/>
      <c r="J490" s="10"/>
      <c r="K490" s="11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9"/>
      <c r="B491" s="8"/>
      <c r="C491" s="8"/>
      <c r="D491" s="8"/>
      <c r="E491" s="8"/>
      <c r="F491" s="8"/>
      <c r="G491" s="8"/>
      <c r="H491" s="8"/>
      <c r="I491" s="10"/>
      <c r="J491" s="10"/>
      <c r="K491" s="11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9"/>
      <c r="B492" s="8"/>
      <c r="C492" s="8"/>
      <c r="D492" s="8"/>
      <c r="E492" s="8"/>
      <c r="F492" s="8"/>
      <c r="G492" s="8"/>
      <c r="H492" s="8"/>
      <c r="I492" s="10"/>
      <c r="J492" s="10"/>
      <c r="K492" s="11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9"/>
      <c r="B493" s="8"/>
      <c r="C493" s="8"/>
      <c r="D493" s="8"/>
      <c r="E493" s="8"/>
      <c r="F493" s="8"/>
      <c r="G493" s="8"/>
      <c r="H493" s="8"/>
      <c r="I493" s="10"/>
      <c r="J493" s="10"/>
      <c r="K493" s="11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9"/>
      <c r="B494" s="8"/>
      <c r="C494" s="8"/>
      <c r="D494" s="8"/>
      <c r="E494" s="8"/>
      <c r="F494" s="8"/>
      <c r="G494" s="8"/>
      <c r="H494" s="8"/>
      <c r="I494" s="10"/>
      <c r="J494" s="10"/>
      <c r="K494" s="11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9"/>
      <c r="B495" s="8"/>
      <c r="C495" s="8"/>
      <c r="D495" s="8"/>
      <c r="E495" s="8"/>
      <c r="F495" s="8"/>
      <c r="G495" s="8"/>
      <c r="H495" s="8"/>
      <c r="I495" s="10"/>
      <c r="J495" s="10"/>
      <c r="K495" s="11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9"/>
      <c r="B496" s="8"/>
      <c r="C496" s="8"/>
      <c r="D496" s="8"/>
      <c r="E496" s="8"/>
      <c r="F496" s="8"/>
      <c r="G496" s="8"/>
      <c r="H496" s="8"/>
      <c r="I496" s="10"/>
      <c r="J496" s="10"/>
      <c r="K496" s="11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9"/>
      <c r="B497" s="8"/>
      <c r="C497" s="8"/>
      <c r="D497" s="8"/>
      <c r="E497" s="8"/>
      <c r="F497" s="8"/>
      <c r="G497" s="8"/>
      <c r="H497" s="8"/>
      <c r="I497" s="10"/>
      <c r="J497" s="10"/>
      <c r="K497" s="11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9"/>
      <c r="B498" s="8"/>
      <c r="C498" s="8"/>
      <c r="D498" s="8"/>
      <c r="E498" s="8"/>
      <c r="F498" s="8"/>
      <c r="G498" s="8"/>
      <c r="H498" s="8"/>
      <c r="I498" s="10"/>
      <c r="J498" s="10"/>
      <c r="K498" s="11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9"/>
      <c r="B499" s="8"/>
      <c r="C499" s="8"/>
      <c r="D499" s="8"/>
      <c r="E499" s="8"/>
      <c r="F499" s="8"/>
      <c r="G499" s="8"/>
      <c r="H499" s="8"/>
      <c r="I499" s="10"/>
      <c r="J499" s="10"/>
      <c r="K499" s="11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9"/>
      <c r="B500" s="8"/>
      <c r="C500" s="8"/>
      <c r="D500" s="8"/>
      <c r="E500" s="8"/>
      <c r="F500" s="8"/>
      <c r="G500" s="8"/>
      <c r="H500" s="8"/>
      <c r="I500" s="10"/>
      <c r="J500" s="10"/>
      <c r="K500" s="11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9"/>
      <c r="B501" s="8"/>
      <c r="C501" s="8"/>
      <c r="D501" s="8"/>
      <c r="E501" s="8"/>
      <c r="F501" s="8"/>
      <c r="G501" s="8"/>
      <c r="H501" s="8"/>
      <c r="I501" s="10"/>
      <c r="J501" s="10"/>
      <c r="K501" s="11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9"/>
      <c r="B502" s="8"/>
      <c r="C502" s="8"/>
      <c r="D502" s="8"/>
      <c r="E502" s="8"/>
      <c r="F502" s="8"/>
      <c r="G502" s="8"/>
      <c r="H502" s="8"/>
      <c r="I502" s="10"/>
      <c r="J502" s="10"/>
      <c r="K502" s="11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9"/>
      <c r="B503" s="8"/>
      <c r="C503" s="8"/>
      <c r="D503" s="8"/>
      <c r="E503" s="8"/>
      <c r="F503" s="8"/>
      <c r="G503" s="8"/>
      <c r="H503" s="8"/>
      <c r="I503" s="10"/>
      <c r="J503" s="10"/>
      <c r="K503" s="11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9"/>
      <c r="B504" s="8"/>
      <c r="C504" s="8"/>
      <c r="D504" s="8"/>
      <c r="E504" s="8"/>
      <c r="F504" s="8"/>
      <c r="G504" s="8"/>
      <c r="H504" s="8"/>
      <c r="I504" s="10"/>
      <c r="J504" s="10"/>
      <c r="K504" s="11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9"/>
      <c r="B505" s="8"/>
      <c r="C505" s="8"/>
      <c r="D505" s="8"/>
      <c r="E505" s="8"/>
      <c r="F505" s="8"/>
      <c r="G505" s="8"/>
      <c r="H505" s="8"/>
      <c r="I505" s="10"/>
      <c r="J505" s="10"/>
      <c r="K505" s="11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9"/>
      <c r="B506" s="8"/>
      <c r="C506" s="8"/>
      <c r="D506" s="8"/>
      <c r="E506" s="8"/>
      <c r="F506" s="8"/>
      <c r="G506" s="8"/>
      <c r="H506" s="8"/>
      <c r="I506" s="10"/>
      <c r="J506" s="10"/>
      <c r="K506" s="11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9"/>
      <c r="B507" s="8"/>
      <c r="C507" s="8"/>
      <c r="D507" s="8"/>
      <c r="E507" s="8"/>
      <c r="F507" s="8"/>
      <c r="G507" s="8"/>
      <c r="H507" s="8"/>
      <c r="I507" s="10"/>
      <c r="J507" s="10"/>
      <c r="K507" s="11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9"/>
      <c r="B508" s="8"/>
      <c r="C508" s="8"/>
      <c r="D508" s="8"/>
      <c r="E508" s="8"/>
      <c r="F508" s="8"/>
      <c r="G508" s="8"/>
      <c r="H508" s="8"/>
      <c r="I508" s="10"/>
      <c r="J508" s="10"/>
      <c r="K508" s="11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9"/>
      <c r="B509" s="8"/>
      <c r="C509" s="8"/>
      <c r="D509" s="8"/>
      <c r="E509" s="8"/>
      <c r="F509" s="8"/>
      <c r="G509" s="8"/>
      <c r="H509" s="8"/>
      <c r="I509" s="10"/>
      <c r="J509" s="10"/>
      <c r="K509" s="11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9"/>
      <c r="B510" s="8"/>
      <c r="C510" s="8"/>
      <c r="D510" s="8"/>
      <c r="E510" s="8"/>
      <c r="F510" s="8"/>
      <c r="G510" s="8"/>
      <c r="H510" s="8"/>
      <c r="I510" s="10"/>
      <c r="J510" s="10"/>
      <c r="K510" s="11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9"/>
      <c r="B511" s="8"/>
      <c r="C511" s="8"/>
      <c r="D511" s="8"/>
      <c r="E511" s="8"/>
      <c r="F511" s="8"/>
      <c r="G511" s="8"/>
      <c r="H511" s="8"/>
      <c r="I511" s="10"/>
      <c r="J511" s="10"/>
      <c r="K511" s="11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9"/>
      <c r="B512" s="8"/>
      <c r="C512" s="8"/>
      <c r="D512" s="8"/>
      <c r="E512" s="8"/>
      <c r="F512" s="8"/>
      <c r="G512" s="8"/>
      <c r="H512" s="8"/>
      <c r="I512" s="10"/>
      <c r="J512" s="10"/>
      <c r="K512" s="11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9"/>
      <c r="B513" s="8"/>
      <c r="C513" s="8"/>
      <c r="D513" s="8"/>
      <c r="E513" s="8"/>
      <c r="F513" s="8"/>
      <c r="G513" s="8"/>
      <c r="H513" s="8"/>
      <c r="I513" s="10"/>
      <c r="J513" s="10"/>
      <c r="K513" s="11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9"/>
      <c r="B514" s="8"/>
      <c r="C514" s="8"/>
      <c r="D514" s="8"/>
      <c r="E514" s="8"/>
      <c r="F514" s="8"/>
      <c r="G514" s="8"/>
      <c r="H514" s="8"/>
      <c r="I514" s="10"/>
      <c r="J514" s="10"/>
      <c r="K514" s="11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9"/>
      <c r="B515" s="8"/>
      <c r="C515" s="8"/>
      <c r="D515" s="8"/>
      <c r="E515" s="8"/>
      <c r="F515" s="8"/>
      <c r="G515" s="8"/>
      <c r="H515" s="8"/>
      <c r="I515" s="10"/>
      <c r="J515" s="10"/>
      <c r="K515" s="11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9"/>
      <c r="B516" s="8"/>
      <c r="C516" s="8"/>
      <c r="D516" s="8"/>
      <c r="E516" s="8"/>
      <c r="F516" s="8"/>
      <c r="G516" s="8"/>
      <c r="H516" s="8"/>
      <c r="I516" s="10"/>
      <c r="J516" s="10"/>
      <c r="K516" s="11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9"/>
      <c r="B517" s="8"/>
      <c r="C517" s="8"/>
      <c r="D517" s="8"/>
      <c r="E517" s="8"/>
      <c r="F517" s="8"/>
      <c r="G517" s="8"/>
      <c r="H517" s="8"/>
      <c r="I517" s="10"/>
      <c r="J517" s="10"/>
      <c r="K517" s="11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9"/>
      <c r="B518" s="8"/>
      <c r="C518" s="8"/>
      <c r="D518" s="8"/>
      <c r="E518" s="8"/>
      <c r="F518" s="8"/>
      <c r="G518" s="8"/>
      <c r="H518" s="8"/>
      <c r="I518" s="10"/>
      <c r="J518" s="10"/>
      <c r="K518" s="11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9"/>
      <c r="B519" s="8"/>
      <c r="C519" s="8"/>
      <c r="D519" s="8"/>
      <c r="E519" s="8"/>
      <c r="F519" s="8"/>
      <c r="G519" s="8"/>
      <c r="H519" s="8"/>
      <c r="I519" s="10"/>
      <c r="J519" s="10"/>
      <c r="K519" s="11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9"/>
      <c r="B520" s="8"/>
      <c r="C520" s="8"/>
      <c r="D520" s="8"/>
      <c r="E520" s="8"/>
      <c r="F520" s="8"/>
      <c r="G520" s="8"/>
      <c r="H520" s="8"/>
      <c r="I520" s="10"/>
      <c r="J520" s="10"/>
      <c r="K520" s="11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9"/>
      <c r="B521" s="8"/>
      <c r="C521" s="8"/>
      <c r="D521" s="8"/>
      <c r="E521" s="8"/>
      <c r="F521" s="8"/>
      <c r="G521" s="8"/>
      <c r="H521" s="8"/>
      <c r="I521" s="10"/>
      <c r="J521" s="10"/>
      <c r="K521" s="11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9"/>
      <c r="B522" s="8"/>
      <c r="C522" s="8"/>
      <c r="D522" s="8"/>
      <c r="E522" s="8"/>
      <c r="F522" s="8"/>
      <c r="G522" s="8"/>
      <c r="H522" s="8"/>
      <c r="I522" s="10"/>
      <c r="J522" s="10"/>
      <c r="K522" s="11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9"/>
      <c r="B523" s="8"/>
      <c r="C523" s="8"/>
      <c r="D523" s="8"/>
      <c r="E523" s="8"/>
      <c r="F523" s="8"/>
      <c r="G523" s="8"/>
      <c r="H523" s="8"/>
      <c r="I523" s="10"/>
      <c r="J523" s="10"/>
      <c r="K523" s="11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9"/>
      <c r="B524" s="8"/>
      <c r="C524" s="8"/>
      <c r="D524" s="8"/>
      <c r="E524" s="8"/>
      <c r="F524" s="8"/>
      <c r="G524" s="8"/>
      <c r="H524" s="8"/>
      <c r="I524" s="10"/>
      <c r="J524" s="10"/>
      <c r="K524" s="11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9"/>
      <c r="B525" s="8"/>
      <c r="C525" s="8"/>
      <c r="D525" s="8"/>
      <c r="E525" s="8"/>
      <c r="F525" s="8"/>
      <c r="G525" s="8"/>
      <c r="H525" s="8"/>
      <c r="I525" s="10"/>
      <c r="J525" s="10"/>
      <c r="K525" s="11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9"/>
      <c r="B526" s="8"/>
      <c r="C526" s="8"/>
      <c r="D526" s="8"/>
      <c r="E526" s="8"/>
      <c r="F526" s="8"/>
      <c r="G526" s="8"/>
      <c r="H526" s="8"/>
      <c r="I526" s="10"/>
      <c r="J526" s="10"/>
      <c r="K526" s="11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9"/>
      <c r="B527" s="8"/>
      <c r="C527" s="8"/>
      <c r="D527" s="8"/>
      <c r="E527" s="8"/>
      <c r="F527" s="8"/>
      <c r="G527" s="8"/>
      <c r="H527" s="8"/>
      <c r="I527" s="10"/>
      <c r="J527" s="10"/>
      <c r="K527" s="11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9"/>
      <c r="B528" s="8"/>
      <c r="C528" s="8"/>
      <c r="D528" s="8"/>
      <c r="E528" s="8"/>
      <c r="F528" s="8"/>
      <c r="G528" s="8"/>
      <c r="H528" s="8"/>
      <c r="I528" s="10"/>
      <c r="J528" s="10"/>
      <c r="K528" s="11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9"/>
      <c r="B529" s="8"/>
      <c r="C529" s="8"/>
      <c r="D529" s="8"/>
      <c r="E529" s="8"/>
      <c r="F529" s="8"/>
      <c r="G529" s="8"/>
      <c r="H529" s="8"/>
      <c r="I529" s="10"/>
      <c r="J529" s="10"/>
      <c r="K529" s="11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9"/>
      <c r="B530" s="8"/>
      <c r="C530" s="8"/>
      <c r="D530" s="8"/>
      <c r="E530" s="8"/>
      <c r="F530" s="8"/>
      <c r="G530" s="8"/>
      <c r="H530" s="8"/>
      <c r="I530" s="10"/>
      <c r="J530" s="10"/>
      <c r="K530" s="11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9"/>
      <c r="B531" s="8"/>
      <c r="C531" s="8"/>
      <c r="D531" s="8"/>
      <c r="E531" s="8"/>
      <c r="F531" s="8"/>
      <c r="G531" s="8"/>
      <c r="H531" s="8"/>
      <c r="I531" s="10"/>
      <c r="J531" s="10"/>
      <c r="K531" s="11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9"/>
      <c r="B532" s="8"/>
      <c r="C532" s="8"/>
      <c r="D532" s="8"/>
      <c r="E532" s="8"/>
      <c r="F532" s="8"/>
      <c r="G532" s="8"/>
      <c r="H532" s="8"/>
      <c r="I532" s="10"/>
      <c r="J532" s="10"/>
      <c r="K532" s="11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9"/>
      <c r="B533" s="8"/>
      <c r="C533" s="8"/>
      <c r="D533" s="8"/>
      <c r="E533" s="8"/>
      <c r="F533" s="8"/>
      <c r="G533" s="8"/>
      <c r="H533" s="8"/>
      <c r="I533" s="10"/>
      <c r="J533" s="10"/>
      <c r="K533" s="11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9"/>
      <c r="B534" s="8"/>
      <c r="C534" s="8"/>
      <c r="D534" s="8"/>
      <c r="E534" s="8"/>
      <c r="F534" s="8"/>
      <c r="G534" s="8"/>
      <c r="H534" s="8"/>
      <c r="I534" s="10"/>
      <c r="J534" s="10"/>
      <c r="K534" s="11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9"/>
      <c r="B535" s="8"/>
      <c r="C535" s="8"/>
      <c r="D535" s="8"/>
      <c r="E535" s="8"/>
      <c r="F535" s="8"/>
      <c r="G535" s="8"/>
      <c r="H535" s="8"/>
      <c r="I535" s="10"/>
      <c r="J535" s="10"/>
      <c r="K535" s="11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9"/>
      <c r="B536" s="8"/>
      <c r="C536" s="8"/>
      <c r="D536" s="8"/>
      <c r="E536" s="8"/>
      <c r="F536" s="8"/>
      <c r="G536" s="8"/>
      <c r="H536" s="8"/>
      <c r="I536" s="10"/>
      <c r="J536" s="10"/>
      <c r="K536" s="11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9"/>
      <c r="B537" s="8"/>
      <c r="C537" s="8"/>
      <c r="D537" s="8"/>
      <c r="E537" s="8"/>
      <c r="F537" s="8"/>
      <c r="G537" s="8"/>
      <c r="H537" s="8"/>
      <c r="I537" s="10"/>
      <c r="J537" s="10"/>
      <c r="K537" s="11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9"/>
      <c r="B538" s="8"/>
      <c r="C538" s="8"/>
      <c r="D538" s="8"/>
      <c r="E538" s="8"/>
      <c r="F538" s="8"/>
      <c r="G538" s="8"/>
      <c r="H538" s="8"/>
      <c r="I538" s="10"/>
      <c r="J538" s="10"/>
      <c r="K538" s="11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9"/>
      <c r="B539" s="8"/>
      <c r="C539" s="8"/>
      <c r="D539" s="8"/>
      <c r="E539" s="8"/>
      <c r="F539" s="8"/>
      <c r="G539" s="8"/>
      <c r="H539" s="8"/>
      <c r="I539" s="10"/>
      <c r="J539" s="10"/>
      <c r="K539" s="11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9"/>
      <c r="B540" s="8"/>
      <c r="C540" s="8"/>
      <c r="D540" s="8"/>
      <c r="E540" s="8"/>
      <c r="F540" s="8"/>
      <c r="G540" s="8"/>
      <c r="H540" s="8"/>
      <c r="I540" s="10"/>
      <c r="J540" s="10"/>
      <c r="K540" s="11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9"/>
      <c r="B541" s="8"/>
      <c r="C541" s="8"/>
      <c r="D541" s="8"/>
      <c r="E541" s="8"/>
      <c r="F541" s="8"/>
      <c r="G541" s="8"/>
      <c r="H541" s="8"/>
      <c r="I541" s="10"/>
      <c r="J541" s="10"/>
      <c r="K541" s="11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9"/>
      <c r="B542" s="8"/>
      <c r="C542" s="8"/>
      <c r="D542" s="8"/>
      <c r="E542" s="8"/>
      <c r="F542" s="8"/>
      <c r="G542" s="8"/>
      <c r="H542" s="8"/>
      <c r="I542" s="10"/>
      <c r="J542" s="10"/>
      <c r="K542" s="11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9"/>
      <c r="B543" s="8"/>
      <c r="C543" s="8"/>
      <c r="D543" s="8"/>
      <c r="E543" s="8"/>
      <c r="F543" s="8"/>
      <c r="G543" s="8"/>
      <c r="H543" s="8"/>
      <c r="I543" s="10"/>
      <c r="J543" s="10"/>
      <c r="K543" s="11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9"/>
      <c r="B544" s="8"/>
      <c r="C544" s="8"/>
      <c r="D544" s="8"/>
      <c r="E544" s="8"/>
      <c r="F544" s="8"/>
      <c r="G544" s="8"/>
      <c r="H544" s="8"/>
      <c r="I544" s="10"/>
      <c r="J544" s="10"/>
      <c r="K544" s="11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9"/>
      <c r="B545" s="8"/>
      <c r="C545" s="8"/>
      <c r="D545" s="8"/>
      <c r="E545" s="8"/>
      <c r="F545" s="8"/>
      <c r="G545" s="8"/>
      <c r="H545" s="8"/>
      <c r="I545" s="10"/>
      <c r="J545" s="10"/>
      <c r="K545" s="11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9"/>
      <c r="B546" s="8"/>
      <c r="C546" s="8"/>
      <c r="D546" s="8"/>
      <c r="E546" s="8"/>
      <c r="F546" s="8"/>
      <c r="G546" s="8"/>
      <c r="H546" s="8"/>
      <c r="I546" s="10"/>
      <c r="J546" s="10"/>
      <c r="K546" s="11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9"/>
      <c r="B547" s="8"/>
      <c r="C547" s="8"/>
      <c r="D547" s="8"/>
      <c r="E547" s="8"/>
      <c r="F547" s="8"/>
      <c r="G547" s="8"/>
      <c r="H547" s="8"/>
      <c r="I547" s="10"/>
      <c r="J547" s="10"/>
      <c r="K547" s="11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9"/>
      <c r="B548" s="8"/>
      <c r="C548" s="8"/>
      <c r="D548" s="8"/>
      <c r="E548" s="8"/>
      <c r="F548" s="8"/>
      <c r="G548" s="8"/>
      <c r="H548" s="8"/>
      <c r="I548" s="10"/>
      <c r="J548" s="10"/>
      <c r="K548" s="11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9"/>
      <c r="B549" s="8"/>
      <c r="C549" s="8"/>
      <c r="D549" s="8"/>
      <c r="E549" s="8"/>
      <c r="F549" s="8"/>
      <c r="G549" s="8"/>
      <c r="H549" s="8"/>
      <c r="I549" s="10"/>
      <c r="J549" s="10"/>
      <c r="K549" s="11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9"/>
      <c r="B550" s="8"/>
      <c r="C550" s="8"/>
      <c r="D550" s="8"/>
      <c r="E550" s="8"/>
      <c r="F550" s="8"/>
      <c r="G550" s="8"/>
      <c r="H550" s="8"/>
      <c r="I550" s="10"/>
      <c r="J550" s="10"/>
      <c r="K550" s="11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9"/>
      <c r="B551" s="8"/>
      <c r="C551" s="8"/>
      <c r="D551" s="8"/>
      <c r="E551" s="8"/>
      <c r="F551" s="8"/>
      <c r="G551" s="8"/>
      <c r="H551" s="8"/>
      <c r="I551" s="10"/>
      <c r="J551" s="10"/>
      <c r="K551" s="11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9"/>
      <c r="B552" s="8"/>
      <c r="C552" s="8"/>
      <c r="D552" s="8"/>
      <c r="E552" s="8"/>
      <c r="F552" s="8"/>
      <c r="G552" s="8"/>
      <c r="H552" s="8"/>
      <c r="I552" s="10"/>
      <c r="J552" s="10"/>
      <c r="K552" s="11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9"/>
      <c r="B553" s="8"/>
      <c r="C553" s="8"/>
      <c r="D553" s="8"/>
      <c r="E553" s="8"/>
      <c r="F553" s="8"/>
      <c r="G553" s="8"/>
      <c r="H553" s="8"/>
      <c r="I553" s="10"/>
      <c r="J553" s="10"/>
      <c r="K553" s="11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9"/>
      <c r="B554" s="8"/>
      <c r="C554" s="8"/>
      <c r="D554" s="8"/>
      <c r="E554" s="8"/>
      <c r="F554" s="8"/>
      <c r="G554" s="8"/>
      <c r="H554" s="8"/>
      <c r="I554" s="10"/>
      <c r="J554" s="10"/>
      <c r="K554" s="11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9"/>
      <c r="B555" s="8"/>
      <c r="C555" s="8"/>
      <c r="D555" s="8"/>
      <c r="E555" s="8"/>
      <c r="F555" s="8"/>
      <c r="G555" s="8"/>
      <c r="H555" s="8"/>
      <c r="I555" s="10"/>
      <c r="J555" s="10"/>
      <c r="K555" s="11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9"/>
      <c r="B556" s="8"/>
      <c r="C556" s="8"/>
      <c r="D556" s="8"/>
      <c r="E556" s="8"/>
      <c r="F556" s="8"/>
      <c r="G556" s="8"/>
      <c r="H556" s="8"/>
      <c r="I556" s="10"/>
      <c r="J556" s="10"/>
      <c r="K556" s="11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9"/>
      <c r="B557" s="8"/>
      <c r="C557" s="8"/>
      <c r="D557" s="8"/>
      <c r="E557" s="8"/>
      <c r="F557" s="8"/>
      <c r="G557" s="8"/>
      <c r="H557" s="8"/>
      <c r="I557" s="10"/>
      <c r="J557" s="10"/>
      <c r="K557" s="11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9"/>
      <c r="B558" s="8"/>
      <c r="C558" s="8"/>
      <c r="D558" s="8"/>
      <c r="E558" s="8"/>
      <c r="F558" s="8"/>
      <c r="G558" s="8"/>
      <c r="H558" s="8"/>
      <c r="I558" s="10"/>
      <c r="J558" s="10"/>
      <c r="K558" s="11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9"/>
      <c r="B559" s="8"/>
      <c r="C559" s="8"/>
      <c r="D559" s="8"/>
      <c r="E559" s="8"/>
      <c r="F559" s="8"/>
      <c r="G559" s="8"/>
      <c r="H559" s="8"/>
      <c r="I559" s="10"/>
      <c r="J559" s="10"/>
      <c r="K559" s="11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9"/>
      <c r="B560" s="8"/>
      <c r="C560" s="8"/>
      <c r="D560" s="8"/>
      <c r="E560" s="8"/>
      <c r="F560" s="8"/>
      <c r="G560" s="8"/>
      <c r="H560" s="8"/>
      <c r="I560" s="10"/>
      <c r="J560" s="10"/>
      <c r="K560" s="11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9"/>
      <c r="B561" s="8"/>
      <c r="C561" s="8"/>
      <c r="D561" s="8"/>
      <c r="E561" s="8"/>
      <c r="F561" s="8"/>
      <c r="G561" s="8"/>
      <c r="H561" s="8"/>
      <c r="I561" s="10"/>
      <c r="J561" s="10"/>
      <c r="K561" s="11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9"/>
      <c r="B562" s="8"/>
      <c r="C562" s="8"/>
      <c r="D562" s="8"/>
      <c r="E562" s="8"/>
      <c r="F562" s="8"/>
      <c r="G562" s="8"/>
      <c r="H562" s="8"/>
      <c r="I562" s="10"/>
      <c r="J562" s="10"/>
      <c r="K562" s="11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9"/>
      <c r="B563" s="8"/>
      <c r="C563" s="8"/>
      <c r="D563" s="8"/>
      <c r="E563" s="8"/>
      <c r="F563" s="8"/>
      <c r="G563" s="8"/>
      <c r="H563" s="8"/>
      <c r="I563" s="10"/>
      <c r="J563" s="10"/>
      <c r="K563" s="11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9"/>
      <c r="B564" s="8"/>
      <c r="C564" s="8"/>
      <c r="D564" s="8"/>
      <c r="E564" s="8"/>
      <c r="F564" s="8"/>
      <c r="G564" s="8"/>
      <c r="H564" s="8"/>
      <c r="I564" s="10"/>
      <c r="J564" s="10"/>
      <c r="K564" s="11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9"/>
      <c r="B565" s="8"/>
      <c r="C565" s="8"/>
      <c r="D565" s="8"/>
      <c r="E565" s="8"/>
      <c r="F565" s="8"/>
      <c r="G565" s="8"/>
      <c r="H565" s="8"/>
      <c r="I565" s="10"/>
      <c r="J565" s="10"/>
      <c r="K565" s="11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9"/>
      <c r="B566" s="8"/>
      <c r="C566" s="8"/>
      <c r="D566" s="8"/>
      <c r="E566" s="8"/>
      <c r="F566" s="8"/>
      <c r="G566" s="8"/>
      <c r="H566" s="8"/>
      <c r="I566" s="10"/>
      <c r="J566" s="10"/>
      <c r="K566" s="11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9"/>
      <c r="B567" s="8"/>
      <c r="C567" s="8"/>
      <c r="D567" s="8"/>
      <c r="E567" s="8"/>
      <c r="F567" s="8"/>
      <c r="G567" s="8"/>
      <c r="H567" s="8"/>
      <c r="I567" s="10"/>
      <c r="J567" s="10"/>
      <c r="K567" s="11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9"/>
      <c r="B568" s="8"/>
      <c r="C568" s="8"/>
      <c r="D568" s="8"/>
      <c r="E568" s="8"/>
      <c r="F568" s="8"/>
      <c r="G568" s="8"/>
      <c r="H568" s="8"/>
      <c r="I568" s="10"/>
      <c r="J568" s="10"/>
      <c r="K568" s="11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9"/>
      <c r="B569" s="8"/>
      <c r="C569" s="8"/>
      <c r="D569" s="8"/>
      <c r="E569" s="8"/>
      <c r="F569" s="8"/>
      <c r="G569" s="8"/>
      <c r="H569" s="8"/>
      <c r="I569" s="10"/>
      <c r="J569" s="10"/>
      <c r="K569" s="11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9"/>
      <c r="B570" s="8"/>
      <c r="C570" s="8"/>
      <c r="D570" s="8"/>
      <c r="E570" s="8"/>
      <c r="F570" s="8"/>
      <c r="G570" s="8"/>
      <c r="H570" s="8"/>
      <c r="I570" s="10"/>
      <c r="J570" s="10"/>
      <c r="K570" s="11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9"/>
      <c r="B571" s="8"/>
      <c r="C571" s="8"/>
      <c r="D571" s="8"/>
      <c r="E571" s="8"/>
      <c r="F571" s="8"/>
      <c r="G571" s="8"/>
      <c r="H571" s="8"/>
      <c r="I571" s="10"/>
      <c r="J571" s="10"/>
      <c r="K571" s="11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9"/>
      <c r="B572" s="8"/>
      <c r="C572" s="8"/>
      <c r="D572" s="8"/>
      <c r="E572" s="8"/>
      <c r="F572" s="8"/>
      <c r="G572" s="8"/>
      <c r="H572" s="8"/>
      <c r="I572" s="10"/>
      <c r="J572" s="10"/>
      <c r="K572" s="11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9"/>
      <c r="B573" s="8"/>
      <c r="C573" s="8"/>
      <c r="D573" s="8"/>
      <c r="E573" s="8"/>
      <c r="F573" s="8"/>
      <c r="G573" s="8"/>
      <c r="H573" s="8"/>
      <c r="I573" s="10"/>
      <c r="J573" s="10"/>
      <c r="K573" s="11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9"/>
      <c r="B574" s="8"/>
      <c r="C574" s="8"/>
      <c r="D574" s="8"/>
      <c r="E574" s="8"/>
      <c r="F574" s="8"/>
      <c r="G574" s="8"/>
      <c r="H574" s="8"/>
      <c r="I574" s="10"/>
      <c r="J574" s="10"/>
      <c r="K574" s="11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9"/>
      <c r="B575" s="8"/>
      <c r="C575" s="8"/>
      <c r="D575" s="8"/>
      <c r="E575" s="8"/>
      <c r="F575" s="8"/>
      <c r="G575" s="8"/>
      <c r="H575" s="8"/>
      <c r="I575" s="10"/>
      <c r="J575" s="10"/>
      <c r="K575" s="11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9"/>
      <c r="B576" s="8"/>
      <c r="C576" s="8"/>
      <c r="D576" s="8"/>
      <c r="E576" s="8"/>
      <c r="F576" s="8"/>
      <c r="G576" s="8"/>
      <c r="H576" s="8"/>
      <c r="I576" s="10"/>
      <c r="J576" s="10"/>
      <c r="K576" s="11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9"/>
      <c r="B577" s="8"/>
      <c r="C577" s="8"/>
      <c r="D577" s="8"/>
      <c r="E577" s="8"/>
      <c r="F577" s="8"/>
      <c r="G577" s="8"/>
      <c r="H577" s="8"/>
      <c r="I577" s="10"/>
      <c r="J577" s="10"/>
      <c r="K577" s="11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9"/>
      <c r="B578" s="8"/>
      <c r="C578" s="8"/>
      <c r="D578" s="8"/>
      <c r="E578" s="8"/>
      <c r="F578" s="8"/>
      <c r="G578" s="8"/>
      <c r="H578" s="8"/>
      <c r="I578" s="10"/>
      <c r="J578" s="10"/>
      <c r="K578" s="11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9"/>
      <c r="B579" s="8"/>
      <c r="C579" s="8"/>
      <c r="D579" s="8"/>
      <c r="E579" s="8"/>
      <c r="F579" s="8"/>
      <c r="G579" s="8"/>
      <c r="H579" s="8"/>
      <c r="I579" s="10"/>
      <c r="J579" s="10"/>
      <c r="K579" s="11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9"/>
      <c r="B580" s="8"/>
      <c r="C580" s="8"/>
      <c r="D580" s="8"/>
      <c r="E580" s="8"/>
      <c r="F580" s="8"/>
      <c r="G580" s="8"/>
      <c r="H580" s="8"/>
      <c r="I580" s="10"/>
      <c r="J580" s="10"/>
      <c r="K580" s="11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9"/>
      <c r="B581" s="8"/>
      <c r="C581" s="8"/>
      <c r="D581" s="8"/>
      <c r="E581" s="8"/>
      <c r="F581" s="8"/>
      <c r="G581" s="8"/>
      <c r="H581" s="8"/>
      <c r="I581" s="10"/>
      <c r="J581" s="10"/>
      <c r="K581" s="11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9"/>
      <c r="B582" s="8"/>
      <c r="C582" s="8"/>
      <c r="D582" s="8"/>
      <c r="E582" s="8"/>
      <c r="F582" s="8"/>
      <c r="G582" s="8"/>
      <c r="H582" s="8"/>
      <c r="I582" s="10"/>
      <c r="J582" s="10"/>
      <c r="K582" s="11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9"/>
      <c r="B583" s="8"/>
      <c r="C583" s="8"/>
      <c r="D583" s="8"/>
      <c r="E583" s="8"/>
      <c r="F583" s="8"/>
      <c r="G583" s="8"/>
      <c r="H583" s="8"/>
      <c r="I583" s="10"/>
      <c r="J583" s="10"/>
      <c r="K583" s="11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9"/>
      <c r="B584" s="8"/>
      <c r="C584" s="8"/>
      <c r="D584" s="8"/>
      <c r="E584" s="8"/>
      <c r="F584" s="8"/>
      <c r="G584" s="8"/>
      <c r="H584" s="8"/>
      <c r="I584" s="10"/>
      <c r="J584" s="10"/>
      <c r="K584" s="11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9"/>
      <c r="B585" s="8"/>
      <c r="C585" s="8"/>
      <c r="D585" s="8"/>
      <c r="E585" s="8"/>
      <c r="F585" s="8"/>
      <c r="G585" s="8"/>
      <c r="H585" s="8"/>
      <c r="I585" s="10"/>
      <c r="J585" s="10"/>
      <c r="K585" s="11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12"/>
      <c r="B586" s="13"/>
      <c r="C586" s="13"/>
      <c r="D586" s="13"/>
      <c r="E586" s="13"/>
      <c r="F586" s="13"/>
      <c r="G586" s="13"/>
      <c r="H586" s="13"/>
      <c r="I586" s="14"/>
      <c r="J586" s="14"/>
      <c r="K586" s="11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9"/>
      <c r="B587" s="8"/>
      <c r="C587" s="8"/>
      <c r="D587" s="8"/>
      <c r="E587" s="8"/>
      <c r="F587" s="8"/>
      <c r="G587" s="8"/>
      <c r="H587" s="8"/>
      <c r="I587" s="10"/>
      <c r="J587" s="10"/>
      <c r="K587" s="11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9"/>
      <c r="B588" s="8"/>
      <c r="C588" s="8"/>
      <c r="D588" s="8"/>
      <c r="E588" s="8"/>
      <c r="F588" s="8"/>
      <c r="G588" s="8"/>
      <c r="H588" s="8"/>
      <c r="I588" s="10"/>
      <c r="J588" s="10"/>
      <c r="K588" s="11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9"/>
      <c r="B589" s="8"/>
      <c r="C589" s="8"/>
      <c r="D589" s="8"/>
      <c r="E589" s="8"/>
      <c r="F589" s="8"/>
      <c r="G589" s="8"/>
      <c r="H589" s="8"/>
      <c r="I589" s="10"/>
      <c r="J589" s="10"/>
      <c r="K589" s="11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9"/>
      <c r="B590" s="8"/>
      <c r="C590" s="8"/>
      <c r="D590" s="8"/>
      <c r="E590" s="8"/>
      <c r="F590" s="8"/>
      <c r="G590" s="8"/>
      <c r="H590" s="8"/>
      <c r="I590" s="10"/>
      <c r="J590" s="10"/>
      <c r="K590" s="11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9"/>
      <c r="B591" s="8"/>
      <c r="C591" s="8"/>
      <c r="D591" s="8"/>
      <c r="E591" s="8"/>
      <c r="F591" s="8"/>
      <c r="G591" s="8"/>
      <c r="H591" s="8"/>
      <c r="I591" s="10"/>
      <c r="J591" s="10"/>
      <c r="K591" s="11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9"/>
      <c r="B592" s="8"/>
      <c r="C592" s="8"/>
      <c r="D592" s="8"/>
      <c r="E592" s="8"/>
      <c r="F592" s="8"/>
      <c r="G592" s="8"/>
      <c r="H592" s="8"/>
      <c r="I592" s="10"/>
      <c r="J592" s="10"/>
      <c r="K592" s="11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9"/>
      <c r="B593" s="8"/>
      <c r="C593" s="8"/>
      <c r="D593" s="8"/>
      <c r="E593" s="8"/>
      <c r="F593" s="8"/>
      <c r="G593" s="8"/>
      <c r="H593" s="8"/>
      <c r="I593" s="10"/>
      <c r="J593" s="10"/>
      <c r="K593" s="11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9"/>
      <c r="B594" s="8"/>
      <c r="C594" s="8"/>
      <c r="D594" s="8"/>
      <c r="E594" s="8"/>
      <c r="F594" s="8"/>
      <c r="G594" s="8"/>
      <c r="H594" s="8"/>
      <c r="I594" s="10"/>
      <c r="J594" s="10"/>
      <c r="K594" s="11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9"/>
      <c r="B595" s="8"/>
      <c r="C595" s="8"/>
      <c r="D595" s="8"/>
      <c r="E595" s="8"/>
      <c r="F595" s="8"/>
      <c r="G595" s="8"/>
      <c r="H595" s="8"/>
      <c r="I595" s="10"/>
      <c r="J595" s="10"/>
      <c r="K595" s="11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9"/>
      <c r="B596" s="8"/>
      <c r="C596" s="8"/>
      <c r="D596" s="8"/>
      <c r="E596" s="8"/>
      <c r="F596" s="8"/>
      <c r="G596" s="8"/>
      <c r="H596" s="8"/>
      <c r="I596" s="10"/>
      <c r="J596" s="10"/>
      <c r="K596" s="11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12"/>
      <c r="B597" s="13"/>
      <c r="C597" s="13"/>
      <c r="D597" s="13"/>
      <c r="E597" s="13"/>
      <c r="F597" s="13"/>
      <c r="G597" s="13"/>
      <c r="H597" s="13"/>
      <c r="I597" s="14"/>
      <c r="J597" s="14"/>
      <c r="K597" s="11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9"/>
      <c r="B598" s="8"/>
      <c r="C598" s="8"/>
      <c r="D598" s="8"/>
      <c r="E598" s="8"/>
      <c r="F598" s="8"/>
      <c r="G598" s="8"/>
      <c r="H598" s="8"/>
      <c r="I598" s="10"/>
      <c r="J598" s="10"/>
      <c r="K598" s="11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9"/>
      <c r="B599" s="8"/>
      <c r="C599" s="8"/>
      <c r="D599" s="8"/>
      <c r="E599" s="8"/>
      <c r="F599" s="8"/>
      <c r="G599" s="8"/>
      <c r="H599" s="8"/>
      <c r="I599" s="10"/>
      <c r="J599" s="10"/>
      <c r="K599" s="11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9"/>
      <c r="B600" s="8"/>
      <c r="C600" s="8"/>
      <c r="D600" s="8"/>
      <c r="E600" s="8"/>
      <c r="F600" s="8"/>
      <c r="G600" s="8"/>
      <c r="H600" s="8"/>
      <c r="I600" s="10"/>
      <c r="J600" s="10"/>
      <c r="K600" s="11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9"/>
      <c r="B601" s="8"/>
      <c r="C601" s="8"/>
      <c r="D601" s="8"/>
      <c r="E601" s="8"/>
      <c r="F601" s="8"/>
      <c r="G601" s="8"/>
      <c r="H601" s="8"/>
      <c r="I601" s="10"/>
      <c r="J601" s="10"/>
      <c r="K601" s="11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9"/>
      <c r="B602" s="8"/>
      <c r="C602" s="8"/>
      <c r="D602" s="8"/>
      <c r="E602" s="8"/>
      <c r="F602" s="8"/>
      <c r="G602" s="8"/>
      <c r="H602" s="8"/>
      <c r="I602" s="10"/>
      <c r="J602" s="10"/>
      <c r="K602" s="11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9"/>
      <c r="B603" s="8"/>
      <c r="C603" s="8"/>
      <c r="D603" s="8"/>
      <c r="E603" s="8"/>
      <c r="F603" s="8"/>
      <c r="G603" s="8"/>
      <c r="H603" s="8"/>
      <c r="I603" s="10"/>
      <c r="J603" s="10"/>
      <c r="K603" s="11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9"/>
      <c r="B604" s="8"/>
      <c r="C604" s="8"/>
      <c r="D604" s="8"/>
      <c r="E604" s="8"/>
      <c r="F604" s="8"/>
      <c r="G604" s="8"/>
      <c r="H604" s="8"/>
      <c r="I604" s="10"/>
      <c r="J604" s="10"/>
      <c r="K604" s="11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9"/>
      <c r="B605" s="8"/>
      <c r="C605" s="8"/>
      <c r="D605" s="8"/>
      <c r="E605" s="8"/>
      <c r="F605" s="8"/>
      <c r="G605" s="8"/>
      <c r="H605" s="8"/>
      <c r="I605" s="10"/>
      <c r="J605" s="10"/>
      <c r="K605" s="11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9"/>
      <c r="B606" s="8"/>
      <c r="C606" s="8"/>
      <c r="D606" s="8"/>
      <c r="E606" s="8"/>
      <c r="F606" s="8"/>
      <c r="G606" s="8"/>
      <c r="H606" s="8"/>
      <c r="I606" s="10"/>
      <c r="J606" s="10"/>
      <c r="K606" s="11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9"/>
      <c r="B607" s="8"/>
      <c r="C607" s="8"/>
      <c r="D607" s="8"/>
      <c r="E607" s="8"/>
      <c r="F607" s="8"/>
      <c r="G607" s="8"/>
      <c r="H607" s="8"/>
      <c r="I607" s="10"/>
      <c r="J607" s="10"/>
      <c r="K607" s="11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9"/>
      <c r="B608" s="8"/>
      <c r="C608" s="8"/>
      <c r="D608" s="8"/>
      <c r="E608" s="8"/>
      <c r="F608" s="8"/>
      <c r="G608" s="8"/>
      <c r="H608" s="8"/>
      <c r="I608" s="10"/>
      <c r="J608" s="10"/>
      <c r="K608" s="11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9"/>
      <c r="B609" s="8"/>
      <c r="C609" s="8"/>
      <c r="D609" s="8"/>
      <c r="E609" s="8"/>
      <c r="F609" s="8"/>
      <c r="G609" s="8"/>
      <c r="H609" s="8"/>
      <c r="I609" s="10"/>
      <c r="J609" s="10"/>
      <c r="K609" s="11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9"/>
      <c r="B610" s="8"/>
      <c r="C610" s="8"/>
      <c r="D610" s="8"/>
      <c r="E610" s="8"/>
      <c r="F610" s="8"/>
      <c r="G610" s="8"/>
      <c r="H610" s="8"/>
      <c r="I610" s="10"/>
      <c r="J610" s="10"/>
      <c r="K610" s="11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9"/>
      <c r="B611" s="8"/>
      <c r="C611" s="8"/>
      <c r="D611" s="8"/>
      <c r="E611" s="8"/>
      <c r="F611" s="8"/>
      <c r="G611" s="8"/>
      <c r="H611" s="8"/>
      <c r="I611" s="10"/>
      <c r="J611" s="10"/>
      <c r="K611" s="11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9"/>
      <c r="B612" s="8"/>
      <c r="C612" s="8"/>
      <c r="D612" s="8"/>
      <c r="E612" s="8"/>
      <c r="F612" s="8"/>
      <c r="G612" s="8"/>
      <c r="H612" s="8"/>
      <c r="I612" s="10"/>
      <c r="J612" s="10"/>
      <c r="K612" s="11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9"/>
      <c r="B613" s="8"/>
      <c r="C613" s="8"/>
      <c r="D613" s="8"/>
      <c r="E613" s="8"/>
      <c r="F613" s="8"/>
      <c r="G613" s="8"/>
      <c r="H613" s="8"/>
      <c r="I613" s="10"/>
      <c r="J613" s="10"/>
      <c r="K613" s="11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9"/>
      <c r="B614" s="8"/>
      <c r="C614" s="8"/>
      <c r="D614" s="8"/>
      <c r="E614" s="8"/>
      <c r="F614" s="8"/>
      <c r="G614" s="8"/>
      <c r="H614" s="8"/>
      <c r="I614" s="10"/>
      <c r="J614" s="10"/>
      <c r="K614" s="11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9"/>
      <c r="B615" s="8"/>
      <c r="C615" s="8"/>
      <c r="D615" s="8"/>
      <c r="E615" s="8"/>
      <c r="F615" s="8"/>
      <c r="G615" s="8"/>
      <c r="H615" s="8"/>
      <c r="I615" s="10"/>
      <c r="J615" s="10"/>
      <c r="K615" s="11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9"/>
      <c r="B616" s="8"/>
      <c r="C616" s="8"/>
      <c r="D616" s="8"/>
      <c r="E616" s="8"/>
      <c r="F616" s="8"/>
      <c r="G616" s="8"/>
      <c r="H616" s="8"/>
      <c r="I616" s="10"/>
      <c r="J616" s="10"/>
      <c r="K616" s="11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9"/>
      <c r="B617" s="8"/>
      <c r="C617" s="8"/>
      <c r="D617" s="8"/>
      <c r="E617" s="8"/>
      <c r="F617" s="8"/>
      <c r="G617" s="8"/>
      <c r="H617" s="8"/>
      <c r="I617" s="10"/>
      <c r="J617" s="10"/>
      <c r="K617" s="11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9"/>
      <c r="B618" s="8"/>
      <c r="C618" s="8"/>
      <c r="D618" s="8"/>
      <c r="E618" s="8"/>
      <c r="F618" s="8"/>
      <c r="G618" s="8"/>
      <c r="H618" s="8"/>
      <c r="I618" s="10"/>
      <c r="J618" s="10"/>
      <c r="K618" s="11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9"/>
      <c r="B619" s="8"/>
      <c r="C619" s="8"/>
      <c r="D619" s="8"/>
      <c r="E619" s="8"/>
      <c r="F619" s="8"/>
      <c r="G619" s="8"/>
      <c r="H619" s="8"/>
      <c r="I619" s="10"/>
      <c r="J619" s="10"/>
      <c r="K619" s="11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9"/>
      <c r="B620" s="8"/>
      <c r="C620" s="8"/>
      <c r="D620" s="8"/>
      <c r="E620" s="8"/>
      <c r="F620" s="8"/>
      <c r="G620" s="8"/>
      <c r="H620" s="8"/>
      <c r="I620" s="10"/>
      <c r="J620" s="10"/>
      <c r="K620" s="11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9"/>
      <c r="B621" s="8"/>
      <c r="C621" s="8"/>
      <c r="D621" s="8"/>
      <c r="E621" s="8"/>
      <c r="F621" s="8"/>
      <c r="G621" s="8"/>
      <c r="H621" s="8"/>
      <c r="I621" s="10"/>
      <c r="J621" s="10"/>
      <c r="K621" s="11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9"/>
      <c r="B622" s="8"/>
      <c r="C622" s="8"/>
      <c r="D622" s="8"/>
      <c r="E622" s="8"/>
      <c r="F622" s="8"/>
      <c r="G622" s="8"/>
      <c r="H622" s="8"/>
      <c r="I622" s="10"/>
      <c r="J622" s="10"/>
      <c r="K622" s="11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9"/>
      <c r="B623" s="8"/>
      <c r="C623" s="8"/>
      <c r="D623" s="8"/>
      <c r="E623" s="8"/>
      <c r="F623" s="8"/>
      <c r="G623" s="8"/>
      <c r="H623" s="8"/>
      <c r="I623" s="10"/>
      <c r="J623" s="10"/>
      <c r="K623" s="11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9"/>
      <c r="B624" s="8"/>
      <c r="C624" s="8"/>
      <c r="D624" s="8"/>
      <c r="E624" s="8"/>
      <c r="F624" s="8"/>
      <c r="G624" s="8"/>
      <c r="H624" s="8"/>
      <c r="I624" s="10"/>
      <c r="J624" s="10"/>
      <c r="K624" s="11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9"/>
      <c r="B625" s="8"/>
      <c r="C625" s="8"/>
      <c r="D625" s="8"/>
      <c r="E625" s="8"/>
      <c r="F625" s="8"/>
      <c r="G625" s="8"/>
      <c r="H625" s="8"/>
      <c r="I625" s="10"/>
      <c r="J625" s="10"/>
      <c r="K625" s="11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9"/>
      <c r="B626" s="8"/>
      <c r="C626" s="8"/>
      <c r="D626" s="8"/>
      <c r="E626" s="8"/>
      <c r="F626" s="8"/>
      <c r="G626" s="8"/>
      <c r="H626" s="8"/>
      <c r="I626" s="10"/>
      <c r="J626" s="10"/>
      <c r="K626" s="11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9"/>
      <c r="B627" s="8"/>
      <c r="C627" s="8"/>
      <c r="D627" s="8"/>
      <c r="E627" s="8"/>
      <c r="F627" s="8"/>
      <c r="G627" s="8"/>
      <c r="H627" s="8"/>
      <c r="I627" s="10"/>
      <c r="J627" s="10"/>
      <c r="K627" s="11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9"/>
      <c r="B628" s="8"/>
      <c r="C628" s="8"/>
      <c r="D628" s="8"/>
      <c r="E628" s="8"/>
      <c r="F628" s="8"/>
      <c r="G628" s="8"/>
      <c r="H628" s="8"/>
      <c r="I628" s="10"/>
      <c r="J628" s="10"/>
      <c r="K628" s="11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9"/>
      <c r="B629" s="8"/>
      <c r="C629" s="8"/>
      <c r="D629" s="8"/>
      <c r="E629" s="8"/>
      <c r="F629" s="8"/>
      <c r="G629" s="8"/>
      <c r="H629" s="8"/>
      <c r="I629" s="10"/>
      <c r="J629" s="10"/>
      <c r="K629" s="11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9"/>
      <c r="B630" s="8"/>
      <c r="C630" s="8"/>
      <c r="D630" s="8"/>
      <c r="E630" s="8"/>
      <c r="F630" s="8"/>
      <c r="G630" s="8"/>
      <c r="H630" s="8"/>
      <c r="I630" s="10"/>
      <c r="J630" s="10"/>
      <c r="K630" s="11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9"/>
      <c r="B631" s="8"/>
      <c r="C631" s="8"/>
      <c r="D631" s="8"/>
      <c r="E631" s="8"/>
      <c r="F631" s="8"/>
      <c r="G631" s="8"/>
      <c r="H631" s="8"/>
      <c r="I631" s="10"/>
      <c r="J631" s="10"/>
      <c r="K631" s="11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9"/>
      <c r="B632" s="8"/>
      <c r="C632" s="8"/>
      <c r="D632" s="8"/>
      <c r="E632" s="8"/>
      <c r="F632" s="8"/>
      <c r="G632" s="8"/>
      <c r="H632" s="8"/>
      <c r="I632" s="10"/>
      <c r="J632" s="10"/>
      <c r="K632" s="11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9"/>
      <c r="B633" s="8"/>
      <c r="C633" s="8"/>
      <c r="D633" s="8"/>
      <c r="E633" s="8"/>
      <c r="F633" s="8"/>
      <c r="G633" s="8"/>
      <c r="H633" s="8"/>
      <c r="I633" s="10"/>
      <c r="J633" s="10"/>
      <c r="K633" s="11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9"/>
      <c r="B634" s="8"/>
      <c r="C634" s="8"/>
      <c r="D634" s="8"/>
      <c r="E634" s="8"/>
      <c r="F634" s="8"/>
      <c r="G634" s="8"/>
      <c r="H634" s="8"/>
      <c r="I634" s="10"/>
      <c r="J634" s="10"/>
      <c r="K634" s="11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9"/>
      <c r="B635" s="8"/>
      <c r="C635" s="8"/>
      <c r="D635" s="8"/>
      <c r="E635" s="8"/>
      <c r="F635" s="8"/>
      <c r="G635" s="8"/>
      <c r="H635" s="8"/>
      <c r="I635" s="10"/>
      <c r="J635" s="10"/>
      <c r="K635" s="11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9"/>
      <c r="B636" s="8"/>
      <c r="C636" s="8"/>
      <c r="D636" s="8"/>
      <c r="E636" s="8"/>
      <c r="F636" s="8"/>
      <c r="G636" s="8"/>
      <c r="H636" s="8"/>
      <c r="I636" s="10"/>
      <c r="J636" s="10"/>
      <c r="K636" s="11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9"/>
      <c r="B637" s="8"/>
      <c r="C637" s="8"/>
      <c r="D637" s="8"/>
      <c r="E637" s="8"/>
      <c r="F637" s="8"/>
      <c r="G637" s="8"/>
      <c r="H637" s="8"/>
      <c r="I637" s="10"/>
      <c r="J637" s="10"/>
      <c r="K637" s="11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9"/>
      <c r="B638" s="8"/>
      <c r="C638" s="8"/>
      <c r="D638" s="8"/>
      <c r="E638" s="8"/>
      <c r="F638" s="8"/>
      <c r="G638" s="8"/>
      <c r="H638" s="8"/>
      <c r="I638" s="10"/>
      <c r="J638" s="10"/>
      <c r="K638" s="11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9"/>
      <c r="B639" s="8"/>
      <c r="C639" s="8"/>
      <c r="D639" s="8"/>
      <c r="E639" s="8"/>
      <c r="F639" s="8"/>
      <c r="G639" s="8"/>
      <c r="H639" s="8"/>
      <c r="I639" s="10"/>
      <c r="J639" s="10"/>
      <c r="K639" s="11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9"/>
      <c r="B640" s="8"/>
      <c r="C640" s="8"/>
      <c r="D640" s="8"/>
      <c r="E640" s="8"/>
      <c r="F640" s="8"/>
      <c r="G640" s="8"/>
      <c r="H640" s="8"/>
      <c r="I640" s="10"/>
      <c r="J640" s="10"/>
      <c r="K640" s="11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9"/>
      <c r="B641" s="8"/>
      <c r="C641" s="8"/>
      <c r="D641" s="8"/>
      <c r="E641" s="8"/>
      <c r="F641" s="8"/>
      <c r="G641" s="8"/>
      <c r="H641" s="8"/>
      <c r="I641" s="10"/>
      <c r="J641" s="10"/>
      <c r="K641" s="11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12"/>
      <c r="B642" s="13"/>
      <c r="C642" s="13"/>
      <c r="D642" s="13"/>
      <c r="E642" s="13"/>
      <c r="F642" s="13"/>
      <c r="G642" s="13"/>
      <c r="H642" s="13"/>
      <c r="I642" s="14"/>
      <c r="J642" s="14"/>
      <c r="K642" s="11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9"/>
      <c r="B643" s="8"/>
      <c r="C643" s="8"/>
      <c r="D643" s="8"/>
      <c r="E643" s="8"/>
      <c r="F643" s="8"/>
      <c r="G643" s="8"/>
      <c r="H643" s="8"/>
      <c r="I643" s="10"/>
      <c r="J643" s="10"/>
      <c r="K643" s="11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9"/>
      <c r="B644" s="8"/>
      <c r="C644" s="8"/>
      <c r="D644" s="8"/>
      <c r="E644" s="8"/>
      <c r="F644" s="8"/>
      <c r="G644" s="8"/>
      <c r="H644" s="8"/>
      <c r="I644" s="10"/>
      <c r="J644" s="10"/>
      <c r="K644" s="11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9"/>
      <c r="B645" s="8"/>
      <c r="C645" s="8"/>
      <c r="D645" s="8"/>
      <c r="E645" s="8"/>
      <c r="F645" s="8"/>
      <c r="G645" s="8"/>
      <c r="H645" s="8"/>
      <c r="I645" s="10"/>
      <c r="J645" s="10"/>
      <c r="K645" s="11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9"/>
      <c r="B646" s="8"/>
      <c r="C646" s="8"/>
      <c r="D646" s="8"/>
      <c r="E646" s="8"/>
      <c r="F646" s="8"/>
      <c r="G646" s="8"/>
      <c r="H646" s="8"/>
      <c r="I646" s="10"/>
      <c r="J646" s="10"/>
      <c r="K646" s="11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9"/>
      <c r="B647" s="8"/>
      <c r="C647" s="8"/>
      <c r="D647" s="8"/>
      <c r="E647" s="8"/>
      <c r="F647" s="8"/>
      <c r="G647" s="8"/>
      <c r="H647" s="8"/>
      <c r="I647" s="10"/>
      <c r="J647" s="10"/>
      <c r="K647" s="11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9"/>
      <c r="B648" s="8"/>
      <c r="C648" s="8"/>
      <c r="D648" s="8"/>
      <c r="E648" s="8"/>
      <c r="F648" s="8"/>
      <c r="G648" s="8"/>
      <c r="H648" s="8"/>
      <c r="I648" s="10"/>
      <c r="J648" s="10"/>
      <c r="K648" s="11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9"/>
      <c r="B649" s="8"/>
      <c r="C649" s="8"/>
      <c r="D649" s="8"/>
      <c r="E649" s="8"/>
      <c r="F649" s="8"/>
      <c r="G649" s="8"/>
      <c r="H649" s="8"/>
      <c r="I649" s="10"/>
      <c r="J649" s="10"/>
      <c r="K649" s="11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9"/>
      <c r="B650" s="8"/>
      <c r="C650" s="8"/>
      <c r="D650" s="8"/>
      <c r="E650" s="8"/>
      <c r="F650" s="8"/>
      <c r="G650" s="8"/>
      <c r="H650" s="8"/>
      <c r="I650" s="10"/>
      <c r="J650" s="10"/>
      <c r="K650" s="11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9"/>
      <c r="B651" s="8"/>
      <c r="C651" s="8"/>
      <c r="D651" s="8"/>
      <c r="E651" s="8"/>
      <c r="F651" s="8"/>
      <c r="G651" s="8"/>
      <c r="H651" s="8"/>
      <c r="I651" s="10"/>
      <c r="J651" s="10"/>
      <c r="K651" s="11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9"/>
      <c r="B652" s="8"/>
      <c r="C652" s="8"/>
      <c r="D652" s="8"/>
      <c r="E652" s="8"/>
      <c r="F652" s="8"/>
      <c r="G652" s="8"/>
      <c r="H652" s="8"/>
      <c r="I652" s="10"/>
      <c r="J652" s="10"/>
      <c r="K652" s="11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9"/>
      <c r="B653" s="8"/>
      <c r="C653" s="8"/>
      <c r="D653" s="8"/>
      <c r="E653" s="8"/>
      <c r="F653" s="8"/>
      <c r="G653" s="8"/>
      <c r="H653" s="8"/>
      <c r="I653" s="10"/>
      <c r="J653" s="10"/>
      <c r="K653" s="11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9"/>
      <c r="B654" s="8"/>
      <c r="C654" s="8"/>
      <c r="D654" s="8"/>
      <c r="E654" s="8"/>
      <c r="F654" s="8"/>
      <c r="G654" s="8"/>
      <c r="H654" s="8"/>
      <c r="I654" s="10"/>
      <c r="J654" s="10"/>
      <c r="K654" s="11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9"/>
      <c r="B655" s="8"/>
      <c r="C655" s="8"/>
      <c r="D655" s="8"/>
      <c r="E655" s="8"/>
      <c r="F655" s="8"/>
      <c r="G655" s="8"/>
      <c r="H655" s="8"/>
      <c r="I655" s="10"/>
      <c r="J655" s="10"/>
      <c r="K655" s="11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9"/>
      <c r="B656" s="8"/>
      <c r="C656" s="8"/>
      <c r="D656" s="8"/>
      <c r="E656" s="8"/>
      <c r="F656" s="8"/>
      <c r="G656" s="8"/>
      <c r="H656" s="8"/>
      <c r="I656" s="10"/>
      <c r="J656" s="10"/>
      <c r="K656" s="11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9"/>
      <c r="B657" s="8"/>
      <c r="C657" s="8"/>
      <c r="D657" s="8"/>
      <c r="E657" s="8"/>
      <c r="F657" s="8"/>
      <c r="G657" s="8"/>
      <c r="H657" s="8"/>
      <c r="I657" s="10"/>
      <c r="J657" s="10"/>
      <c r="K657" s="11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9"/>
      <c r="B658" s="8"/>
      <c r="C658" s="8"/>
      <c r="D658" s="8"/>
      <c r="E658" s="8"/>
      <c r="F658" s="8"/>
      <c r="G658" s="8"/>
      <c r="H658" s="8"/>
      <c r="I658" s="10"/>
      <c r="J658" s="10"/>
      <c r="K658" s="11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9"/>
      <c r="B659" s="8"/>
      <c r="C659" s="8"/>
      <c r="D659" s="8"/>
      <c r="E659" s="8"/>
      <c r="F659" s="8"/>
      <c r="G659" s="8"/>
      <c r="H659" s="8"/>
      <c r="I659" s="10"/>
      <c r="J659" s="10"/>
      <c r="K659" s="11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9"/>
      <c r="B660" s="8"/>
      <c r="C660" s="8"/>
      <c r="D660" s="8"/>
      <c r="E660" s="8"/>
      <c r="F660" s="8"/>
      <c r="G660" s="8"/>
      <c r="H660" s="8"/>
      <c r="I660" s="10"/>
      <c r="J660" s="10"/>
      <c r="K660" s="11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9"/>
      <c r="B661" s="8"/>
      <c r="C661" s="8"/>
      <c r="D661" s="8"/>
      <c r="E661" s="8"/>
      <c r="F661" s="8"/>
      <c r="G661" s="8"/>
      <c r="H661" s="8"/>
      <c r="I661" s="10"/>
      <c r="J661" s="10"/>
      <c r="K661" s="11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9"/>
      <c r="B662" s="8"/>
      <c r="C662" s="8"/>
      <c r="D662" s="8"/>
      <c r="E662" s="8"/>
      <c r="F662" s="8"/>
      <c r="G662" s="8"/>
      <c r="H662" s="8"/>
      <c r="I662" s="10"/>
      <c r="J662" s="10"/>
      <c r="K662" s="11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9"/>
      <c r="B663" s="8"/>
      <c r="C663" s="8"/>
      <c r="D663" s="8"/>
      <c r="E663" s="8"/>
      <c r="F663" s="8"/>
      <c r="G663" s="8"/>
      <c r="H663" s="8"/>
      <c r="I663" s="10"/>
      <c r="J663" s="10"/>
      <c r="K663" s="11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9"/>
      <c r="B664" s="8"/>
      <c r="C664" s="8"/>
      <c r="D664" s="8"/>
      <c r="E664" s="8"/>
      <c r="F664" s="8"/>
      <c r="G664" s="8"/>
      <c r="H664" s="8"/>
      <c r="I664" s="10"/>
      <c r="J664" s="10"/>
      <c r="K664" s="11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9"/>
      <c r="B665" s="8"/>
      <c r="C665" s="8"/>
      <c r="D665" s="8"/>
      <c r="E665" s="8"/>
      <c r="F665" s="8"/>
      <c r="G665" s="8"/>
      <c r="H665" s="8"/>
      <c r="I665" s="10"/>
      <c r="J665" s="10"/>
      <c r="K665" s="11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12"/>
      <c r="B666" s="13"/>
      <c r="C666" s="13"/>
      <c r="D666" s="13"/>
      <c r="E666" s="13"/>
      <c r="F666" s="13"/>
      <c r="G666" s="13"/>
      <c r="H666" s="13"/>
      <c r="I666" s="14"/>
      <c r="J666" s="14"/>
      <c r="K666" s="11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9"/>
      <c r="B667" s="8"/>
      <c r="C667" s="8"/>
      <c r="D667" s="8"/>
      <c r="E667" s="8"/>
      <c r="F667" s="8"/>
      <c r="G667" s="8"/>
      <c r="H667" s="8"/>
      <c r="I667" s="10"/>
      <c r="J667" s="10"/>
      <c r="K667" s="11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9"/>
      <c r="B668" s="8"/>
      <c r="C668" s="8"/>
      <c r="D668" s="8"/>
      <c r="E668" s="8"/>
      <c r="F668" s="8"/>
      <c r="G668" s="8"/>
      <c r="H668" s="8"/>
      <c r="I668" s="10"/>
      <c r="J668" s="10"/>
      <c r="K668" s="11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9"/>
      <c r="B669" s="8"/>
      <c r="C669" s="8"/>
      <c r="D669" s="8"/>
      <c r="E669" s="8"/>
      <c r="F669" s="8"/>
      <c r="G669" s="8"/>
      <c r="H669" s="8"/>
      <c r="I669" s="10"/>
      <c r="J669" s="10"/>
      <c r="K669" s="11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9"/>
      <c r="B670" s="8"/>
      <c r="C670" s="8"/>
      <c r="D670" s="8"/>
      <c r="E670" s="8"/>
      <c r="F670" s="8"/>
      <c r="G670" s="8"/>
      <c r="H670" s="8"/>
      <c r="I670" s="10"/>
      <c r="J670" s="10"/>
      <c r="K670" s="11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9"/>
      <c r="B671" s="8"/>
      <c r="C671" s="8"/>
      <c r="D671" s="8"/>
      <c r="E671" s="8"/>
      <c r="F671" s="8"/>
      <c r="G671" s="8"/>
      <c r="H671" s="8"/>
      <c r="I671" s="10"/>
      <c r="J671" s="10"/>
      <c r="K671" s="11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9"/>
      <c r="B672" s="8"/>
      <c r="C672" s="8"/>
      <c r="D672" s="8"/>
      <c r="E672" s="8"/>
      <c r="F672" s="8"/>
      <c r="G672" s="8"/>
      <c r="H672" s="8"/>
      <c r="I672" s="10"/>
      <c r="J672" s="10"/>
      <c r="K672" s="11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9"/>
      <c r="B673" s="8"/>
      <c r="C673" s="8"/>
      <c r="D673" s="8"/>
      <c r="E673" s="8"/>
      <c r="F673" s="8"/>
      <c r="G673" s="8"/>
      <c r="H673" s="8"/>
      <c r="I673" s="10"/>
      <c r="J673" s="10"/>
      <c r="K673" s="11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9"/>
      <c r="B674" s="8"/>
      <c r="C674" s="8"/>
      <c r="D674" s="8"/>
      <c r="E674" s="8"/>
      <c r="F674" s="8"/>
      <c r="G674" s="8"/>
      <c r="H674" s="8"/>
      <c r="I674" s="10"/>
      <c r="J674" s="10"/>
      <c r="K674" s="11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9"/>
      <c r="B675" s="8"/>
      <c r="C675" s="8"/>
      <c r="D675" s="8"/>
      <c r="E675" s="8"/>
      <c r="F675" s="8"/>
      <c r="G675" s="8"/>
      <c r="H675" s="8"/>
      <c r="I675" s="10"/>
      <c r="J675" s="10"/>
      <c r="K675" s="11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9"/>
      <c r="B676" s="8"/>
      <c r="C676" s="8"/>
      <c r="D676" s="8"/>
      <c r="E676" s="8"/>
      <c r="F676" s="8"/>
      <c r="G676" s="8"/>
      <c r="H676" s="8"/>
      <c r="I676" s="10"/>
      <c r="J676" s="10"/>
      <c r="K676" s="11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9"/>
      <c r="B677" s="8"/>
      <c r="C677" s="8"/>
      <c r="D677" s="8"/>
      <c r="E677" s="8"/>
      <c r="F677" s="8"/>
      <c r="G677" s="8"/>
      <c r="H677" s="8"/>
      <c r="I677" s="10"/>
      <c r="J677" s="10"/>
      <c r="K677" s="11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9"/>
      <c r="B678" s="8"/>
      <c r="C678" s="8"/>
      <c r="D678" s="8"/>
      <c r="E678" s="8"/>
      <c r="F678" s="8"/>
      <c r="G678" s="8"/>
      <c r="H678" s="8"/>
      <c r="I678" s="10"/>
      <c r="J678" s="10"/>
      <c r="K678" s="11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9"/>
      <c r="B679" s="8"/>
      <c r="C679" s="8"/>
      <c r="D679" s="8"/>
      <c r="E679" s="8"/>
      <c r="F679" s="8"/>
      <c r="G679" s="8"/>
      <c r="H679" s="8"/>
      <c r="I679" s="10"/>
      <c r="J679" s="10"/>
      <c r="K679" s="11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9"/>
      <c r="B680" s="8"/>
      <c r="C680" s="8"/>
      <c r="D680" s="8"/>
      <c r="E680" s="8"/>
      <c r="F680" s="8"/>
      <c r="G680" s="8"/>
      <c r="H680" s="8"/>
      <c r="I680" s="10"/>
      <c r="J680" s="10"/>
      <c r="K680" s="11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9"/>
      <c r="B681" s="8"/>
      <c r="C681" s="8"/>
      <c r="D681" s="8"/>
      <c r="E681" s="8"/>
      <c r="F681" s="8"/>
      <c r="G681" s="8"/>
      <c r="H681" s="8"/>
      <c r="I681" s="10"/>
      <c r="J681" s="10"/>
      <c r="K681" s="11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9"/>
      <c r="B682" s="8"/>
      <c r="C682" s="8"/>
      <c r="D682" s="8"/>
      <c r="E682" s="8"/>
      <c r="F682" s="8"/>
      <c r="G682" s="8"/>
      <c r="H682" s="8"/>
      <c r="I682" s="10"/>
      <c r="J682" s="10"/>
      <c r="K682" s="11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9"/>
      <c r="B683" s="8"/>
      <c r="C683" s="8"/>
      <c r="D683" s="8"/>
      <c r="E683" s="8"/>
      <c r="F683" s="8"/>
      <c r="G683" s="8"/>
      <c r="H683" s="8"/>
      <c r="I683" s="10"/>
      <c r="J683" s="10"/>
      <c r="K683" s="11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9"/>
      <c r="B684" s="8"/>
      <c r="C684" s="8"/>
      <c r="D684" s="8"/>
      <c r="E684" s="8"/>
      <c r="F684" s="8"/>
      <c r="G684" s="8"/>
      <c r="H684" s="8"/>
      <c r="I684" s="10"/>
      <c r="J684" s="10"/>
      <c r="K684" s="11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9"/>
      <c r="B685" s="8"/>
      <c r="C685" s="8"/>
      <c r="D685" s="8"/>
      <c r="E685" s="8"/>
      <c r="F685" s="8"/>
      <c r="G685" s="8"/>
      <c r="H685" s="8"/>
      <c r="I685" s="10"/>
      <c r="J685" s="10"/>
      <c r="K685" s="11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9"/>
      <c r="B686" s="8"/>
      <c r="C686" s="8"/>
      <c r="D686" s="8"/>
      <c r="E686" s="8"/>
      <c r="F686" s="8"/>
      <c r="G686" s="8"/>
      <c r="H686" s="8"/>
      <c r="I686" s="10"/>
      <c r="J686" s="10"/>
      <c r="K686" s="11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9"/>
      <c r="B687" s="8"/>
      <c r="C687" s="8"/>
      <c r="D687" s="8"/>
      <c r="E687" s="8"/>
      <c r="F687" s="8"/>
      <c r="G687" s="8"/>
      <c r="H687" s="8"/>
      <c r="I687" s="10"/>
      <c r="J687" s="10"/>
      <c r="K687" s="11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9"/>
      <c r="B688" s="8"/>
      <c r="C688" s="8"/>
      <c r="D688" s="8"/>
      <c r="E688" s="8"/>
      <c r="F688" s="8"/>
      <c r="G688" s="8"/>
      <c r="H688" s="8"/>
      <c r="I688" s="10"/>
      <c r="J688" s="10"/>
      <c r="K688" s="11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9"/>
      <c r="B689" s="8"/>
      <c r="C689" s="8"/>
      <c r="D689" s="8"/>
      <c r="E689" s="8"/>
      <c r="F689" s="8"/>
      <c r="G689" s="8"/>
      <c r="H689" s="8"/>
      <c r="I689" s="10"/>
      <c r="J689" s="10"/>
      <c r="K689" s="11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9"/>
      <c r="B690" s="8"/>
      <c r="C690" s="8"/>
      <c r="D690" s="8"/>
      <c r="E690" s="8"/>
      <c r="F690" s="8"/>
      <c r="G690" s="8"/>
      <c r="H690" s="8"/>
      <c r="I690" s="10"/>
      <c r="J690" s="10"/>
      <c r="K690" s="11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9"/>
      <c r="B691" s="8"/>
      <c r="C691" s="8"/>
      <c r="D691" s="8"/>
      <c r="E691" s="8"/>
      <c r="F691" s="8"/>
      <c r="G691" s="8"/>
      <c r="H691" s="8"/>
      <c r="I691" s="10"/>
      <c r="J691" s="10"/>
      <c r="K691" s="11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9"/>
      <c r="B692" s="8"/>
      <c r="C692" s="8"/>
      <c r="D692" s="8"/>
      <c r="E692" s="8"/>
      <c r="F692" s="8"/>
      <c r="G692" s="8"/>
      <c r="H692" s="8"/>
      <c r="I692" s="10"/>
      <c r="J692" s="10"/>
      <c r="K692" s="11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9"/>
      <c r="B693" s="8"/>
      <c r="C693" s="8"/>
      <c r="D693" s="8"/>
      <c r="E693" s="8"/>
      <c r="F693" s="8"/>
      <c r="G693" s="8"/>
      <c r="H693" s="8"/>
      <c r="I693" s="10"/>
      <c r="J693" s="10"/>
      <c r="K693" s="11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9"/>
      <c r="B694" s="8"/>
      <c r="C694" s="8"/>
      <c r="D694" s="8"/>
      <c r="E694" s="8"/>
      <c r="F694" s="8"/>
      <c r="G694" s="8"/>
      <c r="H694" s="8"/>
      <c r="I694" s="10"/>
      <c r="J694" s="10"/>
      <c r="K694" s="11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9"/>
      <c r="B695" s="8"/>
      <c r="C695" s="8"/>
      <c r="D695" s="8"/>
      <c r="E695" s="8"/>
      <c r="F695" s="8"/>
      <c r="G695" s="8"/>
      <c r="H695" s="8"/>
      <c r="I695" s="10"/>
      <c r="J695" s="10"/>
      <c r="K695" s="11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9"/>
      <c r="B696" s="8"/>
      <c r="C696" s="8"/>
      <c r="D696" s="8"/>
      <c r="E696" s="8"/>
      <c r="F696" s="8"/>
      <c r="G696" s="8"/>
      <c r="H696" s="8"/>
      <c r="I696" s="10"/>
      <c r="J696" s="10"/>
      <c r="K696" s="11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9"/>
      <c r="B697" s="8"/>
      <c r="C697" s="8"/>
      <c r="D697" s="8"/>
      <c r="E697" s="8"/>
      <c r="F697" s="8"/>
      <c r="G697" s="8"/>
      <c r="H697" s="8"/>
      <c r="I697" s="10"/>
      <c r="J697" s="10"/>
      <c r="K697" s="11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9"/>
      <c r="B698" s="8"/>
      <c r="C698" s="8"/>
      <c r="D698" s="8"/>
      <c r="E698" s="8"/>
      <c r="F698" s="8"/>
      <c r="G698" s="8"/>
      <c r="H698" s="8"/>
      <c r="I698" s="10"/>
      <c r="J698" s="10"/>
      <c r="K698" s="11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9"/>
      <c r="B699" s="8"/>
      <c r="C699" s="8"/>
      <c r="D699" s="8"/>
      <c r="E699" s="8"/>
      <c r="F699" s="8"/>
      <c r="G699" s="8"/>
      <c r="H699" s="8"/>
      <c r="I699" s="10"/>
      <c r="J699" s="10"/>
      <c r="K699" s="11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9"/>
      <c r="B700" s="8"/>
      <c r="C700" s="8"/>
      <c r="D700" s="8"/>
      <c r="E700" s="8"/>
      <c r="F700" s="8"/>
      <c r="G700" s="8"/>
      <c r="H700" s="8"/>
      <c r="I700" s="10"/>
      <c r="J700" s="10"/>
      <c r="K700" s="11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9"/>
      <c r="B701" s="8"/>
      <c r="C701" s="8"/>
      <c r="D701" s="8"/>
      <c r="E701" s="8"/>
      <c r="F701" s="8"/>
      <c r="G701" s="8"/>
      <c r="H701" s="8"/>
      <c r="I701" s="10"/>
      <c r="J701" s="10"/>
      <c r="K701" s="11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9"/>
      <c r="B702" s="8"/>
      <c r="C702" s="8"/>
      <c r="D702" s="8"/>
      <c r="E702" s="8"/>
      <c r="F702" s="8"/>
      <c r="G702" s="8"/>
      <c r="H702" s="8"/>
      <c r="I702" s="10"/>
      <c r="J702" s="10"/>
      <c r="K702" s="11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9"/>
      <c r="B703" s="8"/>
      <c r="C703" s="8"/>
      <c r="D703" s="8"/>
      <c r="E703" s="8"/>
      <c r="F703" s="8"/>
      <c r="G703" s="8"/>
      <c r="H703" s="8"/>
      <c r="I703" s="10"/>
      <c r="J703" s="10"/>
      <c r="K703" s="11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9"/>
      <c r="B704" s="8"/>
      <c r="C704" s="8"/>
      <c r="D704" s="8"/>
      <c r="E704" s="8"/>
      <c r="F704" s="8"/>
      <c r="G704" s="8"/>
      <c r="H704" s="8"/>
      <c r="I704" s="10"/>
      <c r="J704" s="10"/>
      <c r="K704" s="11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12"/>
      <c r="B705" s="13"/>
      <c r="C705" s="13"/>
      <c r="D705" s="13"/>
      <c r="E705" s="13"/>
      <c r="F705" s="13"/>
      <c r="G705" s="13"/>
      <c r="H705" s="13"/>
      <c r="I705" s="15"/>
      <c r="J705" s="15"/>
      <c r="K705" s="11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9"/>
      <c r="B706" s="8"/>
      <c r="C706" s="8"/>
      <c r="D706" s="8"/>
      <c r="E706" s="8"/>
      <c r="F706" s="8"/>
      <c r="G706" s="8"/>
      <c r="H706" s="8"/>
      <c r="I706" s="10"/>
      <c r="J706" s="10"/>
      <c r="K706" s="11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9"/>
      <c r="B707" s="8"/>
      <c r="C707" s="8"/>
      <c r="D707" s="8"/>
      <c r="E707" s="8"/>
      <c r="F707" s="8"/>
      <c r="G707" s="8"/>
      <c r="H707" s="8"/>
      <c r="I707" s="10"/>
      <c r="J707" s="10"/>
      <c r="K707" s="11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9"/>
      <c r="B708" s="8"/>
      <c r="C708" s="8"/>
      <c r="D708" s="8"/>
      <c r="E708" s="8"/>
      <c r="F708" s="8"/>
      <c r="G708" s="8"/>
      <c r="H708" s="8"/>
      <c r="I708" s="10"/>
      <c r="J708" s="10"/>
      <c r="K708" s="11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9"/>
      <c r="B709" s="8"/>
      <c r="C709" s="8"/>
      <c r="D709" s="8"/>
      <c r="E709" s="8"/>
      <c r="F709" s="8"/>
      <c r="G709" s="8"/>
      <c r="H709" s="8"/>
      <c r="I709" s="10"/>
      <c r="J709" s="10"/>
      <c r="K709" s="11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9"/>
      <c r="B710" s="8"/>
      <c r="C710" s="8"/>
      <c r="D710" s="8"/>
      <c r="E710" s="8"/>
      <c r="F710" s="8"/>
      <c r="G710" s="8"/>
      <c r="H710" s="8"/>
      <c r="I710" s="10"/>
      <c r="J710" s="10"/>
      <c r="K710" s="11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12"/>
      <c r="B711" s="13"/>
      <c r="C711" s="13"/>
      <c r="D711" s="13"/>
      <c r="E711" s="13"/>
      <c r="F711" s="13"/>
      <c r="G711" s="13"/>
      <c r="H711" s="13"/>
      <c r="I711" s="14"/>
      <c r="J711" s="14"/>
      <c r="K711" s="11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9"/>
      <c r="B712" s="8"/>
      <c r="C712" s="8"/>
      <c r="D712" s="8"/>
      <c r="E712" s="8"/>
      <c r="F712" s="8"/>
      <c r="G712" s="8"/>
      <c r="H712" s="8"/>
      <c r="I712" s="10"/>
      <c r="J712" s="10"/>
      <c r="K712" s="11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9"/>
      <c r="B713" s="8"/>
      <c r="C713" s="8"/>
      <c r="D713" s="8"/>
      <c r="E713" s="8"/>
      <c r="F713" s="8"/>
      <c r="G713" s="8"/>
      <c r="H713" s="8"/>
      <c r="I713" s="10"/>
      <c r="J713" s="10"/>
      <c r="K713" s="11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9"/>
      <c r="B714" s="8"/>
      <c r="C714" s="8"/>
      <c r="D714" s="8"/>
      <c r="E714" s="8"/>
      <c r="F714" s="8"/>
      <c r="G714" s="8"/>
      <c r="H714" s="8"/>
      <c r="I714" s="10"/>
      <c r="J714" s="10"/>
      <c r="K714" s="11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9"/>
      <c r="B715" s="8"/>
      <c r="C715" s="8"/>
      <c r="D715" s="8"/>
      <c r="E715" s="8"/>
      <c r="F715" s="8"/>
      <c r="G715" s="8"/>
      <c r="H715" s="8"/>
      <c r="I715" s="10"/>
      <c r="J715" s="10"/>
      <c r="K715" s="11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9"/>
      <c r="B716" s="8"/>
      <c r="C716" s="8"/>
      <c r="D716" s="8"/>
      <c r="E716" s="8"/>
      <c r="F716" s="8"/>
      <c r="G716" s="8"/>
      <c r="H716" s="8"/>
      <c r="I716" s="10"/>
      <c r="J716" s="10"/>
      <c r="K716" s="11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9"/>
      <c r="B717" s="8"/>
      <c r="C717" s="8"/>
      <c r="D717" s="8"/>
      <c r="E717" s="8"/>
      <c r="F717" s="8"/>
      <c r="G717" s="8"/>
      <c r="H717" s="8"/>
      <c r="I717" s="10"/>
      <c r="J717" s="10"/>
      <c r="K717" s="11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9"/>
      <c r="B718" s="8"/>
      <c r="C718" s="8"/>
      <c r="D718" s="8"/>
      <c r="E718" s="8"/>
      <c r="F718" s="8"/>
      <c r="G718" s="8"/>
      <c r="H718" s="8"/>
      <c r="I718" s="10"/>
      <c r="J718" s="10"/>
      <c r="K718" s="11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9"/>
      <c r="B719" s="8"/>
      <c r="C719" s="8"/>
      <c r="D719" s="8"/>
      <c r="E719" s="8"/>
      <c r="F719" s="8"/>
      <c r="G719" s="8"/>
      <c r="H719" s="8"/>
      <c r="I719" s="10"/>
      <c r="J719" s="10"/>
      <c r="K719" s="11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9"/>
      <c r="B720" s="8"/>
      <c r="C720" s="8"/>
      <c r="D720" s="8"/>
      <c r="E720" s="8"/>
      <c r="F720" s="8"/>
      <c r="G720" s="8"/>
      <c r="H720" s="8"/>
      <c r="I720" s="10"/>
      <c r="J720" s="10"/>
      <c r="K720" s="11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9"/>
      <c r="B721" s="8"/>
      <c r="C721" s="8"/>
      <c r="D721" s="8"/>
      <c r="E721" s="8"/>
      <c r="F721" s="8"/>
      <c r="G721" s="8"/>
      <c r="H721" s="8"/>
      <c r="I721" s="10"/>
      <c r="J721" s="10"/>
      <c r="K721" s="11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9"/>
      <c r="B722" s="8"/>
      <c r="C722" s="8"/>
      <c r="D722" s="8"/>
      <c r="E722" s="8"/>
      <c r="F722" s="8"/>
      <c r="G722" s="8"/>
      <c r="H722" s="8"/>
      <c r="I722" s="10"/>
      <c r="J722" s="10"/>
      <c r="K722" s="11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9"/>
      <c r="B723" s="8"/>
      <c r="C723" s="8"/>
      <c r="D723" s="8"/>
      <c r="E723" s="8"/>
      <c r="F723" s="8"/>
      <c r="G723" s="8"/>
      <c r="H723" s="8"/>
      <c r="I723" s="10"/>
      <c r="J723" s="10"/>
      <c r="K723" s="11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9"/>
      <c r="B724" s="8"/>
      <c r="C724" s="8"/>
      <c r="D724" s="8"/>
      <c r="E724" s="8"/>
      <c r="F724" s="8"/>
      <c r="G724" s="8"/>
      <c r="H724" s="8"/>
      <c r="I724" s="10"/>
      <c r="J724" s="10"/>
      <c r="K724" s="11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9"/>
      <c r="B725" s="8"/>
      <c r="C725" s="8"/>
      <c r="D725" s="8"/>
      <c r="E725" s="8"/>
      <c r="F725" s="8"/>
      <c r="G725" s="8"/>
      <c r="H725" s="8"/>
      <c r="I725" s="10"/>
      <c r="J725" s="10"/>
      <c r="K725" s="11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9"/>
      <c r="B726" s="8"/>
      <c r="C726" s="8"/>
      <c r="D726" s="8"/>
      <c r="E726" s="8"/>
      <c r="F726" s="8"/>
      <c r="G726" s="8"/>
      <c r="H726" s="8"/>
      <c r="I726" s="10"/>
      <c r="J726" s="10"/>
      <c r="K726" s="11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9"/>
      <c r="B727" s="8"/>
      <c r="C727" s="8"/>
      <c r="D727" s="8"/>
      <c r="E727" s="8"/>
      <c r="F727" s="8"/>
      <c r="G727" s="8"/>
      <c r="H727" s="8"/>
      <c r="I727" s="10"/>
      <c r="J727" s="10"/>
      <c r="K727" s="11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9"/>
      <c r="B728" s="8"/>
      <c r="C728" s="8"/>
      <c r="D728" s="8"/>
      <c r="E728" s="8"/>
      <c r="F728" s="8"/>
      <c r="G728" s="8"/>
      <c r="H728" s="8"/>
      <c r="I728" s="10"/>
      <c r="J728" s="10"/>
      <c r="K728" s="11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9"/>
      <c r="B729" s="8"/>
      <c r="C729" s="8"/>
      <c r="D729" s="8"/>
      <c r="E729" s="8"/>
      <c r="F729" s="8"/>
      <c r="G729" s="8"/>
      <c r="H729" s="8"/>
      <c r="I729" s="10"/>
      <c r="J729" s="10"/>
      <c r="K729" s="11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9"/>
      <c r="B730" s="8"/>
      <c r="C730" s="8"/>
      <c r="D730" s="8"/>
      <c r="E730" s="8"/>
      <c r="F730" s="8"/>
      <c r="G730" s="8"/>
      <c r="H730" s="8"/>
      <c r="I730" s="10"/>
      <c r="J730" s="10"/>
      <c r="K730" s="11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9"/>
      <c r="B731" s="8"/>
      <c r="C731" s="8"/>
      <c r="D731" s="8"/>
      <c r="E731" s="8"/>
      <c r="F731" s="8"/>
      <c r="G731" s="8"/>
      <c r="H731" s="8"/>
      <c r="I731" s="10"/>
      <c r="J731" s="10"/>
      <c r="K731" s="11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9"/>
      <c r="B732" s="8"/>
      <c r="C732" s="8"/>
      <c r="D732" s="8"/>
      <c r="E732" s="8"/>
      <c r="F732" s="8"/>
      <c r="G732" s="8"/>
      <c r="H732" s="8"/>
      <c r="I732" s="10"/>
      <c r="J732" s="10"/>
      <c r="K732" s="11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9"/>
      <c r="B733" s="8"/>
      <c r="C733" s="8"/>
      <c r="D733" s="8"/>
      <c r="E733" s="8"/>
      <c r="F733" s="8"/>
      <c r="G733" s="8"/>
      <c r="H733" s="8"/>
      <c r="I733" s="10"/>
      <c r="J733" s="10"/>
      <c r="K733" s="11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9"/>
      <c r="B734" s="8"/>
      <c r="C734" s="8"/>
      <c r="D734" s="8"/>
      <c r="E734" s="8"/>
      <c r="F734" s="8"/>
      <c r="G734" s="8"/>
      <c r="H734" s="8"/>
      <c r="I734" s="10"/>
      <c r="J734" s="10"/>
      <c r="K734" s="11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12"/>
      <c r="B735" s="13"/>
      <c r="C735" s="13"/>
      <c r="D735" s="13"/>
      <c r="E735" s="13"/>
      <c r="F735" s="13"/>
      <c r="G735" s="13"/>
      <c r="H735" s="13"/>
      <c r="I735" s="15"/>
      <c r="J735" s="15"/>
      <c r="K735" s="11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9"/>
      <c r="B736" s="8"/>
      <c r="C736" s="8"/>
      <c r="D736" s="8"/>
      <c r="E736" s="8"/>
      <c r="F736" s="8"/>
      <c r="G736" s="8"/>
      <c r="H736" s="8"/>
      <c r="I736" s="10"/>
      <c r="J736" s="10"/>
      <c r="K736" s="11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9"/>
      <c r="B737" s="8"/>
      <c r="C737" s="8"/>
      <c r="D737" s="8"/>
      <c r="E737" s="8"/>
      <c r="F737" s="8"/>
      <c r="G737" s="8"/>
      <c r="H737" s="8"/>
      <c r="I737" s="10"/>
      <c r="J737" s="10"/>
      <c r="K737" s="11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9"/>
      <c r="B738" s="8"/>
      <c r="C738" s="8"/>
      <c r="D738" s="8"/>
      <c r="E738" s="8"/>
      <c r="F738" s="8"/>
      <c r="G738" s="8"/>
      <c r="H738" s="8"/>
      <c r="I738" s="10"/>
      <c r="J738" s="10"/>
      <c r="K738" s="11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9"/>
      <c r="B739" s="8"/>
      <c r="C739" s="8"/>
      <c r="D739" s="8"/>
      <c r="E739" s="8"/>
      <c r="F739" s="8"/>
      <c r="G739" s="8"/>
      <c r="H739" s="8"/>
      <c r="I739" s="10"/>
      <c r="J739" s="10"/>
      <c r="K739" s="11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9"/>
      <c r="B740" s="8"/>
      <c r="C740" s="8"/>
      <c r="D740" s="8"/>
      <c r="E740" s="8"/>
      <c r="F740" s="8"/>
      <c r="G740" s="8"/>
      <c r="H740" s="8"/>
      <c r="I740" s="10"/>
      <c r="J740" s="10"/>
      <c r="K740" s="11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9"/>
      <c r="B741" s="8"/>
      <c r="C741" s="8"/>
      <c r="D741" s="8"/>
      <c r="E741" s="8"/>
      <c r="F741" s="8"/>
      <c r="G741" s="8"/>
      <c r="H741" s="8"/>
      <c r="I741" s="10"/>
      <c r="J741" s="10"/>
      <c r="K741" s="11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9"/>
      <c r="B742" s="8"/>
      <c r="C742" s="8"/>
      <c r="D742" s="8"/>
      <c r="E742" s="8"/>
      <c r="F742" s="8"/>
      <c r="G742" s="8"/>
      <c r="H742" s="8"/>
      <c r="I742" s="10"/>
      <c r="J742" s="10"/>
      <c r="K742" s="11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9"/>
      <c r="B743" s="8"/>
      <c r="C743" s="8"/>
      <c r="D743" s="8"/>
      <c r="E743" s="8"/>
      <c r="F743" s="8"/>
      <c r="G743" s="8"/>
      <c r="H743" s="8"/>
      <c r="I743" s="10"/>
      <c r="J743" s="10"/>
      <c r="K743" s="11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9"/>
      <c r="B744" s="8"/>
      <c r="C744" s="8"/>
      <c r="D744" s="8"/>
      <c r="E744" s="8"/>
      <c r="F744" s="8"/>
      <c r="G744" s="8"/>
      <c r="H744" s="8"/>
      <c r="I744" s="10"/>
      <c r="J744" s="10"/>
      <c r="K744" s="11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9"/>
      <c r="B745" s="8"/>
      <c r="C745" s="8"/>
      <c r="D745" s="8"/>
      <c r="E745" s="8"/>
      <c r="F745" s="8"/>
      <c r="G745" s="8"/>
      <c r="H745" s="8"/>
      <c r="I745" s="10"/>
      <c r="J745" s="10"/>
      <c r="K745" s="11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9"/>
      <c r="B746" s="8"/>
      <c r="C746" s="8"/>
      <c r="D746" s="8"/>
      <c r="E746" s="8"/>
      <c r="F746" s="8"/>
      <c r="G746" s="8"/>
      <c r="H746" s="8"/>
      <c r="I746" s="10"/>
      <c r="J746" s="10"/>
      <c r="K746" s="11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9"/>
      <c r="B747" s="8"/>
      <c r="C747" s="8"/>
      <c r="D747" s="8"/>
      <c r="E747" s="8"/>
      <c r="F747" s="8"/>
      <c r="G747" s="8"/>
      <c r="H747" s="8"/>
      <c r="I747" s="10"/>
      <c r="J747" s="10"/>
      <c r="K747" s="11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9"/>
      <c r="B748" s="8"/>
      <c r="C748" s="8"/>
      <c r="D748" s="8"/>
      <c r="E748" s="8"/>
      <c r="F748" s="8"/>
      <c r="G748" s="8"/>
      <c r="H748" s="8"/>
      <c r="I748" s="10"/>
      <c r="J748" s="10"/>
      <c r="K748" s="11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9"/>
      <c r="B749" s="8"/>
      <c r="C749" s="8"/>
      <c r="D749" s="8"/>
      <c r="E749" s="8"/>
      <c r="F749" s="8"/>
      <c r="G749" s="8"/>
      <c r="H749" s="8"/>
      <c r="I749" s="10"/>
      <c r="J749" s="10"/>
      <c r="K749" s="11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9"/>
      <c r="B750" s="8"/>
      <c r="C750" s="8"/>
      <c r="D750" s="8"/>
      <c r="E750" s="8"/>
      <c r="F750" s="8"/>
      <c r="G750" s="8"/>
      <c r="H750" s="8"/>
      <c r="I750" s="10"/>
      <c r="J750" s="10"/>
      <c r="K750" s="11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9"/>
      <c r="B751" s="8"/>
      <c r="C751" s="8"/>
      <c r="D751" s="8"/>
      <c r="E751" s="8"/>
      <c r="F751" s="8"/>
      <c r="G751" s="8"/>
      <c r="H751" s="8"/>
      <c r="I751" s="10"/>
      <c r="J751" s="10"/>
      <c r="K751" s="11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9"/>
      <c r="B752" s="8"/>
      <c r="C752" s="8"/>
      <c r="D752" s="8"/>
      <c r="E752" s="8"/>
      <c r="F752" s="8"/>
      <c r="G752" s="8"/>
      <c r="H752" s="8"/>
      <c r="I752" s="10"/>
      <c r="J752" s="10"/>
      <c r="K752" s="11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9"/>
      <c r="B753" s="8"/>
      <c r="C753" s="8"/>
      <c r="D753" s="8"/>
      <c r="E753" s="8"/>
      <c r="F753" s="8"/>
      <c r="G753" s="8"/>
      <c r="H753" s="8"/>
      <c r="I753" s="10"/>
      <c r="J753" s="10"/>
      <c r="K753" s="11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9"/>
      <c r="B754" s="8"/>
      <c r="C754" s="8"/>
      <c r="D754" s="8"/>
      <c r="E754" s="8"/>
      <c r="F754" s="8"/>
      <c r="G754" s="8"/>
      <c r="H754" s="8"/>
      <c r="I754" s="10"/>
      <c r="J754" s="10"/>
      <c r="K754" s="11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9"/>
      <c r="B755" s="8"/>
      <c r="C755" s="8"/>
      <c r="D755" s="8"/>
      <c r="E755" s="8"/>
      <c r="F755" s="8"/>
      <c r="G755" s="8"/>
      <c r="H755" s="8"/>
      <c r="I755" s="10"/>
      <c r="J755" s="10"/>
      <c r="K755" s="11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9"/>
      <c r="B756" s="8"/>
      <c r="C756" s="8"/>
      <c r="D756" s="8"/>
      <c r="E756" s="8"/>
      <c r="F756" s="8"/>
      <c r="G756" s="8"/>
      <c r="H756" s="8"/>
      <c r="I756" s="10"/>
      <c r="J756" s="10"/>
      <c r="K756" s="11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9"/>
      <c r="B757" s="8"/>
      <c r="C757" s="8"/>
      <c r="D757" s="8"/>
      <c r="E757" s="8"/>
      <c r="F757" s="8"/>
      <c r="G757" s="8"/>
      <c r="H757" s="8"/>
      <c r="I757" s="10"/>
      <c r="J757" s="10"/>
      <c r="K757" s="11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9"/>
      <c r="B758" s="8"/>
      <c r="C758" s="8"/>
      <c r="D758" s="8"/>
      <c r="E758" s="8"/>
      <c r="F758" s="8"/>
      <c r="G758" s="8"/>
      <c r="H758" s="8"/>
      <c r="I758" s="10"/>
      <c r="J758" s="10"/>
      <c r="K758" s="11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9"/>
      <c r="B759" s="8"/>
      <c r="C759" s="8"/>
      <c r="D759" s="8"/>
      <c r="E759" s="8"/>
      <c r="F759" s="8"/>
      <c r="G759" s="8"/>
      <c r="H759" s="8"/>
      <c r="I759" s="10"/>
      <c r="J759" s="10"/>
      <c r="K759" s="11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9"/>
      <c r="B760" s="8"/>
      <c r="C760" s="8"/>
      <c r="D760" s="8"/>
      <c r="E760" s="8"/>
      <c r="F760" s="8"/>
      <c r="G760" s="8"/>
      <c r="H760" s="8"/>
      <c r="I760" s="10"/>
      <c r="J760" s="10"/>
      <c r="K760" s="11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9"/>
      <c r="B761" s="8"/>
      <c r="C761" s="8"/>
      <c r="D761" s="8"/>
      <c r="E761" s="8"/>
      <c r="F761" s="8"/>
      <c r="G761" s="8"/>
      <c r="H761" s="8"/>
      <c r="I761" s="10"/>
      <c r="J761" s="10"/>
      <c r="K761" s="11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9"/>
      <c r="B762" s="8"/>
      <c r="C762" s="8"/>
      <c r="D762" s="8"/>
      <c r="E762" s="8"/>
      <c r="F762" s="8"/>
      <c r="G762" s="8"/>
      <c r="H762" s="8"/>
      <c r="I762" s="10"/>
      <c r="J762" s="10"/>
      <c r="K762" s="11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9"/>
      <c r="B763" s="8"/>
      <c r="C763" s="8"/>
      <c r="D763" s="8"/>
      <c r="E763" s="8"/>
      <c r="F763" s="8"/>
      <c r="G763" s="8"/>
      <c r="H763" s="8"/>
      <c r="I763" s="10"/>
      <c r="J763" s="10"/>
      <c r="K763" s="11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9"/>
      <c r="B764" s="8"/>
      <c r="C764" s="8"/>
      <c r="D764" s="8"/>
      <c r="E764" s="8"/>
      <c r="F764" s="8"/>
      <c r="G764" s="8"/>
      <c r="H764" s="8"/>
      <c r="I764" s="10"/>
      <c r="J764" s="10"/>
      <c r="K764" s="11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9"/>
      <c r="B765" s="8"/>
      <c r="C765" s="8"/>
      <c r="D765" s="8"/>
      <c r="E765" s="8"/>
      <c r="F765" s="8"/>
      <c r="G765" s="8"/>
      <c r="H765" s="8"/>
      <c r="I765" s="10"/>
      <c r="J765" s="10"/>
      <c r="K765" s="11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9"/>
      <c r="B766" s="8"/>
      <c r="C766" s="8"/>
      <c r="D766" s="8"/>
      <c r="E766" s="8"/>
      <c r="F766" s="8"/>
      <c r="G766" s="8"/>
      <c r="H766" s="8"/>
      <c r="I766" s="10"/>
      <c r="J766" s="10"/>
      <c r="K766" s="11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9"/>
      <c r="B767" s="8"/>
      <c r="C767" s="8"/>
      <c r="D767" s="8"/>
      <c r="E767" s="8"/>
      <c r="F767" s="8"/>
      <c r="G767" s="8"/>
      <c r="H767" s="8"/>
      <c r="I767" s="10"/>
      <c r="J767" s="10"/>
      <c r="K767" s="11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9"/>
      <c r="B768" s="8"/>
      <c r="C768" s="8"/>
      <c r="D768" s="8"/>
      <c r="E768" s="8"/>
      <c r="F768" s="8"/>
      <c r="G768" s="8"/>
      <c r="H768" s="8"/>
      <c r="I768" s="10"/>
      <c r="J768" s="10"/>
      <c r="K768" s="11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9"/>
      <c r="B769" s="8"/>
      <c r="C769" s="8"/>
      <c r="D769" s="8"/>
      <c r="E769" s="8"/>
      <c r="F769" s="8"/>
      <c r="G769" s="8"/>
      <c r="H769" s="8"/>
      <c r="I769" s="10"/>
      <c r="J769" s="10"/>
      <c r="K769" s="11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9"/>
      <c r="B770" s="8"/>
      <c r="C770" s="8"/>
      <c r="D770" s="8"/>
      <c r="E770" s="8"/>
      <c r="F770" s="8"/>
      <c r="G770" s="8"/>
      <c r="H770" s="8"/>
      <c r="I770" s="10"/>
      <c r="J770" s="10"/>
      <c r="K770" s="11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9"/>
      <c r="B771" s="8"/>
      <c r="C771" s="8"/>
      <c r="D771" s="8"/>
      <c r="E771" s="8"/>
      <c r="F771" s="8"/>
      <c r="G771" s="8"/>
      <c r="H771" s="8"/>
      <c r="I771" s="10"/>
      <c r="J771" s="10"/>
      <c r="K771" s="11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9"/>
      <c r="B772" s="8"/>
      <c r="C772" s="8"/>
      <c r="D772" s="8"/>
      <c r="E772" s="8"/>
      <c r="F772" s="8"/>
      <c r="G772" s="8"/>
      <c r="H772" s="8"/>
      <c r="I772" s="10"/>
      <c r="J772" s="10"/>
      <c r="K772" s="11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9"/>
      <c r="B773" s="8"/>
      <c r="C773" s="8"/>
      <c r="D773" s="8"/>
      <c r="E773" s="8"/>
      <c r="F773" s="8"/>
      <c r="G773" s="8"/>
      <c r="H773" s="8"/>
      <c r="I773" s="10"/>
      <c r="J773" s="10"/>
      <c r="K773" s="11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9"/>
      <c r="B774" s="8"/>
      <c r="C774" s="8"/>
      <c r="D774" s="8"/>
      <c r="E774" s="8"/>
      <c r="F774" s="8"/>
      <c r="G774" s="8"/>
      <c r="H774" s="8"/>
      <c r="I774" s="10"/>
      <c r="J774" s="10"/>
      <c r="K774" s="11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9"/>
      <c r="B775" s="8"/>
      <c r="C775" s="8"/>
      <c r="D775" s="8"/>
      <c r="E775" s="8"/>
      <c r="F775" s="8"/>
      <c r="G775" s="8"/>
      <c r="H775" s="8"/>
      <c r="I775" s="10"/>
      <c r="J775" s="10"/>
      <c r="K775" s="11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9"/>
      <c r="B776" s="8"/>
      <c r="C776" s="8"/>
      <c r="D776" s="8"/>
      <c r="E776" s="8"/>
      <c r="F776" s="8"/>
      <c r="G776" s="8"/>
      <c r="H776" s="8"/>
      <c r="I776" s="10"/>
      <c r="J776" s="10"/>
      <c r="K776" s="11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9"/>
      <c r="B777" s="8"/>
      <c r="C777" s="8"/>
      <c r="D777" s="8"/>
      <c r="E777" s="8"/>
      <c r="F777" s="8"/>
      <c r="G777" s="8"/>
      <c r="H777" s="8"/>
      <c r="I777" s="10"/>
      <c r="J777" s="10"/>
      <c r="K777" s="11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9"/>
      <c r="B778" s="8"/>
      <c r="C778" s="8"/>
      <c r="D778" s="8"/>
      <c r="E778" s="8"/>
      <c r="F778" s="8"/>
      <c r="G778" s="8"/>
      <c r="H778" s="8"/>
      <c r="I778" s="10"/>
      <c r="J778" s="10"/>
      <c r="K778" s="11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9"/>
      <c r="B779" s="8"/>
      <c r="C779" s="8"/>
      <c r="D779" s="8"/>
      <c r="E779" s="8"/>
      <c r="F779" s="8"/>
      <c r="G779" s="8"/>
      <c r="H779" s="8"/>
      <c r="I779" s="10"/>
      <c r="J779" s="10"/>
      <c r="K779" s="11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9"/>
      <c r="B780" s="8"/>
      <c r="C780" s="8"/>
      <c r="D780" s="8"/>
      <c r="E780" s="8"/>
      <c r="F780" s="8"/>
      <c r="G780" s="8"/>
      <c r="H780" s="8"/>
      <c r="I780" s="10"/>
      <c r="J780" s="10"/>
      <c r="K780" s="11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9"/>
      <c r="B781" s="8"/>
      <c r="C781" s="8"/>
      <c r="D781" s="8"/>
      <c r="E781" s="8"/>
      <c r="F781" s="8"/>
      <c r="G781" s="8"/>
      <c r="H781" s="8"/>
      <c r="I781" s="10"/>
      <c r="J781" s="10"/>
      <c r="K781" s="11"/>
      <c r="L781" s="16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9"/>
      <c r="B782" s="8"/>
      <c r="C782" s="8"/>
      <c r="D782" s="8"/>
      <c r="E782" s="8"/>
      <c r="F782" s="8"/>
      <c r="G782" s="8"/>
      <c r="H782" s="8"/>
      <c r="I782" s="10"/>
      <c r="J782" s="10"/>
      <c r="K782" s="11"/>
      <c r="L782" s="16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9"/>
      <c r="B783" s="8"/>
      <c r="C783" s="8"/>
      <c r="D783" s="8"/>
      <c r="E783" s="8"/>
      <c r="F783" s="8"/>
      <c r="G783" s="8"/>
      <c r="H783" s="8"/>
      <c r="I783" s="10"/>
      <c r="J783" s="10"/>
      <c r="K783" s="11"/>
      <c r="L783" s="16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9"/>
      <c r="B784" s="8"/>
      <c r="C784" s="8"/>
      <c r="D784" s="8"/>
      <c r="E784" s="8"/>
      <c r="F784" s="8"/>
      <c r="G784" s="8"/>
      <c r="H784" s="8"/>
      <c r="I784" s="10"/>
      <c r="J784" s="10"/>
      <c r="K784" s="11"/>
      <c r="L784" s="16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9"/>
      <c r="B785" s="8"/>
      <c r="C785" s="8"/>
      <c r="D785" s="8"/>
      <c r="E785" s="8"/>
      <c r="F785" s="8"/>
      <c r="G785" s="8"/>
      <c r="H785" s="8"/>
      <c r="I785" s="10"/>
      <c r="J785" s="10"/>
      <c r="K785" s="11"/>
      <c r="L785" s="16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9"/>
      <c r="B786" s="8"/>
      <c r="C786" s="8"/>
      <c r="D786" s="8"/>
      <c r="E786" s="8"/>
      <c r="F786" s="8"/>
      <c r="G786" s="8"/>
      <c r="H786" s="8"/>
      <c r="I786" s="10"/>
      <c r="J786" s="10"/>
      <c r="K786" s="11"/>
      <c r="L786" s="16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9"/>
      <c r="B787" s="8"/>
      <c r="C787" s="8"/>
      <c r="D787" s="8"/>
      <c r="E787" s="8"/>
      <c r="F787" s="8"/>
      <c r="G787" s="8"/>
      <c r="H787" s="8"/>
      <c r="I787" s="10"/>
      <c r="J787" s="10"/>
      <c r="K787" s="11"/>
      <c r="L787" s="16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9"/>
      <c r="B788" s="8"/>
      <c r="C788" s="8"/>
      <c r="D788" s="8"/>
      <c r="E788" s="8"/>
      <c r="F788" s="8"/>
      <c r="G788" s="8"/>
      <c r="H788" s="8"/>
      <c r="I788" s="10"/>
      <c r="J788" s="10"/>
      <c r="K788" s="11"/>
      <c r="L788" s="16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9"/>
      <c r="B789" s="8"/>
      <c r="C789" s="8"/>
      <c r="D789" s="8"/>
      <c r="E789" s="8"/>
      <c r="F789" s="8"/>
      <c r="G789" s="8"/>
      <c r="H789" s="8"/>
      <c r="I789" s="10"/>
      <c r="J789" s="10"/>
      <c r="K789" s="11"/>
      <c r="L789" s="16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9"/>
      <c r="B790" s="8"/>
      <c r="C790" s="8"/>
      <c r="D790" s="8"/>
      <c r="E790" s="8"/>
      <c r="F790" s="8"/>
      <c r="G790" s="8"/>
      <c r="H790" s="8"/>
      <c r="I790" s="10"/>
      <c r="J790" s="10"/>
      <c r="K790" s="11"/>
      <c r="L790" s="16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9"/>
      <c r="B791" s="8"/>
      <c r="C791" s="8"/>
      <c r="D791" s="8"/>
      <c r="E791" s="8"/>
      <c r="F791" s="8"/>
      <c r="G791" s="8"/>
      <c r="H791" s="8"/>
      <c r="I791" s="10"/>
      <c r="J791" s="10"/>
      <c r="K791" s="11"/>
      <c r="L791" s="16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9"/>
      <c r="B792" s="8"/>
      <c r="C792" s="8"/>
      <c r="D792" s="8"/>
      <c r="E792" s="8"/>
      <c r="F792" s="8"/>
      <c r="G792" s="8"/>
      <c r="H792" s="8"/>
      <c r="I792" s="10"/>
      <c r="J792" s="10"/>
      <c r="K792" s="11"/>
      <c r="L792" s="16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9"/>
      <c r="B793" s="8"/>
      <c r="C793" s="8"/>
      <c r="D793" s="8"/>
      <c r="E793" s="8"/>
      <c r="F793" s="8"/>
      <c r="G793" s="8"/>
      <c r="H793" s="8"/>
      <c r="I793" s="10"/>
      <c r="J793" s="10"/>
      <c r="K793" s="11"/>
      <c r="L793" s="16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9"/>
      <c r="B794" s="8"/>
      <c r="C794" s="8"/>
      <c r="D794" s="8"/>
      <c r="E794" s="8"/>
      <c r="F794" s="8"/>
      <c r="G794" s="8"/>
      <c r="H794" s="8"/>
      <c r="I794" s="10"/>
      <c r="J794" s="10"/>
      <c r="K794" s="11"/>
      <c r="L794" s="16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9"/>
      <c r="B795" s="8"/>
      <c r="C795" s="8"/>
      <c r="D795" s="8"/>
      <c r="E795" s="8"/>
      <c r="F795" s="8"/>
      <c r="G795" s="8"/>
      <c r="H795" s="8"/>
      <c r="I795" s="10"/>
      <c r="J795" s="10"/>
      <c r="K795" s="11"/>
      <c r="L795" s="16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9"/>
      <c r="B796" s="8"/>
      <c r="C796" s="8"/>
      <c r="D796" s="8"/>
      <c r="E796" s="8"/>
      <c r="F796" s="8"/>
      <c r="G796" s="8"/>
      <c r="H796" s="8"/>
      <c r="I796" s="10"/>
      <c r="J796" s="10"/>
      <c r="K796" s="11"/>
      <c r="L796" s="16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9"/>
      <c r="B797" s="8"/>
      <c r="C797" s="8"/>
      <c r="D797" s="8"/>
      <c r="E797" s="8"/>
      <c r="F797" s="8"/>
      <c r="G797" s="8"/>
      <c r="H797" s="8"/>
      <c r="I797" s="10"/>
      <c r="J797" s="10"/>
      <c r="K797" s="11"/>
      <c r="L797" s="16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9"/>
      <c r="B798" s="8"/>
      <c r="C798" s="8"/>
      <c r="D798" s="8"/>
      <c r="E798" s="8"/>
      <c r="F798" s="8"/>
      <c r="G798" s="8"/>
      <c r="H798" s="8"/>
      <c r="I798" s="10"/>
      <c r="J798" s="10"/>
      <c r="K798" s="11"/>
      <c r="L798" s="16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9"/>
      <c r="B799" s="8"/>
      <c r="C799" s="8"/>
      <c r="D799" s="8"/>
      <c r="E799" s="8"/>
      <c r="F799" s="8"/>
      <c r="G799" s="8"/>
      <c r="H799" s="8"/>
      <c r="I799" s="10"/>
      <c r="J799" s="10"/>
      <c r="K799" s="11"/>
      <c r="L799" s="16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9"/>
      <c r="B800" s="8"/>
      <c r="C800" s="8"/>
      <c r="D800" s="8"/>
      <c r="E800" s="8"/>
      <c r="F800" s="8"/>
      <c r="G800" s="8"/>
      <c r="H800" s="8"/>
      <c r="I800" s="10"/>
      <c r="J800" s="10"/>
      <c r="K800" s="11"/>
      <c r="L800" s="16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9"/>
      <c r="B801" s="8"/>
      <c r="C801" s="8"/>
      <c r="D801" s="8"/>
      <c r="E801" s="8"/>
      <c r="F801" s="8"/>
      <c r="G801" s="8"/>
      <c r="H801" s="8"/>
      <c r="I801" s="10"/>
      <c r="J801" s="10"/>
      <c r="K801" s="11"/>
      <c r="L801" s="16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9"/>
      <c r="B802" s="8"/>
      <c r="C802" s="8"/>
      <c r="D802" s="8"/>
      <c r="E802" s="8"/>
      <c r="F802" s="8"/>
      <c r="G802" s="8"/>
      <c r="H802" s="8"/>
      <c r="I802" s="10"/>
      <c r="J802" s="10"/>
      <c r="K802" s="11"/>
      <c r="L802" s="17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9"/>
      <c r="B803" s="8"/>
      <c r="C803" s="8"/>
      <c r="D803" s="8"/>
      <c r="E803" s="8"/>
      <c r="F803" s="8"/>
      <c r="G803" s="8"/>
      <c r="H803" s="8"/>
      <c r="I803" s="10"/>
      <c r="J803" s="10"/>
      <c r="K803" s="11"/>
      <c r="L803" s="17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9"/>
      <c r="B804" s="8"/>
      <c r="C804" s="8"/>
      <c r="D804" s="8"/>
      <c r="E804" s="8"/>
      <c r="F804" s="8"/>
      <c r="G804" s="8"/>
      <c r="H804" s="8"/>
      <c r="I804" s="10"/>
      <c r="J804" s="10"/>
      <c r="K804" s="11"/>
      <c r="L804" s="17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9"/>
      <c r="B805" s="8"/>
      <c r="C805" s="8"/>
      <c r="D805" s="8"/>
      <c r="E805" s="8"/>
      <c r="F805" s="8"/>
      <c r="G805" s="8"/>
      <c r="H805" s="8"/>
      <c r="I805" s="10"/>
      <c r="J805" s="10"/>
      <c r="K805" s="11"/>
      <c r="L805" s="17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9"/>
      <c r="B806" s="8"/>
      <c r="C806" s="8"/>
      <c r="D806" s="8"/>
      <c r="E806" s="8"/>
      <c r="F806" s="8"/>
      <c r="G806" s="8"/>
      <c r="H806" s="8"/>
      <c r="I806" s="10"/>
      <c r="J806" s="10"/>
      <c r="K806" s="11"/>
      <c r="L806" s="17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9"/>
      <c r="B807" s="8"/>
      <c r="C807" s="8"/>
      <c r="D807" s="8"/>
      <c r="E807" s="8"/>
      <c r="F807" s="8"/>
      <c r="G807" s="8"/>
      <c r="H807" s="8"/>
      <c r="I807" s="10"/>
      <c r="J807" s="10"/>
      <c r="K807" s="11"/>
      <c r="L807" s="17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9"/>
      <c r="B808" s="8"/>
      <c r="C808" s="8"/>
      <c r="D808" s="8"/>
      <c r="E808" s="8"/>
      <c r="F808" s="8"/>
      <c r="G808" s="8"/>
      <c r="H808" s="8"/>
      <c r="I808" s="10"/>
      <c r="J808" s="10"/>
      <c r="K808" s="11"/>
      <c r="L808" s="17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9"/>
      <c r="B809" s="8"/>
      <c r="C809" s="8"/>
      <c r="D809" s="8"/>
      <c r="E809" s="8"/>
      <c r="F809" s="8"/>
      <c r="G809" s="8"/>
      <c r="H809" s="8"/>
      <c r="I809" s="10"/>
      <c r="J809" s="10"/>
      <c r="K809" s="11"/>
      <c r="L809" s="17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9"/>
      <c r="B810" s="8"/>
      <c r="C810" s="8"/>
      <c r="D810" s="8"/>
      <c r="E810" s="8"/>
      <c r="F810" s="8"/>
      <c r="G810" s="8"/>
      <c r="H810" s="8"/>
      <c r="I810" s="10"/>
      <c r="J810" s="10"/>
      <c r="K810" s="11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9"/>
      <c r="B811" s="8"/>
      <c r="C811" s="8"/>
      <c r="D811" s="8"/>
      <c r="E811" s="8"/>
      <c r="F811" s="8"/>
      <c r="G811" s="8"/>
      <c r="H811" s="8"/>
      <c r="I811" s="10"/>
      <c r="J811" s="10"/>
      <c r="K811" s="11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9"/>
      <c r="B812" s="8"/>
      <c r="C812" s="8"/>
      <c r="D812" s="8"/>
      <c r="E812" s="8"/>
      <c r="F812" s="8"/>
      <c r="G812" s="8"/>
      <c r="H812" s="8"/>
      <c r="I812" s="10"/>
      <c r="J812" s="10"/>
      <c r="K812" s="11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9"/>
      <c r="B813" s="8"/>
      <c r="C813" s="8"/>
      <c r="D813" s="8"/>
      <c r="E813" s="8"/>
      <c r="F813" s="8"/>
      <c r="G813" s="8"/>
      <c r="H813" s="8"/>
      <c r="I813" s="10"/>
      <c r="J813" s="10"/>
      <c r="K813" s="11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9"/>
      <c r="B814" s="8"/>
      <c r="C814" s="8"/>
      <c r="D814" s="8"/>
      <c r="E814" s="8"/>
      <c r="F814" s="8"/>
      <c r="G814" s="8"/>
      <c r="H814" s="8"/>
      <c r="I814" s="10"/>
      <c r="J814" s="10"/>
      <c r="K814" s="11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9"/>
      <c r="B815" s="8"/>
      <c r="C815" s="8"/>
      <c r="D815" s="8"/>
      <c r="E815" s="8"/>
      <c r="F815" s="8"/>
      <c r="G815" s="8"/>
      <c r="H815" s="8"/>
      <c r="I815" s="10"/>
      <c r="J815" s="10"/>
      <c r="K815" s="11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9"/>
      <c r="B816" s="8"/>
      <c r="C816" s="8"/>
      <c r="D816" s="8"/>
      <c r="E816" s="8"/>
      <c r="F816" s="8"/>
      <c r="G816" s="8"/>
      <c r="H816" s="8"/>
      <c r="I816" s="10"/>
      <c r="J816" s="10"/>
      <c r="K816" s="11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9"/>
      <c r="B817" s="8"/>
      <c r="C817" s="8"/>
      <c r="D817" s="8"/>
      <c r="E817" s="8"/>
      <c r="F817" s="8"/>
      <c r="G817" s="8"/>
      <c r="H817" s="8"/>
      <c r="I817" s="10"/>
      <c r="J817" s="10"/>
      <c r="K817" s="11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9"/>
      <c r="B818" s="8"/>
      <c r="C818" s="8"/>
      <c r="D818" s="8"/>
      <c r="E818" s="8"/>
      <c r="F818" s="8"/>
      <c r="G818" s="8"/>
      <c r="H818" s="8"/>
      <c r="I818" s="10"/>
      <c r="J818" s="10"/>
      <c r="K818" s="11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9"/>
      <c r="B819" s="8"/>
      <c r="C819" s="8"/>
      <c r="D819" s="8"/>
      <c r="E819" s="8"/>
      <c r="F819" s="8"/>
      <c r="G819" s="8"/>
      <c r="H819" s="8"/>
      <c r="I819" s="10"/>
      <c r="J819" s="10"/>
      <c r="K819" s="18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9"/>
      <c r="B820" s="8"/>
      <c r="C820" s="8"/>
      <c r="D820" s="8"/>
      <c r="E820" s="8"/>
      <c r="F820" s="8"/>
      <c r="G820" s="8"/>
      <c r="H820" s="8"/>
      <c r="I820" s="10"/>
      <c r="J820" s="10"/>
      <c r="K820" s="18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9"/>
      <c r="B821" s="8"/>
      <c r="C821" s="8"/>
      <c r="D821" s="8"/>
      <c r="E821" s="8"/>
      <c r="F821" s="8"/>
      <c r="G821" s="8"/>
      <c r="H821" s="8"/>
      <c r="I821" s="10"/>
      <c r="J821" s="10"/>
      <c r="K821" s="18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9"/>
      <c r="B822" s="8"/>
      <c r="C822" s="8"/>
      <c r="D822" s="8"/>
      <c r="E822" s="8"/>
      <c r="F822" s="8"/>
      <c r="G822" s="8"/>
      <c r="H822" s="8"/>
      <c r="I822" s="10"/>
      <c r="J822" s="10"/>
      <c r="K822" s="18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9"/>
      <c r="B823" s="8"/>
      <c r="C823" s="8"/>
      <c r="D823" s="8"/>
      <c r="E823" s="8"/>
      <c r="F823" s="8"/>
      <c r="G823" s="8"/>
      <c r="H823" s="8"/>
      <c r="I823" s="10"/>
      <c r="J823" s="10"/>
      <c r="K823" s="18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9"/>
      <c r="B824" s="8"/>
      <c r="C824" s="8"/>
      <c r="D824" s="8"/>
      <c r="E824" s="8"/>
      <c r="F824" s="8"/>
      <c r="G824" s="8"/>
      <c r="H824" s="8"/>
      <c r="I824" s="10"/>
      <c r="J824" s="10"/>
      <c r="K824" s="18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9"/>
      <c r="B825" s="8"/>
      <c r="C825" s="8"/>
      <c r="D825" s="8"/>
      <c r="E825" s="8"/>
      <c r="F825" s="8"/>
      <c r="G825" s="8"/>
      <c r="H825" s="8"/>
      <c r="I825" s="10"/>
      <c r="J825" s="10"/>
      <c r="K825" s="18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9"/>
      <c r="B826" s="8"/>
      <c r="C826" s="8"/>
      <c r="D826" s="8"/>
      <c r="E826" s="8"/>
      <c r="F826" s="8"/>
      <c r="G826" s="8"/>
      <c r="H826" s="8"/>
      <c r="I826" s="10"/>
      <c r="J826" s="10"/>
      <c r="K826" s="18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9"/>
      <c r="B827" s="8"/>
      <c r="C827" s="8"/>
      <c r="D827" s="8"/>
      <c r="E827" s="8"/>
      <c r="F827" s="8"/>
      <c r="G827" s="8"/>
      <c r="H827" s="8"/>
      <c r="I827" s="10"/>
      <c r="J827" s="10"/>
      <c r="K827" s="18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9"/>
      <c r="B828" s="8"/>
      <c r="C828" s="8"/>
      <c r="D828" s="8"/>
      <c r="E828" s="8"/>
      <c r="F828" s="8"/>
      <c r="G828" s="8"/>
      <c r="H828" s="8"/>
      <c r="I828" s="10"/>
      <c r="J828" s="10"/>
      <c r="K828" s="18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9"/>
      <c r="B829" s="8"/>
      <c r="C829" s="8"/>
      <c r="D829" s="8"/>
      <c r="E829" s="8"/>
      <c r="F829" s="8"/>
      <c r="G829" s="8"/>
      <c r="H829" s="8"/>
      <c r="I829" s="10"/>
      <c r="J829" s="10"/>
      <c r="K829" s="18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9"/>
      <c r="B830" s="8"/>
      <c r="C830" s="8"/>
      <c r="D830" s="8"/>
      <c r="E830" s="8"/>
      <c r="F830" s="8"/>
      <c r="G830" s="8"/>
      <c r="H830" s="8"/>
      <c r="I830" s="10"/>
      <c r="J830" s="10"/>
      <c r="K830" s="18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9"/>
      <c r="B831" s="8"/>
      <c r="C831" s="8"/>
      <c r="D831" s="8"/>
      <c r="E831" s="8"/>
      <c r="F831" s="8"/>
      <c r="G831" s="8"/>
      <c r="H831" s="8"/>
      <c r="I831" s="10"/>
      <c r="J831" s="10"/>
      <c r="K831" s="18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9"/>
      <c r="B832" s="8"/>
      <c r="C832" s="8"/>
      <c r="D832" s="8"/>
      <c r="E832" s="8"/>
      <c r="F832" s="8"/>
      <c r="G832" s="8"/>
      <c r="H832" s="8"/>
      <c r="I832" s="10"/>
      <c r="J832" s="10"/>
      <c r="K832" s="18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9"/>
      <c r="B833" s="8"/>
      <c r="C833" s="8"/>
      <c r="D833" s="8"/>
      <c r="E833" s="8"/>
      <c r="F833" s="8"/>
      <c r="G833" s="8"/>
      <c r="H833" s="8"/>
      <c r="I833" s="10"/>
      <c r="J833" s="10"/>
      <c r="K833" s="18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9"/>
      <c r="B834" s="8"/>
      <c r="C834" s="8"/>
      <c r="D834" s="8"/>
      <c r="E834" s="8"/>
      <c r="F834" s="8"/>
      <c r="G834" s="8"/>
      <c r="H834" s="8"/>
      <c r="I834" s="10"/>
      <c r="J834" s="10"/>
      <c r="K834" s="18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9"/>
      <c r="B835" s="8"/>
      <c r="C835" s="8"/>
      <c r="D835" s="8"/>
      <c r="E835" s="8"/>
      <c r="F835" s="8"/>
      <c r="G835" s="8"/>
      <c r="H835" s="8"/>
      <c r="I835" s="10"/>
      <c r="J835" s="10"/>
      <c r="K835" s="18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9"/>
      <c r="B836" s="8"/>
      <c r="C836" s="8"/>
      <c r="D836" s="8"/>
      <c r="E836" s="8"/>
      <c r="F836" s="8"/>
      <c r="G836" s="8"/>
      <c r="H836" s="8"/>
      <c r="I836" s="10"/>
      <c r="J836" s="10"/>
      <c r="K836" s="18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9"/>
      <c r="B837" s="8"/>
      <c r="C837" s="8"/>
      <c r="D837" s="8"/>
      <c r="E837" s="8"/>
      <c r="F837" s="8"/>
      <c r="G837" s="8"/>
      <c r="H837" s="8"/>
      <c r="I837" s="10"/>
      <c r="J837" s="10"/>
      <c r="K837" s="18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9"/>
      <c r="B838" s="8"/>
      <c r="C838" s="8"/>
      <c r="D838" s="8"/>
      <c r="E838" s="8"/>
      <c r="F838" s="8"/>
      <c r="G838" s="8"/>
      <c r="H838" s="8"/>
      <c r="I838" s="10"/>
      <c r="J838" s="10"/>
      <c r="K838" s="18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9"/>
      <c r="B839" s="8"/>
      <c r="C839" s="8"/>
      <c r="D839" s="8"/>
      <c r="E839" s="8"/>
      <c r="F839" s="8"/>
      <c r="G839" s="8"/>
      <c r="H839" s="8"/>
      <c r="I839" s="10"/>
      <c r="J839" s="10"/>
      <c r="K839" s="18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9"/>
      <c r="B840" s="8"/>
      <c r="C840" s="8"/>
      <c r="D840" s="8"/>
      <c r="E840" s="8"/>
      <c r="F840" s="8"/>
      <c r="G840" s="8"/>
      <c r="H840" s="8"/>
      <c r="I840" s="10"/>
      <c r="J840" s="10"/>
      <c r="K840" s="18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9"/>
      <c r="B841" s="8"/>
      <c r="C841" s="8"/>
      <c r="D841" s="8"/>
      <c r="E841" s="8"/>
      <c r="F841" s="8"/>
      <c r="G841" s="8"/>
      <c r="H841" s="8"/>
      <c r="I841" s="10"/>
      <c r="J841" s="10"/>
      <c r="K841" s="18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9"/>
      <c r="B842" s="8"/>
      <c r="C842" s="8"/>
      <c r="D842" s="8"/>
      <c r="E842" s="8"/>
      <c r="F842" s="8"/>
      <c r="G842" s="8"/>
      <c r="H842" s="8"/>
      <c r="I842" s="10"/>
      <c r="J842" s="10"/>
      <c r="K842" s="18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9"/>
      <c r="B843" s="8"/>
      <c r="C843" s="8"/>
      <c r="D843" s="8"/>
      <c r="E843" s="8"/>
      <c r="F843" s="8"/>
      <c r="G843" s="8"/>
      <c r="H843" s="8"/>
      <c r="I843" s="10"/>
      <c r="J843" s="10"/>
      <c r="K843" s="18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9"/>
      <c r="B844" s="8"/>
      <c r="C844" s="8"/>
      <c r="D844" s="8"/>
      <c r="E844" s="8"/>
      <c r="F844" s="8"/>
      <c r="G844" s="8"/>
      <c r="H844" s="8"/>
      <c r="I844" s="10"/>
      <c r="J844" s="10"/>
      <c r="K844" s="18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9"/>
      <c r="B845" s="8"/>
      <c r="C845" s="8"/>
      <c r="D845" s="8"/>
      <c r="E845" s="8"/>
      <c r="F845" s="8"/>
      <c r="G845" s="8"/>
      <c r="H845" s="8"/>
      <c r="I845" s="10"/>
      <c r="J845" s="10"/>
      <c r="K845" s="18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9"/>
      <c r="B846" s="8"/>
      <c r="C846" s="8"/>
      <c r="D846" s="8"/>
      <c r="E846" s="8"/>
      <c r="F846" s="8"/>
      <c r="G846" s="8"/>
      <c r="H846" s="8"/>
      <c r="I846" s="10"/>
      <c r="J846" s="10"/>
      <c r="K846" s="18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9"/>
      <c r="B847" s="8"/>
      <c r="C847" s="8"/>
      <c r="D847" s="8"/>
      <c r="E847" s="8"/>
      <c r="F847" s="8"/>
      <c r="G847" s="8"/>
      <c r="H847" s="8"/>
      <c r="I847" s="10"/>
      <c r="J847" s="10"/>
      <c r="K847" s="18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9"/>
      <c r="B848" s="8"/>
      <c r="C848" s="8"/>
      <c r="D848" s="8"/>
      <c r="E848" s="8"/>
      <c r="F848" s="8"/>
      <c r="G848" s="8"/>
      <c r="H848" s="8"/>
      <c r="I848" s="10"/>
      <c r="J848" s="10"/>
      <c r="K848" s="18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9"/>
      <c r="B849" s="8"/>
      <c r="C849" s="8"/>
      <c r="D849" s="8"/>
      <c r="E849" s="8"/>
      <c r="F849" s="8"/>
      <c r="G849" s="8"/>
      <c r="H849" s="8"/>
      <c r="I849" s="10"/>
      <c r="J849" s="10"/>
      <c r="K849" s="18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9"/>
      <c r="B850" s="8"/>
      <c r="C850" s="8"/>
      <c r="D850" s="8"/>
      <c r="E850" s="8"/>
      <c r="F850" s="8"/>
      <c r="G850" s="8"/>
      <c r="H850" s="8"/>
      <c r="I850" s="10"/>
      <c r="J850" s="10"/>
      <c r="K850" s="18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9"/>
      <c r="B851" s="8"/>
      <c r="C851" s="8"/>
      <c r="D851" s="8"/>
      <c r="E851" s="8"/>
      <c r="F851" s="8"/>
      <c r="G851" s="8"/>
      <c r="H851" s="8"/>
      <c r="I851" s="10"/>
      <c r="J851" s="10"/>
      <c r="K851" s="18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9"/>
      <c r="B852" s="8"/>
      <c r="C852" s="8"/>
      <c r="D852" s="8"/>
      <c r="E852" s="8"/>
      <c r="F852" s="8"/>
      <c r="G852" s="8"/>
      <c r="H852" s="8"/>
      <c r="I852" s="10"/>
      <c r="J852" s="10"/>
      <c r="K852" s="18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9"/>
      <c r="B853" s="8"/>
      <c r="C853" s="8"/>
      <c r="D853" s="8"/>
      <c r="E853" s="8"/>
      <c r="F853" s="8"/>
      <c r="G853" s="8"/>
      <c r="H853" s="8"/>
      <c r="I853" s="10"/>
      <c r="J853" s="10"/>
      <c r="K853" s="18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9"/>
      <c r="B854" s="8"/>
      <c r="C854" s="8"/>
      <c r="D854" s="8"/>
      <c r="E854" s="8"/>
      <c r="F854" s="8"/>
      <c r="G854" s="8"/>
      <c r="H854" s="8"/>
      <c r="I854" s="10"/>
      <c r="J854" s="10"/>
      <c r="K854" s="18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9"/>
      <c r="B855" s="8"/>
      <c r="C855" s="8"/>
      <c r="D855" s="8"/>
      <c r="E855" s="8"/>
      <c r="F855" s="8"/>
      <c r="G855" s="8"/>
      <c r="H855" s="8"/>
      <c r="I855" s="10"/>
      <c r="J855" s="10"/>
      <c r="K855" s="18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9"/>
      <c r="B856" s="8"/>
      <c r="C856" s="8"/>
      <c r="D856" s="8"/>
      <c r="E856" s="8"/>
      <c r="F856" s="8"/>
      <c r="G856" s="8"/>
      <c r="H856" s="8"/>
      <c r="I856" s="10"/>
      <c r="J856" s="10"/>
      <c r="K856" s="18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9"/>
      <c r="B857" s="8"/>
      <c r="C857" s="8"/>
      <c r="D857" s="8"/>
      <c r="E857" s="8"/>
      <c r="F857" s="8"/>
      <c r="G857" s="8"/>
      <c r="H857" s="8"/>
      <c r="I857" s="10"/>
      <c r="J857" s="10"/>
      <c r="K857" s="18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9"/>
      <c r="B858" s="8"/>
      <c r="C858" s="8"/>
      <c r="D858" s="8"/>
      <c r="E858" s="8"/>
      <c r="F858" s="8"/>
      <c r="G858" s="8"/>
      <c r="H858" s="8"/>
      <c r="I858" s="10"/>
      <c r="J858" s="10"/>
      <c r="K858" s="18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9"/>
      <c r="B859" s="8"/>
      <c r="C859" s="8"/>
      <c r="D859" s="8"/>
      <c r="E859" s="8"/>
      <c r="F859" s="8"/>
      <c r="G859" s="8"/>
      <c r="H859" s="8"/>
      <c r="I859" s="10"/>
      <c r="J859" s="10"/>
      <c r="K859" s="18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9"/>
      <c r="B860" s="8"/>
      <c r="C860" s="8"/>
      <c r="D860" s="8"/>
      <c r="E860" s="8"/>
      <c r="F860" s="8"/>
      <c r="G860" s="8"/>
      <c r="H860" s="8"/>
      <c r="I860" s="10"/>
      <c r="J860" s="10"/>
      <c r="K860" s="18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9"/>
      <c r="B861" s="8"/>
      <c r="C861" s="8"/>
      <c r="D861" s="8"/>
      <c r="E861" s="8"/>
      <c r="F861" s="8"/>
      <c r="G861" s="8"/>
      <c r="H861" s="8"/>
      <c r="I861" s="10"/>
      <c r="J861" s="10"/>
      <c r="K861" s="18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9"/>
      <c r="B862" s="8"/>
      <c r="C862" s="8"/>
      <c r="D862" s="8"/>
      <c r="E862" s="8"/>
      <c r="F862" s="8"/>
      <c r="G862" s="8"/>
      <c r="H862" s="8"/>
      <c r="I862" s="10"/>
      <c r="J862" s="10"/>
      <c r="K862" s="18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9"/>
      <c r="B863" s="8"/>
      <c r="C863" s="8"/>
      <c r="D863" s="8"/>
      <c r="E863" s="8"/>
      <c r="F863" s="8"/>
      <c r="G863" s="8"/>
      <c r="H863" s="8"/>
      <c r="I863" s="10"/>
      <c r="J863" s="10"/>
      <c r="K863" s="18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9"/>
      <c r="B864" s="8"/>
      <c r="C864" s="8"/>
      <c r="D864" s="8"/>
      <c r="E864" s="8"/>
      <c r="F864" s="8"/>
      <c r="G864" s="8"/>
      <c r="H864" s="8"/>
      <c r="I864" s="10"/>
      <c r="J864" s="10"/>
      <c r="K864" s="18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9"/>
      <c r="B865" s="8"/>
      <c r="C865" s="8"/>
      <c r="D865" s="8"/>
      <c r="E865" s="8"/>
      <c r="F865" s="8"/>
      <c r="G865" s="8"/>
      <c r="H865" s="8"/>
      <c r="I865" s="10"/>
      <c r="J865" s="10"/>
      <c r="K865" s="18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9"/>
      <c r="B866" s="8"/>
      <c r="C866" s="8"/>
      <c r="D866" s="8"/>
      <c r="E866" s="8"/>
      <c r="F866" s="8"/>
      <c r="G866" s="8"/>
      <c r="H866" s="8"/>
      <c r="I866" s="10"/>
      <c r="J866" s="10"/>
      <c r="K866" s="18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9"/>
      <c r="B867" s="8"/>
      <c r="C867" s="8"/>
      <c r="D867" s="8"/>
      <c r="E867" s="8"/>
      <c r="F867" s="8"/>
      <c r="G867" s="8"/>
      <c r="H867" s="8"/>
      <c r="I867" s="10"/>
      <c r="J867" s="10"/>
      <c r="K867" s="18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9"/>
      <c r="B868" s="8"/>
      <c r="C868" s="8"/>
      <c r="D868" s="8"/>
      <c r="E868" s="8"/>
      <c r="F868" s="8"/>
      <c r="G868" s="8"/>
      <c r="H868" s="8"/>
      <c r="I868" s="10"/>
      <c r="J868" s="10"/>
      <c r="K868" s="18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9"/>
      <c r="B869" s="8"/>
      <c r="C869" s="8"/>
      <c r="D869" s="8"/>
      <c r="E869" s="8"/>
      <c r="F869" s="8"/>
      <c r="G869" s="8"/>
      <c r="H869" s="8"/>
      <c r="I869" s="10"/>
      <c r="J869" s="10"/>
      <c r="K869" s="18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9"/>
      <c r="B870" s="8"/>
      <c r="C870" s="8"/>
      <c r="D870" s="8"/>
      <c r="E870" s="8"/>
      <c r="F870" s="8"/>
      <c r="G870" s="8"/>
      <c r="H870" s="8"/>
      <c r="I870" s="10"/>
      <c r="J870" s="10"/>
      <c r="K870" s="18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9"/>
      <c r="B871" s="8"/>
      <c r="C871" s="8"/>
      <c r="D871" s="8"/>
      <c r="E871" s="8"/>
      <c r="F871" s="8"/>
      <c r="G871" s="8"/>
      <c r="H871" s="8"/>
      <c r="I871" s="10"/>
      <c r="J871" s="10"/>
      <c r="K871" s="18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9"/>
      <c r="B872" s="8"/>
      <c r="C872" s="8"/>
      <c r="D872" s="8"/>
      <c r="E872" s="8"/>
      <c r="F872" s="8"/>
      <c r="G872" s="8"/>
      <c r="H872" s="8"/>
      <c r="I872" s="10"/>
      <c r="J872" s="10"/>
      <c r="K872" s="18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9"/>
      <c r="B873" s="8"/>
      <c r="C873" s="8"/>
      <c r="D873" s="8"/>
      <c r="E873" s="8"/>
      <c r="F873" s="8"/>
      <c r="G873" s="8"/>
      <c r="H873" s="8"/>
      <c r="I873" s="10"/>
      <c r="J873" s="10"/>
      <c r="K873" s="18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9"/>
      <c r="B874" s="8"/>
      <c r="C874" s="8"/>
      <c r="D874" s="8"/>
      <c r="E874" s="8"/>
      <c r="F874" s="8"/>
      <c r="G874" s="8"/>
      <c r="H874" s="8"/>
      <c r="I874" s="10"/>
      <c r="J874" s="10"/>
      <c r="K874" s="18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9"/>
      <c r="B875" s="8"/>
      <c r="C875" s="8"/>
      <c r="D875" s="8"/>
      <c r="E875" s="8"/>
      <c r="F875" s="8"/>
      <c r="G875" s="8"/>
      <c r="H875" s="8"/>
      <c r="I875" s="10"/>
      <c r="J875" s="10"/>
      <c r="K875" s="18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9"/>
      <c r="B876" s="8"/>
      <c r="C876" s="8"/>
      <c r="D876" s="8"/>
      <c r="E876" s="8"/>
      <c r="F876" s="8"/>
      <c r="G876" s="8"/>
      <c r="H876" s="8"/>
      <c r="I876" s="10"/>
      <c r="J876" s="10"/>
      <c r="K876" s="18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9"/>
      <c r="B877" s="8"/>
      <c r="C877" s="8"/>
      <c r="D877" s="8"/>
      <c r="E877" s="8"/>
      <c r="F877" s="8"/>
      <c r="G877" s="8"/>
      <c r="H877" s="8"/>
      <c r="I877" s="10"/>
      <c r="J877" s="10"/>
      <c r="K877" s="18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9"/>
      <c r="B878" s="8"/>
      <c r="C878" s="8"/>
      <c r="D878" s="8"/>
      <c r="E878" s="8"/>
      <c r="F878" s="8"/>
      <c r="G878" s="8"/>
      <c r="H878" s="8"/>
      <c r="I878" s="10"/>
      <c r="J878" s="10"/>
      <c r="K878" s="18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9"/>
      <c r="B879" s="8"/>
      <c r="C879" s="8"/>
      <c r="D879" s="8"/>
      <c r="E879" s="8"/>
      <c r="F879" s="8"/>
      <c r="G879" s="8"/>
      <c r="H879" s="8"/>
      <c r="I879" s="10"/>
      <c r="J879" s="10"/>
      <c r="K879" s="18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9"/>
      <c r="B880" s="8"/>
      <c r="C880" s="8"/>
      <c r="D880" s="8"/>
      <c r="E880" s="8"/>
      <c r="F880" s="8"/>
      <c r="G880" s="8"/>
      <c r="H880" s="8"/>
      <c r="I880" s="10"/>
      <c r="J880" s="10"/>
      <c r="K880" s="18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9"/>
      <c r="B881" s="8"/>
      <c r="C881" s="8"/>
      <c r="D881" s="8"/>
      <c r="E881" s="8"/>
      <c r="F881" s="8"/>
      <c r="G881" s="8"/>
      <c r="H881" s="8"/>
      <c r="I881" s="10"/>
      <c r="J881" s="10"/>
      <c r="K881" s="18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9"/>
      <c r="B882" s="8"/>
      <c r="C882" s="8"/>
      <c r="D882" s="8"/>
      <c r="E882" s="8"/>
      <c r="F882" s="8"/>
      <c r="G882" s="8"/>
      <c r="H882" s="8"/>
      <c r="I882" s="10"/>
      <c r="J882" s="10"/>
      <c r="K882" s="18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9"/>
      <c r="B883" s="8"/>
      <c r="C883" s="8"/>
      <c r="D883" s="8"/>
      <c r="E883" s="8"/>
      <c r="F883" s="8"/>
      <c r="G883" s="8"/>
      <c r="H883" s="8"/>
      <c r="I883" s="10"/>
      <c r="J883" s="10"/>
      <c r="K883" s="18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9"/>
      <c r="B884" s="8"/>
      <c r="C884" s="8"/>
      <c r="D884" s="8"/>
      <c r="E884" s="8"/>
      <c r="F884" s="8"/>
      <c r="G884" s="8"/>
      <c r="H884" s="8"/>
      <c r="I884" s="10"/>
      <c r="J884" s="10"/>
      <c r="K884" s="18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9"/>
      <c r="B885" s="8"/>
      <c r="C885" s="8"/>
      <c r="D885" s="8"/>
      <c r="E885" s="8"/>
      <c r="F885" s="8"/>
      <c r="G885" s="8"/>
      <c r="H885" s="8"/>
      <c r="I885" s="10"/>
      <c r="J885" s="10"/>
      <c r="K885" s="18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9"/>
      <c r="B886" s="8"/>
      <c r="C886" s="8"/>
      <c r="D886" s="8"/>
      <c r="E886" s="8"/>
      <c r="F886" s="8"/>
      <c r="G886" s="8"/>
      <c r="H886" s="8"/>
      <c r="I886" s="10"/>
      <c r="J886" s="10"/>
      <c r="K886" s="18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9"/>
      <c r="B887" s="8"/>
      <c r="C887" s="8"/>
      <c r="D887" s="8"/>
      <c r="E887" s="8"/>
      <c r="F887" s="8"/>
      <c r="G887" s="8"/>
      <c r="H887" s="8"/>
      <c r="I887" s="10"/>
      <c r="J887" s="10"/>
      <c r="K887" s="18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9"/>
      <c r="B888" s="8"/>
      <c r="C888" s="8"/>
      <c r="D888" s="8"/>
      <c r="E888" s="8"/>
      <c r="F888" s="8"/>
      <c r="G888" s="8"/>
      <c r="H888" s="8"/>
      <c r="I888" s="10"/>
      <c r="J888" s="10"/>
      <c r="K888" s="18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9"/>
      <c r="B889" s="8"/>
      <c r="C889" s="8"/>
      <c r="D889" s="8"/>
      <c r="E889" s="8"/>
      <c r="F889" s="8"/>
      <c r="G889" s="8"/>
      <c r="H889" s="8"/>
      <c r="I889" s="10"/>
      <c r="J889" s="10"/>
      <c r="K889" s="18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9"/>
      <c r="B890" s="8"/>
      <c r="C890" s="8"/>
      <c r="D890" s="8"/>
      <c r="E890" s="8"/>
      <c r="F890" s="8"/>
      <c r="G890" s="8"/>
      <c r="H890" s="8"/>
      <c r="I890" s="10"/>
      <c r="J890" s="10"/>
      <c r="K890" s="18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9"/>
      <c r="B891" s="8"/>
      <c r="C891" s="8"/>
      <c r="D891" s="8"/>
      <c r="E891" s="8"/>
      <c r="F891" s="8"/>
      <c r="G891" s="8"/>
      <c r="H891" s="8"/>
      <c r="I891" s="10"/>
      <c r="J891" s="10"/>
      <c r="K891" s="18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9"/>
      <c r="B892" s="8"/>
      <c r="C892" s="8"/>
      <c r="D892" s="8"/>
      <c r="E892" s="8"/>
      <c r="F892" s="8"/>
      <c r="G892" s="8"/>
      <c r="H892" s="8"/>
      <c r="I892" s="10"/>
      <c r="J892" s="10"/>
      <c r="K892" s="18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9"/>
      <c r="B893" s="8"/>
      <c r="C893" s="8"/>
      <c r="D893" s="8"/>
      <c r="E893" s="8"/>
      <c r="F893" s="8"/>
      <c r="G893" s="8"/>
      <c r="H893" s="8"/>
      <c r="I893" s="10"/>
      <c r="J893" s="10"/>
      <c r="K893" s="18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9"/>
      <c r="B894" s="8"/>
      <c r="C894" s="8"/>
      <c r="D894" s="8"/>
      <c r="E894" s="8"/>
      <c r="F894" s="8"/>
      <c r="G894" s="8"/>
      <c r="H894" s="8"/>
      <c r="I894" s="10"/>
      <c r="J894" s="10"/>
      <c r="K894" s="18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9"/>
      <c r="B895" s="8"/>
      <c r="C895" s="8"/>
      <c r="D895" s="8"/>
      <c r="E895" s="8"/>
      <c r="F895" s="8"/>
      <c r="G895" s="8"/>
      <c r="H895" s="8"/>
      <c r="I895" s="10"/>
      <c r="J895" s="10"/>
      <c r="K895" s="18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9"/>
      <c r="B896" s="8"/>
      <c r="C896" s="8"/>
      <c r="D896" s="8"/>
      <c r="E896" s="8"/>
      <c r="F896" s="8"/>
      <c r="G896" s="8"/>
      <c r="H896" s="8"/>
      <c r="I896" s="10"/>
      <c r="J896" s="10"/>
      <c r="K896" s="18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9"/>
      <c r="B897" s="8"/>
      <c r="C897" s="8"/>
      <c r="D897" s="8"/>
      <c r="E897" s="8"/>
      <c r="F897" s="8"/>
      <c r="G897" s="8"/>
      <c r="H897" s="8"/>
      <c r="I897" s="10"/>
      <c r="J897" s="10"/>
      <c r="K897" s="18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9"/>
      <c r="B898" s="8"/>
      <c r="C898" s="8"/>
      <c r="D898" s="8"/>
      <c r="E898" s="8"/>
      <c r="F898" s="8"/>
      <c r="G898" s="8"/>
      <c r="H898" s="8"/>
      <c r="I898" s="10"/>
      <c r="J898" s="10"/>
      <c r="K898" s="18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9"/>
      <c r="B899" s="8"/>
      <c r="C899" s="8"/>
      <c r="D899" s="8"/>
      <c r="E899" s="8"/>
      <c r="F899" s="8"/>
      <c r="G899" s="8"/>
      <c r="H899" s="8"/>
      <c r="I899" s="10"/>
      <c r="J899" s="10"/>
      <c r="K899" s="18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9"/>
      <c r="B900" s="8"/>
      <c r="C900" s="8"/>
      <c r="D900" s="8"/>
      <c r="E900" s="8"/>
      <c r="F900" s="8"/>
      <c r="G900" s="8"/>
      <c r="H900" s="8"/>
      <c r="I900" s="10"/>
      <c r="J900" s="10"/>
      <c r="K900" s="18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9"/>
      <c r="B901" s="8"/>
      <c r="C901" s="8"/>
      <c r="D901" s="8"/>
      <c r="E901" s="8"/>
      <c r="F901" s="8"/>
      <c r="G901" s="8"/>
      <c r="H901" s="8"/>
      <c r="I901" s="10"/>
      <c r="J901" s="10"/>
      <c r="K901" s="18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9"/>
      <c r="B902" s="8"/>
      <c r="C902" s="8"/>
      <c r="D902" s="8"/>
      <c r="E902" s="8"/>
      <c r="F902" s="8"/>
      <c r="G902" s="8"/>
      <c r="H902" s="8"/>
      <c r="I902" s="10"/>
      <c r="J902" s="10"/>
      <c r="K902" s="18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9"/>
      <c r="B903" s="8"/>
      <c r="C903" s="8"/>
      <c r="D903" s="8"/>
      <c r="E903" s="8"/>
      <c r="F903" s="8"/>
      <c r="G903" s="8"/>
      <c r="H903" s="8"/>
      <c r="I903" s="10"/>
      <c r="J903" s="10"/>
      <c r="K903" s="18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9"/>
      <c r="B904" s="8"/>
      <c r="C904" s="8"/>
      <c r="D904" s="8"/>
      <c r="E904" s="8"/>
      <c r="F904" s="8"/>
      <c r="G904" s="8"/>
      <c r="H904" s="8"/>
      <c r="I904" s="10"/>
      <c r="J904" s="10"/>
      <c r="K904" s="18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9"/>
      <c r="B905" s="8"/>
      <c r="C905" s="8"/>
      <c r="D905" s="8"/>
      <c r="E905" s="8"/>
      <c r="F905" s="8"/>
      <c r="G905" s="8"/>
      <c r="H905" s="8"/>
      <c r="I905" s="10"/>
      <c r="J905" s="10"/>
      <c r="K905" s="18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9"/>
      <c r="B906" s="8"/>
      <c r="C906" s="8"/>
      <c r="D906" s="8"/>
      <c r="E906" s="8"/>
      <c r="F906" s="8"/>
      <c r="G906" s="8"/>
      <c r="H906" s="8"/>
      <c r="I906" s="10"/>
      <c r="J906" s="10"/>
      <c r="K906" s="18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9"/>
      <c r="B907" s="8"/>
      <c r="C907" s="8"/>
      <c r="D907" s="8"/>
      <c r="E907" s="8"/>
      <c r="F907" s="8"/>
      <c r="G907" s="8"/>
      <c r="H907" s="8"/>
      <c r="I907" s="10"/>
      <c r="J907" s="10"/>
      <c r="K907" s="18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9"/>
      <c r="B908" s="8"/>
      <c r="C908" s="8"/>
      <c r="D908" s="8"/>
      <c r="E908" s="8"/>
      <c r="F908" s="8"/>
      <c r="G908" s="8"/>
      <c r="H908" s="8"/>
      <c r="I908" s="10"/>
      <c r="J908" s="10"/>
      <c r="K908" s="18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9"/>
      <c r="B909" s="8"/>
      <c r="C909" s="8"/>
      <c r="D909" s="8"/>
      <c r="E909" s="8"/>
      <c r="F909" s="8"/>
      <c r="G909" s="8"/>
      <c r="H909" s="8"/>
      <c r="I909" s="10"/>
      <c r="J909" s="10"/>
      <c r="K909" s="18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9"/>
      <c r="B910" s="8"/>
      <c r="C910" s="8"/>
      <c r="D910" s="8"/>
      <c r="E910" s="8"/>
      <c r="F910" s="8"/>
      <c r="G910" s="8"/>
      <c r="H910" s="8"/>
      <c r="I910" s="10"/>
      <c r="J910" s="10"/>
      <c r="K910" s="18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9"/>
      <c r="B911" s="8"/>
      <c r="C911" s="8"/>
      <c r="D911" s="8"/>
      <c r="E911" s="8"/>
      <c r="F911" s="8"/>
      <c r="G911" s="8"/>
      <c r="H911" s="8"/>
      <c r="I911" s="10"/>
      <c r="J911" s="10"/>
      <c r="K911" s="18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9"/>
      <c r="B912" s="8"/>
      <c r="C912" s="8"/>
      <c r="D912" s="8"/>
      <c r="E912" s="8"/>
      <c r="F912" s="8"/>
      <c r="G912" s="8"/>
      <c r="H912" s="8"/>
      <c r="I912" s="10"/>
      <c r="J912" s="10"/>
      <c r="K912" s="18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9"/>
      <c r="B913" s="8"/>
      <c r="C913" s="8"/>
      <c r="D913" s="8"/>
      <c r="E913" s="8"/>
      <c r="F913" s="8"/>
      <c r="G913" s="8"/>
      <c r="H913" s="8"/>
      <c r="I913" s="10"/>
      <c r="J913" s="10"/>
      <c r="K913" s="18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9"/>
      <c r="B914" s="8"/>
      <c r="C914" s="8"/>
      <c r="D914" s="8"/>
      <c r="E914" s="8"/>
      <c r="F914" s="8"/>
      <c r="G914" s="8"/>
      <c r="H914" s="8"/>
      <c r="I914" s="10"/>
      <c r="J914" s="10"/>
      <c r="K914" s="18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9"/>
      <c r="B915" s="8"/>
      <c r="C915" s="8"/>
      <c r="D915" s="8"/>
      <c r="E915" s="8"/>
      <c r="F915" s="8"/>
      <c r="G915" s="8"/>
      <c r="H915" s="8"/>
      <c r="I915" s="10"/>
      <c r="J915" s="10"/>
      <c r="K915" s="18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9"/>
      <c r="B916" s="8"/>
      <c r="C916" s="8"/>
      <c r="D916" s="8"/>
      <c r="E916" s="8"/>
      <c r="F916" s="8"/>
      <c r="G916" s="8"/>
      <c r="H916" s="8"/>
      <c r="I916" s="10"/>
      <c r="J916" s="10"/>
      <c r="K916" s="18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9"/>
      <c r="B917" s="8"/>
      <c r="C917" s="8"/>
      <c r="D917" s="8"/>
      <c r="E917" s="8"/>
      <c r="F917" s="8"/>
      <c r="G917" s="8"/>
      <c r="H917" s="8"/>
      <c r="I917" s="10"/>
      <c r="J917" s="10"/>
      <c r="K917" s="18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9"/>
      <c r="B918" s="8"/>
      <c r="C918" s="8"/>
      <c r="D918" s="8"/>
      <c r="E918" s="8"/>
      <c r="F918" s="8"/>
      <c r="G918" s="8"/>
      <c r="H918" s="8"/>
      <c r="I918" s="10"/>
      <c r="J918" s="10"/>
      <c r="K918" s="18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9"/>
      <c r="B919" s="8"/>
      <c r="C919" s="8"/>
      <c r="D919" s="8"/>
      <c r="E919" s="8"/>
      <c r="F919" s="8"/>
      <c r="G919" s="8"/>
      <c r="H919" s="8"/>
      <c r="I919" s="10"/>
      <c r="J919" s="10"/>
      <c r="K919" s="18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9"/>
      <c r="B920" s="8"/>
      <c r="C920" s="8"/>
      <c r="D920" s="8"/>
      <c r="E920" s="8"/>
      <c r="F920" s="8"/>
      <c r="G920" s="8"/>
      <c r="H920" s="8"/>
      <c r="I920" s="10"/>
      <c r="J920" s="10"/>
      <c r="K920" s="18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9"/>
      <c r="B921" s="8"/>
      <c r="C921" s="8"/>
      <c r="D921" s="8"/>
      <c r="E921" s="8"/>
      <c r="F921" s="8"/>
      <c r="G921" s="8"/>
      <c r="H921" s="8"/>
      <c r="I921" s="10"/>
      <c r="J921" s="10"/>
      <c r="K921" s="18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9"/>
      <c r="B922" s="8"/>
      <c r="C922" s="8"/>
      <c r="D922" s="8"/>
      <c r="E922" s="8"/>
      <c r="F922" s="8"/>
      <c r="G922" s="8"/>
      <c r="H922" s="8"/>
      <c r="I922" s="10"/>
      <c r="J922" s="10"/>
      <c r="K922" s="18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9"/>
      <c r="B923" s="8"/>
      <c r="C923" s="8"/>
      <c r="D923" s="8"/>
      <c r="E923" s="8"/>
      <c r="F923" s="8"/>
      <c r="G923" s="8"/>
      <c r="H923" s="8"/>
      <c r="I923" s="10"/>
      <c r="J923" s="10"/>
      <c r="K923" s="18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9"/>
      <c r="B924" s="8"/>
      <c r="C924" s="8"/>
      <c r="D924" s="8"/>
      <c r="E924" s="8"/>
      <c r="F924" s="8"/>
      <c r="G924" s="8"/>
      <c r="H924" s="8"/>
      <c r="I924" s="10"/>
      <c r="J924" s="10"/>
      <c r="K924" s="18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9"/>
      <c r="B925" s="8"/>
      <c r="C925" s="8"/>
      <c r="D925" s="8"/>
      <c r="E925" s="8"/>
      <c r="F925" s="8"/>
      <c r="G925" s="8"/>
      <c r="H925" s="8"/>
      <c r="I925" s="10"/>
      <c r="J925" s="10"/>
      <c r="K925" s="18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9"/>
      <c r="B926" s="8"/>
      <c r="C926" s="8"/>
      <c r="D926" s="8"/>
      <c r="E926" s="8"/>
      <c r="F926" s="8"/>
      <c r="G926" s="8"/>
      <c r="H926" s="8"/>
      <c r="I926" s="10"/>
      <c r="J926" s="10"/>
      <c r="K926" s="18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9"/>
      <c r="B927" s="8"/>
      <c r="C927" s="8"/>
      <c r="D927" s="8"/>
      <c r="E927" s="8"/>
      <c r="F927" s="8"/>
      <c r="G927" s="8"/>
      <c r="H927" s="8"/>
      <c r="I927" s="10"/>
      <c r="J927" s="10"/>
      <c r="K927" s="18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9"/>
      <c r="B928" s="8"/>
      <c r="C928" s="8"/>
      <c r="D928" s="8"/>
      <c r="E928" s="8"/>
      <c r="F928" s="8"/>
      <c r="G928" s="8"/>
      <c r="H928" s="8"/>
      <c r="I928" s="10"/>
      <c r="J928" s="10"/>
      <c r="K928" s="18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9"/>
      <c r="B929" s="8"/>
      <c r="C929" s="8"/>
      <c r="D929" s="8"/>
      <c r="E929" s="8"/>
      <c r="F929" s="8"/>
      <c r="G929" s="8"/>
      <c r="H929" s="8"/>
      <c r="I929" s="10"/>
      <c r="J929" s="10"/>
      <c r="K929" s="18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9"/>
      <c r="B930" s="8"/>
      <c r="C930" s="8"/>
      <c r="D930" s="8"/>
      <c r="E930" s="8"/>
      <c r="F930" s="8"/>
      <c r="G930" s="8"/>
      <c r="H930" s="8"/>
      <c r="I930" s="10"/>
      <c r="J930" s="10"/>
      <c r="K930" s="18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9"/>
      <c r="B931" s="8"/>
      <c r="C931" s="8"/>
      <c r="D931" s="8"/>
      <c r="E931" s="8"/>
      <c r="F931" s="8"/>
      <c r="G931" s="8"/>
      <c r="H931" s="8"/>
      <c r="I931" s="10"/>
      <c r="J931" s="10"/>
      <c r="K931" s="18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9"/>
      <c r="B932" s="8"/>
      <c r="C932" s="8"/>
      <c r="D932" s="8"/>
      <c r="E932" s="8"/>
      <c r="F932" s="8"/>
      <c r="G932" s="8"/>
      <c r="H932" s="8"/>
      <c r="I932" s="10"/>
      <c r="J932" s="10"/>
      <c r="K932" s="18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9"/>
      <c r="B933" s="8"/>
      <c r="C933" s="8"/>
      <c r="D933" s="8"/>
      <c r="E933" s="8"/>
      <c r="F933" s="8"/>
      <c r="G933" s="8"/>
      <c r="H933" s="8"/>
      <c r="I933" s="10"/>
      <c r="J933" s="10"/>
      <c r="K933" s="18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9"/>
      <c r="B934" s="8"/>
      <c r="C934" s="8"/>
      <c r="D934" s="8"/>
      <c r="E934" s="8"/>
      <c r="F934" s="8"/>
      <c r="G934" s="8"/>
      <c r="H934" s="8"/>
      <c r="I934" s="10"/>
      <c r="J934" s="10"/>
      <c r="K934" s="18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9"/>
      <c r="B935" s="8"/>
      <c r="C935" s="8"/>
      <c r="D935" s="8"/>
      <c r="E935" s="8"/>
      <c r="F935" s="8"/>
      <c r="G935" s="8"/>
      <c r="H935" s="8"/>
      <c r="I935" s="10"/>
      <c r="J935" s="10"/>
      <c r="K935" s="18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9"/>
      <c r="B936" s="8"/>
      <c r="C936" s="8"/>
      <c r="D936" s="8"/>
      <c r="E936" s="8"/>
      <c r="F936" s="8"/>
      <c r="G936" s="8"/>
      <c r="H936" s="8"/>
      <c r="I936" s="10"/>
      <c r="J936" s="10"/>
      <c r="K936" s="18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9"/>
      <c r="B937" s="8"/>
      <c r="C937" s="8"/>
      <c r="D937" s="8"/>
      <c r="E937" s="8"/>
      <c r="F937" s="8"/>
      <c r="G937" s="8"/>
      <c r="H937" s="8"/>
      <c r="I937" s="10"/>
      <c r="J937" s="10"/>
      <c r="K937" s="18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9"/>
      <c r="B938" s="8"/>
      <c r="C938" s="8"/>
      <c r="D938" s="8"/>
      <c r="E938" s="8"/>
      <c r="F938" s="8"/>
      <c r="G938" s="8"/>
      <c r="H938" s="8"/>
      <c r="I938" s="10"/>
      <c r="J938" s="10"/>
      <c r="K938" s="18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9"/>
      <c r="B939" s="8"/>
      <c r="C939" s="8"/>
      <c r="D939" s="8"/>
      <c r="E939" s="8"/>
      <c r="F939" s="8"/>
      <c r="G939" s="8"/>
      <c r="H939" s="8"/>
      <c r="I939" s="10"/>
      <c r="J939" s="10"/>
      <c r="K939" s="18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9"/>
      <c r="B940" s="8"/>
      <c r="C940" s="8"/>
      <c r="D940" s="8"/>
      <c r="E940" s="8"/>
      <c r="F940" s="8"/>
      <c r="G940" s="8"/>
      <c r="H940" s="8"/>
      <c r="I940" s="10"/>
      <c r="J940" s="10"/>
      <c r="K940" s="18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9"/>
      <c r="B941" s="8"/>
      <c r="C941" s="8"/>
      <c r="D941" s="8"/>
      <c r="E941" s="8"/>
      <c r="F941" s="8"/>
      <c r="G941" s="8"/>
      <c r="H941" s="8"/>
      <c r="I941" s="10"/>
      <c r="J941" s="10"/>
      <c r="K941" s="18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9"/>
      <c r="B942" s="8"/>
      <c r="C942" s="8"/>
      <c r="D942" s="8"/>
      <c r="E942" s="8"/>
      <c r="F942" s="8"/>
      <c r="G942" s="8"/>
      <c r="H942" s="8"/>
      <c r="I942" s="10"/>
      <c r="J942" s="10"/>
      <c r="K942" s="18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9"/>
      <c r="B943" s="8"/>
      <c r="C943" s="8"/>
      <c r="D943" s="8"/>
      <c r="E943" s="8"/>
      <c r="F943" s="8"/>
      <c r="G943" s="8"/>
      <c r="H943" s="8"/>
      <c r="I943" s="10"/>
      <c r="J943" s="10"/>
      <c r="K943" s="18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9"/>
      <c r="B944" s="8"/>
      <c r="C944" s="8"/>
      <c r="D944" s="8"/>
      <c r="E944" s="8"/>
      <c r="F944" s="8"/>
      <c r="G944" s="8"/>
      <c r="H944" s="8"/>
      <c r="I944" s="10"/>
      <c r="J944" s="10"/>
      <c r="K944" s="18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9"/>
      <c r="B945" s="8"/>
      <c r="C945" s="8"/>
      <c r="D945" s="8"/>
      <c r="E945" s="8"/>
      <c r="F945" s="8"/>
      <c r="G945" s="8"/>
      <c r="H945" s="8"/>
      <c r="I945" s="10"/>
      <c r="J945" s="10"/>
      <c r="K945" s="18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9"/>
      <c r="B946" s="8"/>
      <c r="C946" s="8"/>
      <c r="D946" s="8"/>
      <c r="E946" s="8"/>
      <c r="F946" s="8"/>
      <c r="G946" s="8"/>
      <c r="H946" s="8"/>
      <c r="I946" s="10"/>
      <c r="J946" s="10"/>
      <c r="K946" s="18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9"/>
      <c r="B947" s="8"/>
      <c r="C947" s="8"/>
      <c r="D947" s="8"/>
      <c r="E947" s="8"/>
      <c r="F947" s="8"/>
      <c r="G947" s="8"/>
      <c r="H947" s="8"/>
      <c r="I947" s="10"/>
      <c r="J947" s="10"/>
      <c r="K947" s="18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9"/>
      <c r="B948" s="8"/>
      <c r="C948" s="8"/>
      <c r="D948" s="8"/>
      <c r="E948" s="8"/>
      <c r="F948" s="8"/>
      <c r="G948" s="8"/>
      <c r="H948" s="8"/>
      <c r="I948" s="10"/>
      <c r="J948" s="10"/>
      <c r="K948" s="18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9"/>
      <c r="B949" s="8"/>
      <c r="C949" s="8"/>
      <c r="D949" s="8"/>
      <c r="E949" s="8"/>
      <c r="F949" s="8"/>
      <c r="G949" s="8"/>
      <c r="H949" s="8"/>
      <c r="I949" s="10"/>
      <c r="J949" s="10"/>
      <c r="K949" s="18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9"/>
      <c r="B950" s="8"/>
      <c r="C950" s="8"/>
      <c r="D950" s="8"/>
      <c r="E950" s="8"/>
      <c r="F950" s="8"/>
      <c r="G950" s="8"/>
      <c r="H950" s="8"/>
      <c r="I950" s="10"/>
      <c r="J950" s="10"/>
      <c r="K950" s="18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9"/>
      <c r="B951" s="8"/>
      <c r="C951" s="8"/>
      <c r="D951" s="8"/>
      <c r="E951" s="8"/>
      <c r="F951" s="8"/>
      <c r="G951" s="8"/>
      <c r="H951" s="8"/>
      <c r="I951" s="10"/>
      <c r="J951" s="10"/>
      <c r="K951" s="18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9"/>
      <c r="B952" s="8"/>
      <c r="C952" s="8"/>
      <c r="D952" s="8"/>
      <c r="E952" s="8"/>
      <c r="F952" s="8"/>
      <c r="G952" s="8"/>
      <c r="H952" s="8"/>
      <c r="I952" s="10"/>
      <c r="J952" s="10"/>
      <c r="K952" s="18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9"/>
      <c r="B953" s="8"/>
      <c r="C953" s="8"/>
      <c r="D953" s="8"/>
      <c r="E953" s="8"/>
      <c r="F953" s="8"/>
      <c r="G953" s="8"/>
      <c r="H953" s="8"/>
      <c r="I953" s="10"/>
      <c r="J953" s="10"/>
      <c r="K953" s="18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9"/>
      <c r="B954" s="8"/>
      <c r="C954" s="8"/>
      <c r="D954" s="8"/>
      <c r="E954" s="8"/>
      <c r="F954" s="8"/>
      <c r="G954" s="8"/>
      <c r="H954" s="8"/>
      <c r="I954" s="10"/>
      <c r="J954" s="10"/>
      <c r="K954" s="18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9"/>
      <c r="B955" s="8"/>
      <c r="C955" s="8"/>
      <c r="D955" s="8"/>
      <c r="E955" s="8"/>
      <c r="F955" s="8"/>
      <c r="G955" s="8"/>
      <c r="H955" s="8"/>
      <c r="I955" s="10"/>
      <c r="J955" s="10"/>
      <c r="K955" s="18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9"/>
      <c r="B956" s="8"/>
      <c r="C956" s="8"/>
      <c r="D956" s="8"/>
      <c r="E956" s="8"/>
      <c r="F956" s="8"/>
      <c r="G956" s="8"/>
      <c r="H956" s="8"/>
      <c r="I956" s="10"/>
      <c r="J956" s="10"/>
      <c r="K956" s="18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9"/>
      <c r="B957" s="8"/>
      <c r="C957" s="8"/>
      <c r="D957" s="8"/>
      <c r="E957" s="8"/>
      <c r="F957" s="8"/>
      <c r="G957" s="8"/>
      <c r="H957" s="8"/>
      <c r="I957" s="10"/>
      <c r="J957" s="10"/>
      <c r="K957" s="18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9"/>
      <c r="B958" s="8"/>
      <c r="C958" s="8"/>
      <c r="D958" s="8"/>
      <c r="E958" s="8"/>
      <c r="F958" s="8"/>
      <c r="G958" s="8"/>
      <c r="H958" s="8"/>
      <c r="I958" s="10"/>
      <c r="J958" s="10"/>
      <c r="K958" s="18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9"/>
      <c r="B959" s="8"/>
      <c r="C959" s="8"/>
      <c r="D959" s="8"/>
      <c r="E959" s="8"/>
      <c r="F959" s="8"/>
      <c r="G959" s="8"/>
      <c r="H959" s="8"/>
      <c r="I959" s="10"/>
      <c r="J959" s="10"/>
      <c r="K959" s="18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9"/>
      <c r="B960" s="8"/>
      <c r="C960" s="8"/>
      <c r="D960" s="8"/>
      <c r="E960" s="8"/>
      <c r="F960" s="8"/>
      <c r="G960" s="8"/>
      <c r="H960" s="8"/>
      <c r="I960" s="10"/>
      <c r="J960" s="10"/>
      <c r="K960" s="18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9"/>
      <c r="B961" s="8"/>
      <c r="C961" s="8"/>
      <c r="D961" s="8"/>
      <c r="E961" s="8"/>
      <c r="F961" s="8"/>
      <c r="G961" s="8"/>
      <c r="H961" s="8"/>
      <c r="I961" s="10"/>
      <c r="J961" s="10"/>
      <c r="K961" s="18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9"/>
      <c r="B962" s="8"/>
      <c r="C962" s="8"/>
      <c r="D962" s="8"/>
      <c r="E962" s="8"/>
      <c r="F962" s="8"/>
      <c r="G962" s="8"/>
      <c r="H962" s="8"/>
      <c r="I962" s="10"/>
      <c r="J962" s="10"/>
      <c r="K962" s="18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9"/>
      <c r="B963" s="8"/>
      <c r="C963" s="8"/>
      <c r="D963" s="8"/>
      <c r="E963" s="8"/>
      <c r="F963" s="8"/>
      <c r="G963" s="8"/>
      <c r="H963" s="8"/>
      <c r="I963" s="10"/>
      <c r="J963" s="10"/>
      <c r="K963" s="18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9"/>
      <c r="B964" s="8"/>
      <c r="C964" s="8"/>
      <c r="D964" s="8"/>
      <c r="E964" s="8"/>
      <c r="F964" s="8"/>
      <c r="G964" s="8"/>
      <c r="H964" s="8"/>
      <c r="I964" s="10"/>
      <c r="J964" s="10"/>
      <c r="K964" s="18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9"/>
      <c r="B965" s="8"/>
      <c r="C965" s="8"/>
      <c r="D965" s="8"/>
      <c r="E965" s="8"/>
      <c r="F965" s="8"/>
      <c r="G965" s="8"/>
      <c r="H965" s="8"/>
      <c r="I965" s="10"/>
      <c r="J965" s="10"/>
      <c r="K965" s="18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9"/>
      <c r="B966" s="8"/>
      <c r="C966" s="8"/>
      <c r="D966" s="8"/>
      <c r="E966" s="8"/>
      <c r="F966" s="8"/>
      <c r="G966" s="8"/>
      <c r="H966" s="8"/>
      <c r="I966" s="10"/>
      <c r="J966" s="10"/>
      <c r="K966" s="18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9"/>
      <c r="B967" s="8"/>
      <c r="C967" s="8"/>
      <c r="D967" s="8"/>
      <c r="E967" s="8"/>
      <c r="F967" s="8"/>
      <c r="G967" s="8"/>
      <c r="H967" s="8"/>
      <c r="I967" s="10"/>
      <c r="J967" s="10"/>
      <c r="K967" s="18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9"/>
      <c r="B968" s="8"/>
      <c r="C968" s="8"/>
      <c r="D968" s="8"/>
      <c r="E968" s="8"/>
      <c r="F968" s="8"/>
      <c r="G968" s="8"/>
      <c r="H968" s="8"/>
      <c r="I968" s="10"/>
      <c r="J968" s="10"/>
      <c r="K968" s="18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9"/>
      <c r="B969" s="8"/>
      <c r="C969" s="8"/>
      <c r="D969" s="8"/>
      <c r="E969" s="8"/>
      <c r="F969" s="8"/>
      <c r="G969" s="8"/>
      <c r="H969" s="8"/>
      <c r="I969" s="10"/>
      <c r="J969" s="10"/>
      <c r="K969" s="18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9"/>
      <c r="B970" s="8"/>
      <c r="C970" s="8"/>
      <c r="D970" s="8"/>
      <c r="E970" s="8"/>
      <c r="F970" s="8"/>
      <c r="G970" s="8"/>
      <c r="H970" s="8"/>
      <c r="I970" s="10"/>
      <c r="J970" s="10"/>
      <c r="K970" s="18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9"/>
      <c r="B971" s="8"/>
      <c r="C971" s="8"/>
      <c r="D971" s="8"/>
      <c r="E971" s="8"/>
      <c r="F971" s="8"/>
      <c r="G971" s="8"/>
      <c r="H971" s="8"/>
      <c r="I971" s="10"/>
      <c r="J971" s="10"/>
      <c r="K971" s="18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9"/>
      <c r="B972" s="8"/>
      <c r="C972" s="8"/>
      <c r="D972" s="8"/>
      <c r="E972" s="8"/>
      <c r="F972" s="8"/>
      <c r="G972" s="8"/>
      <c r="H972" s="8"/>
      <c r="I972" s="10"/>
      <c r="J972" s="10"/>
      <c r="K972" s="18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9"/>
      <c r="B973" s="8"/>
      <c r="C973" s="8"/>
      <c r="D973" s="8"/>
      <c r="E973" s="8"/>
      <c r="F973" s="8"/>
      <c r="G973" s="8"/>
      <c r="H973" s="8"/>
      <c r="I973" s="10"/>
      <c r="J973" s="10"/>
      <c r="K973" s="18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9"/>
      <c r="B974" s="8"/>
      <c r="C974" s="8"/>
      <c r="D974" s="8"/>
      <c r="E974" s="8"/>
      <c r="F974" s="8"/>
      <c r="G974" s="8"/>
      <c r="H974" s="8"/>
      <c r="I974" s="10"/>
      <c r="J974" s="10"/>
      <c r="K974" s="18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9"/>
      <c r="B975" s="8"/>
      <c r="C975" s="8"/>
      <c r="D975" s="8"/>
      <c r="E975" s="8"/>
      <c r="F975" s="8"/>
      <c r="G975" s="8"/>
      <c r="H975" s="8"/>
      <c r="I975" s="10"/>
      <c r="J975" s="10"/>
      <c r="K975" s="18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9"/>
      <c r="B976" s="8"/>
      <c r="C976" s="8"/>
      <c r="D976" s="8"/>
      <c r="E976" s="8"/>
      <c r="F976" s="8"/>
      <c r="G976" s="8"/>
      <c r="H976" s="8"/>
      <c r="I976" s="10"/>
      <c r="J976" s="10"/>
      <c r="K976" s="18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9"/>
      <c r="B977" s="8"/>
      <c r="C977" s="8"/>
      <c r="D977" s="8"/>
      <c r="E977" s="8"/>
      <c r="F977" s="8"/>
      <c r="G977" s="8"/>
      <c r="H977" s="8"/>
      <c r="I977" s="10"/>
      <c r="J977" s="10"/>
      <c r="K977" s="18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9"/>
      <c r="B978" s="8"/>
      <c r="C978" s="8"/>
      <c r="D978" s="8"/>
      <c r="E978" s="8"/>
      <c r="F978" s="8"/>
      <c r="G978" s="8"/>
      <c r="H978" s="8"/>
      <c r="I978" s="10"/>
      <c r="J978" s="10"/>
      <c r="K978" s="18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9"/>
      <c r="B979" s="8"/>
      <c r="C979" s="8"/>
      <c r="D979" s="8"/>
      <c r="E979" s="8"/>
      <c r="F979" s="8"/>
      <c r="G979" s="8"/>
      <c r="H979" s="8"/>
      <c r="I979" s="10"/>
      <c r="J979" s="10"/>
      <c r="K979" s="18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9"/>
      <c r="B980" s="8"/>
      <c r="C980" s="8"/>
      <c r="D980" s="8"/>
      <c r="E980" s="8"/>
      <c r="F980" s="8"/>
      <c r="G980" s="8"/>
      <c r="H980" s="8"/>
      <c r="I980" s="10"/>
      <c r="J980" s="10"/>
      <c r="K980" s="18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9"/>
      <c r="B981" s="8"/>
      <c r="C981" s="8"/>
      <c r="D981" s="8"/>
      <c r="E981" s="8"/>
      <c r="F981" s="8"/>
      <c r="G981" s="8"/>
      <c r="H981" s="8"/>
      <c r="I981" s="10"/>
      <c r="J981" s="10"/>
      <c r="K981" s="18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9"/>
      <c r="B982" s="8"/>
      <c r="C982" s="8"/>
      <c r="D982" s="8"/>
      <c r="E982" s="8"/>
      <c r="F982" s="8"/>
      <c r="G982" s="8"/>
      <c r="H982" s="8"/>
      <c r="I982" s="10"/>
      <c r="J982" s="10"/>
      <c r="K982" s="18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9"/>
      <c r="B983" s="8"/>
      <c r="C983" s="8"/>
      <c r="D983" s="8"/>
      <c r="E983" s="8"/>
      <c r="F983" s="8"/>
      <c r="G983" s="8"/>
      <c r="H983" s="8"/>
      <c r="I983" s="10"/>
      <c r="J983" s="10"/>
      <c r="K983" s="18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9"/>
      <c r="B984" s="8"/>
      <c r="C984" s="8"/>
      <c r="D984" s="8"/>
      <c r="E984" s="8"/>
      <c r="F984" s="8"/>
      <c r="G984" s="8"/>
      <c r="H984" s="8"/>
      <c r="I984" s="10"/>
      <c r="J984" s="10"/>
      <c r="K984" s="18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9"/>
      <c r="B985" s="8"/>
      <c r="C985" s="8"/>
      <c r="D985" s="8"/>
      <c r="E985" s="8"/>
      <c r="F985" s="8"/>
      <c r="G985" s="8"/>
      <c r="H985" s="8"/>
      <c r="I985" s="10"/>
      <c r="J985" s="10"/>
      <c r="K985" s="18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9"/>
      <c r="B986" s="8"/>
      <c r="C986" s="8"/>
      <c r="D986" s="8"/>
      <c r="E986" s="8"/>
      <c r="F986" s="8"/>
      <c r="G986" s="8"/>
      <c r="H986" s="8"/>
      <c r="I986" s="10"/>
      <c r="J986" s="10"/>
      <c r="K986" s="18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9"/>
      <c r="B987" s="8"/>
      <c r="C987" s="8"/>
      <c r="D987" s="8"/>
      <c r="E987" s="8"/>
      <c r="F987" s="8"/>
      <c r="G987" s="8"/>
      <c r="H987" s="8"/>
      <c r="I987" s="10"/>
      <c r="J987" s="10"/>
      <c r="K987" s="18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9"/>
      <c r="B988" s="8"/>
      <c r="C988" s="8"/>
      <c r="D988" s="8"/>
      <c r="E988" s="8"/>
      <c r="F988" s="8"/>
      <c r="G988" s="8"/>
      <c r="H988" s="8"/>
      <c r="I988" s="10"/>
      <c r="J988" s="10"/>
      <c r="K988" s="18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9"/>
      <c r="B989" s="8"/>
      <c r="C989" s="8"/>
      <c r="D989" s="8"/>
      <c r="E989" s="8"/>
      <c r="F989" s="8"/>
      <c r="G989" s="8"/>
      <c r="H989" s="8"/>
      <c r="I989" s="10"/>
      <c r="J989" s="10"/>
      <c r="K989" s="18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9"/>
      <c r="B990" s="8"/>
      <c r="C990" s="8"/>
      <c r="D990" s="8"/>
      <c r="E990" s="8"/>
      <c r="F990" s="8"/>
      <c r="G990" s="8"/>
      <c r="H990" s="8"/>
      <c r="I990" s="10"/>
      <c r="J990" s="10"/>
      <c r="K990" s="18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9"/>
      <c r="B991" s="8"/>
      <c r="C991" s="8"/>
      <c r="D991" s="8"/>
      <c r="E991" s="8"/>
      <c r="F991" s="8"/>
      <c r="G991" s="8"/>
      <c r="H991" s="8"/>
      <c r="I991" s="10"/>
      <c r="J991" s="10"/>
      <c r="K991" s="18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9"/>
      <c r="B992" s="8"/>
      <c r="C992" s="8"/>
      <c r="D992" s="8"/>
      <c r="E992" s="8"/>
      <c r="F992" s="8"/>
      <c r="G992" s="8"/>
      <c r="H992" s="8"/>
      <c r="I992" s="10"/>
      <c r="J992" s="10"/>
      <c r="K992" s="18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9"/>
      <c r="B993" s="8"/>
      <c r="C993" s="8"/>
      <c r="D993" s="8"/>
      <c r="E993" s="8"/>
      <c r="F993" s="8"/>
      <c r="G993" s="8"/>
      <c r="H993" s="8"/>
      <c r="I993" s="10"/>
      <c r="J993" s="10"/>
      <c r="K993" s="18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9"/>
      <c r="B994" s="8"/>
      <c r="C994" s="8"/>
      <c r="D994" s="8"/>
      <c r="E994" s="8"/>
      <c r="F994" s="8"/>
      <c r="G994" s="8"/>
      <c r="H994" s="8"/>
      <c r="I994" s="10"/>
      <c r="J994" s="10"/>
      <c r="K994" s="18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9"/>
      <c r="B995" s="8"/>
      <c r="C995" s="8"/>
      <c r="D995" s="8"/>
      <c r="E995" s="8"/>
      <c r="F995" s="8"/>
      <c r="G995" s="8"/>
      <c r="H995" s="8"/>
      <c r="I995" s="10"/>
      <c r="J995" s="10"/>
      <c r="K995" s="18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9"/>
      <c r="B996" s="8"/>
      <c r="C996" s="8"/>
      <c r="D996" s="8"/>
      <c r="E996" s="8"/>
      <c r="F996" s="8"/>
      <c r="G996" s="8"/>
      <c r="H996" s="8"/>
      <c r="I996" s="10"/>
      <c r="J996" s="10"/>
      <c r="K996" s="18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9"/>
      <c r="B997" s="8"/>
      <c r="C997" s="8"/>
      <c r="D997" s="8"/>
      <c r="E997" s="8"/>
      <c r="F997" s="8"/>
      <c r="G997" s="8"/>
      <c r="H997" s="8"/>
      <c r="I997" s="10"/>
      <c r="J997" s="10"/>
      <c r="K997" s="18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9"/>
      <c r="B998" s="8"/>
      <c r="C998" s="8"/>
      <c r="D998" s="8"/>
      <c r="E998" s="8"/>
      <c r="F998" s="8"/>
      <c r="G998" s="8"/>
      <c r="H998" s="8"/>
      <c r="I998" s="10"/>
      <c r="J998" s="10"/>
      <c r="K998" s="18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9"/>
      <c r="B999" s="8"/>
      <c r="C999" s="8"/>
      <c r="D999" s="8"/>
      <c r="E999" s="8"/>
      <c r="F999" s="8"/>
      <c r="G999" s="8"/>
      <c r="H999" s="8"/>
      <c r="I999" s="10"/>
      <c r="J999" s="10"/>
      <c r="K999" s="18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9"/>
      <c r="B1000" s="8"/>
      <c r="C1000" s="8"/>
      <c r="D1000" s="8"/>
      <c r="E1000" s="8"/>
      <c r="F1000" s="8"/>
      <c r="G1000" s="8"/>
      <c r="H1000" s="8"/>
      <c r="I1000" s="10"/>
      <c r="J1000" s="10"/>
      <c r="K1000" s="18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4.25" customHeight="1">
      <c r="A1001" s="9"/>
      <c r="B1001" s="8"/>
      <c r="C1001" s="8"/>
      <c r="D1001" s="8"/>
      <c r="E1001" s="8"/>
      <c r="F1001" s="8"/>
      <c r="G1001" s="8"/>
      <c r="H1001" s="8"/>
      <c r="I1001" s="10"/>
      <c r="J1001" s="10"/>
      <c r="K1001" s="18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4.25" customHeight="1">
      <c r="A1002" s="9"/>
      <c r="B1002" s="8"/>
      <c r="C1002" s="8"/>
      <c r="D1002" s="8"/>
      <c r="E1002" s="8"/>
      <c r="F1002" s="8"/>
      <c r="G1002" s="8"/>
      <c r="H1002" s="8"/>
      <c r="I1002" s="10"/>
      <c r="J1002" s="10"/>
      <c r="K1002" s="18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4.25" customHeight="1">
      <c r="A1003" s="9"/>
      <c r="B1003" s="8"/>
      <c r="C1003" s="8"/>
      <c r="D1003" s="8"/>
      <c r="E1003" s="8"/>
      <c r="F1003" s="8"/>
      <c r="G1003" s="8"/>
      <c r="H1003" s="8"/>
      <c r="I1003" s="10"/>
      <c r="J1003" s="10"/>
      <c r="K1003" s="18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4.25" customHeight="1">
      <c r="A1004" s="9"/>
      <c r="B1004" s="8"/>
      <c r="C1004" s="8"/>
      <c r="D1004" s="8"/>
      <c r="E1004" s="8"/>
      <c r="F1004" s="8"/>
      <c r="G1004" s="8"/>
      <c r="H1004" s="8"/>
      <c r="I1004" s="10"/>
      <c r="J1004" s="10"/>
      <c r="K1004" s="18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4.25" customHeight="1">
      <c r="A1005" s="9"/>
      <c r="B1005" s="8"/>
      <c r="C1005" s="8"/>
      <c r="D1005" s="8"/>
      <c r="E1005" s="8"/>
      <c r="F1005" s="8"/>
      <c r="G1005" s="8"/>
      <c r="H1005" s="8"/>
      <c r="I1005" s="10"/>
      <c r="J1005" s="10"/>
      <c r="K1005" s="18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4.25" customHeight="1">
      <c r="A1006" s="9"/>
      <c r="B1006" s="8"/>
      <c r="C1006" s="8"/>
      <c r="D1006" s="8"/>
      <c r="E1006" s="8"/>
      <c r="F1006" s="8"/>
      <c r="G1006" s="8"/>
      <c r="H1006" s="8"/>
      <c r="I1006" s="10"/>
      <c r="J1006" s="10"/>
      <c r="K1006" s="18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4.25" customHeight="1">
      <c r="A1007" s="9"/>
      <c r="B1007" s="8"/>
      <c r="C1007" s="8"/>
      <c r="D1007" s="8"/>
      <c r="E1007" s="8"/>
      <c r="F1007" s="8"/>
      <c r="G1007" s="8"/>
      <c r="H1007" s="8"/>
      <c r="I1007" s="10"/>
      <c r="J1007" s="10"/>
      <c r="K1007" s="18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4.25" customHeight="1">
      <c r="A1008" s="9"/>
      <c r="B1008" s="8"/>
      <c r="C1008" s="8"/>
      <c r="D1008" s="8"/>
      <c r="E1008" s="8"/>
      <c r="F1008" s="8"/>
      <c r="G1008" s="8"/>
      <c r="H1008" s="8"/>
      <c r="I1008" s="10"/>
      <c r="J1008" s="10"/>
      <c r="K1008" s="18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ht="14.25" customHeight="1">
      <c r="A1009" s="9"/>
      <c r="B1009" s="8"/>
      <c r="C1009" s="8"/>
      <c r="D1009" s="8"/>
      <c r="E1009" s="8"/>
      <c r="F1009" s="8"/>
      <c r="G1009" s="8"/>
      <c r="H1009" s="8"/>
      <c r="I1009" s="10"/>
      <c r="J1009" s="10"/>
      <c r="K1009" s="18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ht="14.25" customHeight="1">
      <c r="A1010" s="9"/>
      <c r="B1010" s="8"/>
      <c r="C1010" s="8"/>
      <c r="D1010" s="8"/>
      <c r="E1010" s="8"/>
      <c r="F1010" s="8"/>
      <c r="G1010" s="8"/>
      <c r="H1010" s="8"/>
      <c r="I1010" s="10"/>
      <c r="J1010" s="10"/>
      <c r="K1010" s="18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ht="14.25" customHeight="1">
      <c r="A1011" s="9"/>
      <c r="B1011" s="8"/>
      <c r="C1011" s="8"/>
      <c r="D1011" s="8"/>
      <c r="E1011" s="8"/>
      <c r="F1011" s="8"/>
      <c r="G1011" s="8"/>
      <c r="H1011" s="8"/>
      <c r="I1011" s="10"/>
      <c r="J1011" s="10"/>
      <c r="K1011" s="18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ht="14.25" customHeight="1">
      <c r="A1012" s="9"/>
      <c r="B1012" s="8"/>
      <c r="C1012" s="8"/>
      <c r="D1012" s="8"/>
      <c r="E1012" s="8"/>
      <c r="F1012" s="8"/>
      <c r="G1012" s="8"/>
      <c r="H1012" s="8"/>
      <c r="I1012" s="10"/>
      <c r="J1012" s="10"/>
      <c r="K1012" s="18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ht="14.25" customHeight="1">
      <c r="A1013" s="9"/>
      <c r="B1013" s="8"/>
      <c r="C1013" s="8"/>
      <c r="D1013" s="8"/>
      <c r="E1013" s="8"/>
      <c r="F1013" s="8"/>
      <c r="G1013" s="8"/>
      <c r="H1013" s="8"/>
      <c r="I1013" s="10"/>
      <c r="J1013" s="10"/>
      <c r="K1013" s="18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ht="14.25" customHeight="1">
      <c r="A1014" s="9"/>
      <c r="B1014" s="8"/>
      <c r="C1014" s="8"/>
      <c r="D1014" s="8"/>
      <c r="E1014" s="8"/>
      <c r="F1014" s="8"/>
      <c r="G1014" s="8"/>
      <c r="H1014" s="8"/>
      <c r="I1014" s="10"/>
      <c r="J1014" s="10"/>
      <c r="K1014" s="18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ht="14.25" customHeight="1">
      <c r="A1015" s="9"/>
      <c r="B1015" s="8"/>
      <c r="C1015" s="8"/>
      <c r="D1015" s="8"/>
      <c r="E1015" s="8"/>
      <c r="F1015" s="8"/>
      <c r="G1015" s="8"/>
      <c r="H1015" s="8"/>
      <c r="I1015" s="10"/>
      <c r="J1015" s="10"/>
      <c r="K1015" s="18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ht="14.25" customHeight="1">
      <c r="A1016" s="9"/>
      <c r="B1016" s="8"/>
      <c r="C1016" s="8"/>
      <c r="D1016" s="8"/>
      <c r="E1016" s="8"/>
      <c r="F1016" s="8"/>
      <c r="G1016" s="8"/>
      <c r="H1016" s="8"/>
      <c r="I1016" s="10"/>
      <c r="J1016" s="10"/>
      <c r="K1016" s="18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ht="14.25" customHeight="1">
      <c r="A1017" s="9"/>
      <c r="B1017" s="8"/>
      <c r="C1017" s="8"/>
      <c r="D1017" s="8"/>
      <c r="E1017" s="8"/>
      <c r="F1017" s="8"/>
      <c r="G1017" s="8"/>
      <c r="H1017" s="8"/>
      <c r="I1017" s="10"/>
      <c r="J1017" s="10"/>
      <c r="K1017" s="18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ht="14.25" customHeight="1">
      <c r="A1018" s="9"/>
      <c r="B1018" s="8"/>
      <c r="C1018" s="8"/>
      <c r="D1018" s="8"/>
      <c r="E1018" s="8"/>
      <c r="F1018" s="8"/>
      <c r="G1018" s="8"/>
      <c r="H1018" s="8"/>
      <c r="I1018" s="10"/>
      <c r="J1018" s="10"/>
      <c r="K1018" s="18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ht="14.25" customHeight="1">
      <c r="A1019" s="9"/>
      <c r="B1019" s="8"/>
      <c r="C1019" s="8"/>
      <c r="D1019" s="8"/>
      <c r="E1019" s="8"/>
      <c r="F1019" s="8"/>
      <c r="G1019" s="8"/>
      <c r="H1019" s="8"/>
      <c r="I1019" s="10"/>
      <c r="J1019" s="10"/>
      <c r="K1019" s="18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ht="14.25" customHeight="1">
      <c r="A1020" s="9"/>
      <c r="B1020" s="8"/>
      <c r="C1020" s="8"/>
      <c r="D1020" s="8"/>
      <c r="E1020" s="8"/>
      <c r="F1020" s="8"/>
      <c r="G1020" s="8"/>
      <c r="H1020" s="8"/>
      <c r="I1020" s="10"/>
      <c r="J1020" s="10"/>
      <c r="K1020" s="18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ht="14.25" customHeight="1">
      <c r="A1021" s="9"/>
      <c r="B1021" s="8"/>
      <c r="C1021" s="8"/>
      <c r="D1021" s="8"/>
      <c r="E1021" s="8"/>
      <c r="F1021" s="8"/>
      <c r="G1021" s="8"/>
      <c r="H1021" s="8"/>
      <c r="I1021" s="10"/>
      <c r="J1021" s="10"/>
      <c r="K1021" s="18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ht="14.25" customHeight="1">
      <c r="A1022" s="9"/>
      <c r="B1022" s="8"/>
      <c r="C1022" s="8"/>
      <c r="D1022" s="8"/>
      <c r="E1022" s="8"/>
      <c r="F1022" s="8"/>
      <c r="G1022" s="8"/>
      <c r="H1022" s="8"/>
      <c r="I1022" s="10"/>
      <c r="J1022" s="10"/>
      <c r="K1022" s="18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ht="14.25" customHeight="1">
      <c r="A1023" s="9"/>
      <c r="B1023" s="8"/>
      <c r="C1023" s="8"/>
      <c r="D1023" s="8"/>
      <c r="E1023" s="8"/>
      <c r="F1023" s="8"/>
      <c r="G1023" s="8"/>
      <c r="H1023" s="8"/>
      <c r="I1023" s="10"/>
      <c r="J1023" s="10"/>
      <c r="K1023" s="18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ht="14.25" customHeight="1">
      <c r="A1024" s="9"/>
      <c r="B1024" s="8"/>
      <c r="C1024" s="8"/>
      <c r="D1024" s="8"/>
      <c r="E1024" s="8"/>
      <c r="F1024" s="8"/>
      <c r="G1024" s="8"/>
      <c r="H1024" s="8"/>
      <c r="I1024" s="10"/>
      <c r="J1024" s="10"/>
      <c r="K1024" s="18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ht="14.25" customHeight="1">
      <c r="A1025" s="9"/>
      <c r="B1025" s="8"/>
      <c r="C1025" s="8"/>
      <c r="D1025" s="8"/>
      <c r="E1025" s="8"/>
      <c r="F1025" s="8"/>
      <c r="G1025" s="8"/>
      <c r="H1025" s="8"/>
      <c r="I1025" s="10"/>
      <c r="J1025" s="10"/>
      <c r="K1025" s="18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ht="14.25" customHeight="1">
      <c r="A1026" s="9"/>
      <c r="B1026" s="8"/>
      <c r="C1026" s="8"/>
      <c r="D1026" s="8"/>
      <c r="E1026" s="8"/>
      <c r="F1026" s="8"/>
      <c r="G1026" s="8"/>
      <c r="H1026" s="8"/>
      <c r="I1026" s="10"/>
      <c r="J1026" s="10"/>
      <c r="K1026" s="18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ht="14.25" customHeight="1">
      <c r="A1027" s="9"/>
      <c r="B1027" s="8"/>
      <c r="C1027" s="8"/>
      <c r="D1027" s="8"/>
      <c r="E1027" s="8"/>
      <c r="F1027" s="8"/>
      <c r="G1027" s="8"/>
      <c r="H1027" s="8"/>
      <c r="I1027" s="10"/>
      <c r="J1027" s="10"/>
      <c r="K1027" s="18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ht="14.25" customHeight="1">
      <c r="A1028" s="9"/>
      <c r="B1028" s="8"/>
      <c r="C1028" s="8"/>
      <c r="D1028" s="8"/>
      <c r="E1028" s="8"/>
      <c r="F1028" s="8"/>
      <c r="G1028" s="8"/>
      <c r="H1028" s="8"/>
      <c r="I1028" s="10"/>
      <c r="J1028" s="10"/>
      <c r="K1028" s="18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ht="14.25" customHeight="1">
      <c r="A1029" s="9"/>
      <c r="B1029" s="8"/>
      <c r="C1029" s="8"/>
      <c r="D1029" s="8"/>
      <c r="E1029" s="8"/>
      <c r="F1029" s="8"/>
      <c r="G1029" s="8"/>
      <c r="H1029" s="8"/>
      <c r="I1029" s="10"/>
      <c r="J1029" s="10"/>
      <c r="K1029" s="18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ht="14.25" customHeight="1">
      <c r="A1030" s="9"/>
      <c r="B1030" s="8"/>
      <c r="C1030" s="8"/>
      <c r="D1030" s="8"/>
      <c r="E1030" s="8"/>
      <c r="F1030" s="8"/>
      <c r="G1030" s="8"/>
      <c r="H1030" s="8"/>
      <c r="I1030" s="10"/>
      <c r="J1030" s="10"/>
      <c r="K1030" s="18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ht="14.25" customHeight="1">
      <c r="A1031" s="9"/>
      <c r="B1031" s="8"/>
      <c r="C1031" s="8"/>
      <c r="D1031" s="8"/>
      <c r="E1031" s="8"/>
      <c r="F1031" s="8"/>
      <c r="G1031" s="8"/>
      <c r="H1031" s="8"/>
      <c r="I1031" s="10"/>
      <c r="J1031" s="10"/>
      <c r="K1031" s="18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ht="14.25" customHeight="1">
      <c r="A1032" s="9"/>
      <c r="B1032" s="8"/>
      <c r="C1032" s="8"/>
      <c r="D1032" s="8"/>
      <c r="E1032" s="8"/>
      <c r="F1032" s="8"/>
      <c r="G1032" s="8"/>
      <c r="H1032" s="8"/>
      <c r="I1032" s="10"/>
      <c r="J1032" s="10"/>
      <c r="K1032" s="18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ht="14.25" customHeight="1">
      <c r="A1033" s="9"/>
      <c r="B1033" s="8"/>
      <c r="C1033" s="8"/>
      <c r="D1033" s="8"/>
      <c r="E1033" s="8"/>
      <c r="F1033" s="8"/>
      <c r="G1033" s="8"/>
      <c r="H1033" s="8"/>
      <c r="I1033" s="10"/>
      <c r="J1033" s="10"/>
      <c r="K1033" s="18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ht="14.25" customHeight="1">
      <c r="A1034" s="9"/>
      <c r="B1034" s="8"/>
      <c r="C1034" s="8"/>
      <c r="D1034" s="8"/>
      <c r="E1034" s="8"/>
      <c r="F1034" s="8"/>
      <c r="G1034" s="8"/>
      <c r="H1034" s="8"/>
      <c r="I1034" s="10"/>
      <c r="J1034" s="10"/>
      <c r="K1034" s="18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ht="14.25" customHeight="1">
      <c r="A1035" s="9"/>
      <c r="B1035" s="8"/>
      <c r="C1035" s="8"/>
      <c r="D1035" s="8"/>
      <c r="E1035" s="8"/>
      <c r="F1035" s="8"/>
      <c r="G1035" s="8"/>
      <c r="H1035" s="8"/>
      <c r="I1035" s="10"/>
      <c r="J1035" s="10"/>
      <c r="K1035" s="18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ht="14.25" customHeight="1">
      <c r="A1036" s="9"/>
      <c r="B1036" s="8"/>
      <c r="C1036" s="8"/>
      <c r="D1036" s="8"/>
      <c r="E1036" s="8"/>
      <c r="F1036" s="8"/>
      <c r="G1036" s="8"/>
      <c r="H1036" s="8"/>
      <c r="I1036" s="10"/>
      <c r="J1036" s="10"/>
      <c r="K1036" s="18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ht="14.25" customHeight="1">
      <c r="A1037" s="9"/>
      <c r="B1037" s="8"/>
      <c r="C1037" s="8"/>
      <c r="D1037" s="8"/>
      <c r="E1037" s="8"/>
      <c r="F1037" s="8"/>
      <c r="G1037" s="8"/>
      <c r="H1037" s="8"/>
      <c r="I1037" s="10"/>
      <c r="J1037" s="10"/>
      <c r="K1037" s="18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ht="14.25" customHeight="1">
      <c r="A1038" s="9"/>
      <c r="B1038" s="8"/>
      <c r="C1038" s="8"/>
      <c r="D1038" s="8"/>
      <c r="E1038" s="8"/>
      <c r="F1038" s="8"/>
      <c r="G1038" s="8"/>
      <c r="H1038" s="8"/>
      <c r="I1038" s="10"/>
      <c r="J1038" s="10"/>
      <c r="K1038" s="18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ht="14.25" customHeight="1">
      <c r="A1039" s="9"/>
      <c r="B1039" s="8"/>
      <c r="C1039" s="8"/>
      <c r="D1039" s="8"/>
      <c r="E1039" s="8"/>
      <c r="F1039" s="8"/>
      <c r="G1039" s="8"/>
      <c r="H1039" s="8"/>
      <c r="I1039" s="10"/>
      <c r="J1039" s="10"/>
      <c r="K1039" s="18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ht="14.25" customHeight="1">
      <c r="A1040" s="9"/>
      <c r="B1040" s="8"/>
      <c r="C1040" s="8"/>
      <c r="D1040" s="8"/>
      <c r="E1040" s="8"/>
      <c r="F1040" s="8"/>
      <c r="G1040" s="8"/>
      <c r="H1040" s="8"/>
      <c r="I1040" s="10"/>
      <c r="J1040" s="10"/>
      <c r="K1040" s="18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ht="14.25" customHeight="1">
      <c r="A1041" s="9"/>
      <c r="B1041" s="8"/>
      <c r="C1041" s="8"/>
      <c r="D1041" s="8"/>
      <c r="E1041" s="8"/>
      <c r="F1041" s="8"/>
      <c r="G1041" s="8"/>
      <c r="H1041" s="8"/>
      <c r="I1041" s="10"/>
      <c r="J1041" s="10"/>
      <c r="K1041" s="18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ht="14.25" customHeight="1">
      <c r="A1042" s="9"/>
      <c r="B1042" s="8"/>
      <c r="C1042" s="8"/>
      <c r="D1042" s="8"/>
      <c r="E1042" s="8"/>
      <c r="F1042" s="8"/>
      <c r="G1042" s="8"/>
      <c r="H1042" s="8"/>
      <c r="I1042" s="10"/>
      <c r="J1042" s="10"/>
      <c r="K1042" s="18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ht="14.25" customHeight="1">
      <c r="A1043" s="9"/>
      <c r="B1043" s="8"/>
      <c r="C1043" s="8"/>
      <c r="D1043" s="8"/>
      <c r="E1043" s="8"/>
      <c r="F1043" s="8"/>
      <c r="G1043" s="8"/>
      <c r="H1043" s="8"/>
      <c r="I1043" s="10"/>
      <c r="J1043" s="10"/>
      <c r="K1043" s="18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ht="14.25" customHeight="1">
      <c r="A1044" s="9"/>
      <c r="B1044" s="8"/>
      <c r="C1044" s="8"/>
      <c r="D1044" s="8"/>
      <c r="E1044" s="8"/>
      <c r="F1044" s="8"/>
      <c r="G1044" s="8"/>
      <c r="H1044" s="8"/>
      <c r="I1044" s="10"/>
      <c r="J1044" s="10"/>
      <c r="K1044" s="18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ht="14.25" customHeight="1">
      <c r="A1045" s="9"/>
      <c r="B1045" s="8"/>
      <c r="C1045" s="8"/>
      <c r="D1045" s="8"/>
      <c r="E1045" s="8"/>
      <c r="F1045" s="8"/>
      <c r="G1045" s="8"/>
      <c r="H1045" s="8"/>
      <c r="I1045" s="10"/>
      <c r="J1045" s="10"/>
      <c r="K1045" s="18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ht="14.25" customHeight="1">
      <c r="A1046" s="9"/>
      <c r="B1046" s="8"/>
      <c r="C1046" s="8"/>
      <c r="D1046" s="8"/>
      <c r="E1046" s="8"/>
      <c r="F1046" s="8"/>
      <c r="G1046" s="8"/>
      <c r="H1046" s="8"/>
      <c r="I1046" s="10"/>
      <c r="J1046" s="10"/>
      <c r="K1046" s="18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ht="14.25" customHeight="1">
      <c r="A1047" s="9"/>
      <c r="B1047" s="8"/>
      <c r="C1047" s="8"/>
      <c r="D1047" s="8"/>
      <c r="E1047" s="8"/>
      <c r="F1047" s="8"/>
      <c r="G1047" s="8"/>
      <c r="H1047" s="8"/>
      <c r="I1047" s="10"/>
      <c r="J1047" s="10"/>
      <c r="K1047" s="18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ht="14.25" customHeight="1">
      <c r="A1048" s="9"/>
      <c r="B1048" s="8"/>
      <c r="C1048" s="8"/>
      <c r="D1048" s="8"/>
      <c r="E1048" s="8"/>
      <c r="F1048" s="8"/>
      <c r="G1048" s="8"/>
      <c r="H1048" s="8"/>
      <c r="I1048" s="10"/>
      <c r="J1048" s="10"/>
      <c r="K1048" s="18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ht="14.25" customHeight="1">
      <c r="A1049" s="9"/>
      <c r="B1049" s="8"/>
      <c r="C1049" s="8"/>
      <c r="D1049" s="8"/>
      <c r="E1049" s="8"/>
      <c r="F1049" s="8"/>
      <c r="G1049" s="8"/>
      <c r="H1049" s="8"/>
      <c r="I1049" s="10"/>
      <c r="J1049" s="10"/>
      <c r="K1049" s="18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ht="14.25" customHeight="1">
      <c r="A1050" s="9"/>
      <c r="B1050" s="8"/>
      <c r="C1050" s="8"/>
      <c r="D1050" s="8"/>
      <c r="E1050" s="8"/>
      <c r="F1050" s="8"/>
      <c r="G1050" s="8"/>
      <c r="H1050" s="8"/>
      <c r="I1050" s="10"/>
      <c r="J1050" s="10"/>
      <c r="K1050" s="18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ht="14.25" customHeight="1">
      <c r="A1051" s="9"/>
      <c r="B1051" s="8"/>
      <c r="C1051" s="8"/>
      <c r="D1051" s="8"/>
      <c r="E1051" s="8"/>
      <c r="F1051" s="8"/>
      <c r="G1051" s="8"/>
      <c r="H1051" s="8"/>
      <c r="I1051" s="10"/>
      <c r="J1051" s="10"/>
      <c r="K1051" s="18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ht="14.25" customHeight="1">
      <c r="A1052" s="9"/>
      <c r="B1052" s="8"/>
      <c r="C1052" s="8"/>
      <c r="D1052" s="8"/>
      <c r="E1052" s="8"/>
      <c r="F1052" s="8"/>
      <c r="G1052" s="8"/>
      <c r="H1052" s="8"/>
      <c r="I1052" s="10"/>
      <c r="J1052" s="10"/>
      <c r="K1052" s="18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ht="14.25" customHeight="1">
      <c r="A1053" s="9"/>
      <c r="B1053" s="8"/>
      <c r="C1053" s="8"/>
      <c r="D1053" s="8"/>
      <c r="E1053" s="8"/>
      <c r="F1053" s="8"/>
      <c r="G1053" s="8"/>
      <c r="H1053" s="8"/>
      <c r="I1053" s="10"/>
      <c r="J1053" s="10"/>
      <c r="K1053" s="18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ht="14.25" customHeight="1">
      <c r="A1054" s="9"/>
      <c r="B1054" s="8"/>
      <c r="C1054" s="8"/>
      <c r="D1054" s="8"/>
      <c r="E1054" s="8"/>
      <c r="F1054" s="8"/>
      <c r="G1054" s="8"/>
      <c r="H1054" s="8"/>
      <c r="I1054" s="10"/>
      <c r="J1054" s="10"/>
      <c r="K1054" s="18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ht="14.25" customHeight="1">
      <c r="A1055" s="9"/>
      <c r="B1055" s="8"/>
      <c r="C1055" s="8"/>
      <c r="D1055" s="8"/>
      <c r="E1055" s="8"/>
      <c r="F1055" s="8"/>
      <c r="G1055" s="8"/>
      <c r="H1055" s="8"/>
      <c r="I1055" s="10"/>
      <c r="J1055" s="10"/>
      <c r="K1055" s="18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ht="14.25" customHeight="1">
      <c r="A1056" s="9"/>
      <c r="B1056" s="8"/>
      <c r="C1056" s="8"/>
      <c r="D1056" s="8"/>
      <c r="E1056" s="8"/>
      <c r="F1056" s="8"/>
      <c r="G1056" s="8"/>
      <c r="H1056" s="8"/>
      <c r="I1056" s="10"/>
      <c r="J1056" s="10"/>
      <c r="K1056" s="18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ht="14.25" customHeight="1">
      <c r="A1057" s="9"/>
      <c r="B1057" s="8"/>
      <c r="C1057" s="8"/>
      <c r="D1057" s="8"/>
      <c r="E1057" s="8"/>
      <c r="F1057" s="8"/>
      <c r="G1057" s="8"/>
      <c r="H1057" s="8"/>
      <c r="I1057" s="10"/>
      <c r="J1057" s="10"/>
      <c r="K1057" s="18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ht="14.25" customHeight="1">
      <c r="A1058" s="9"/>
      <c r="B1058" s="8"/>
      <c r="C1058" s="8"/>
      <c r="D1058" s="8"/>
      <c r="E1058" s="8"/>
      <c r="F1058" s="8"/>
      <c r="G1058" s="8"/>
      <c r="H1058" s="8"/>
      <c r="I1058" s="10"/>
      <c r="J1058" s="10"/>
      <c r="K1058" s="18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ht="14.25" customHeight="1">
      <c r="A1059" s="9"/>
      <c r="B1059" s="8"/>
      <c r="C1059" s="8"/>
      <c r="D1059" s="8"/>
      <c r="E1059" s="8"/>
      <c r="F1059" s="8"/>
      <c r="G1059" s="8"/>
      <c r="H1059" s="8"/>
      <c r="I1059" s="10"/>
      <c r="J1059" s="10"/>
      <c r="K1059" s="18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ht="14.25" customHeight="1">
      <c r="A1060" s="9"/>
      <c r="B1060" s="8"/>
      <c r="C1060" s="8"/>
      <c r="D1060" s="8"/>
      <c r="E1060" s="8"/>
      <c r="F1060" s="8"/>
      <c r="G1060" s="8"/>
      <c r="H1060" s="8"/>
      <c r="I1060" s="10"/>
      <c r="J1060" s="10"/>
      <c r="K1060" s="18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ht="14.25" customHeight="1">
      <c r="A1061" s="9"/>
      <c r="B1061" s="8"/>
      <c r="C1061" s="8"/>
      <c r="D1061" s="8"/>
      <c r="E1061" s="8"/>
      <c r="F1061" s="8"/>
      <c r="G1061" s="8"/>
      <c r="H1061" s="8"/>
      <c r="I1061" s="10"/>
      <c r="J1061" s="10"/>
      <c r="K1061" s="18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ht="14.25" customHeight="1">
      <c r="A1062" s="9"/>
      <c r="B1062" s="8"/>
      <c r="C1062" s="8"/>
      <c r="D1062" s="8"/>
      <c r="E1062" s="8"/>
      <c r="F1062" s="8"/>
      <c r="G1062" s="8"/>
      <c r="H1062" s="8"/>
      <c r="I1062" s="10"/>
      <c r="J1062" s="10"/>
      <c r="K1062" s="18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ht="14.25" customHeight="1">
      <c r="A1063" s="9"/>
      <c r="B1063" s="8"/>
      <c r="C1063" s="8"/>
      <c r="D1063" s="8"/>
      <c r="E1063" s="8"/>
      <c r="F1063" s="8"/>
      <c r="G1063" s="8"/>
      <c r="H1063" s="8"/>
      <c r="I1063" s="10"/>
      <c r="J1063" s="10"/>
      <c r="K1063" s="18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ht="14.25" customHeight="1">
      <c r="A1064" s="9"/>
      <c r="B1064" s="8"/>
      <c r="C1064" s="8"/>
      <c r="D1064" s="8"/>
      <c r="E1064" s="8"/>
      <c r="F1064" s="8"/>
      <c r="G1064" s="8"/>
      <c r="H1064" s="8"/>
      <c r="I1064" s="10"/>
      <c r="J1064" s="10"/>
      <c r="K1064" s="18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ht="14.25" customHeight="1">
      <c r="A1065" s="9"/>
      <c r="B1065" s="8"/>
      <c r="C1065" s="8"/>
      <c r="D1065" s="8"/>
      <c r="E1065" s="8"/>
      <c r="F1065" s="8"/>
      <c r="G1065" s="8"/>
      <c r="H1065" s="8"/>
      <c r="I1065" s="10"/>
      <c r="J1065" s="10"/>
      <c r="K1065" s="18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ht="14.25" customHeight="1">
      <c r="A1066" s="9"/>
      <c r="B1066" s="8"/>
      <c r="C1066" s="8"/>
      <c r="D1066" s="8"/>
      <c r="E1066" s="8"/>
      <c r="F1066" s="8"/>
      <c r="G1066" s="8"/>
      <c r="H1066" s="8"/>
      <c r="I1066" s="10"/>
      <c r="J1066" s="10"/>
      <c r="K1066" s="18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ht="14.25" customHeight="1">
      <c r="A1067" s="9"/>
      <c r="B1067" s="8"/>
      <c r="C1067" s="8"/>
      <c r="D1067" s="8"/>
      <c r="E1067" s="8"/>
      <c r="F1067" s="8"/>
      <c r="G1067" s="8"/>
      <c r="H1067" s="8"/>
      <c r="I1067" s="10"/>
      <c r="J1067" s="10"/>
      <c r="K1067" s="18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ht="14.25" customHeight="1">
      <c r="A1068" s="9"/>
      <c r="B1068" s="8"/>
      <c r="C1068" s="8"/>
      <c r="D1068" s="8"/>
      <c r="E1068" s="8"/>
      <c r="F1068" s="8"/>
      <c r="G1068" s="8"/>
      <c r="H1068" s="8"/>
      <c r="I1068" s="10"/>
      <c r="J1068" s="10"/>
      <c r="K1068" s="18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ht="14.25" customHeight="1">
      <c r="A1069" s="9"/>
      <c r="B1069" s="8"/>
      <c r="C1069" s="8"/>
      <c r="D1069" s="8"/>
      <c r="E1069" s="8"/>
      <c r="F1069" s="8"/>
      <c r="G1069" s="8"/>
      <c r="H1069" s="8"/>
      <c r="I1069" s="10"/>
      <c r="J1069" s="10"/>
      <c r="K1069" s="18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ht="14.25" customHeight="1">
      <c r="A1070" s="9"/>
      <c r="B1070" s="8"/>
      <c r="C1070" s="8"/>
      <c r="D1070" s="8"/>
      <c r="E1070" s="8"/>
      <c r="F1070" s="8"/>
      <c r="G1070" s="8"/>
      <c r="H1070" s="8"/>
      <c r="I1070" s="10"/>
      <c r="J1070" s="10"/>
      <c r="K1070" s="18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ht="14.25" customHeight="1">
      <c r="A1071" s="9"/>
      <c r="B1071" s="8"/>
      <c r="C1071" s="8"/>
      <c r="D1071" s="8"/>
      <c r="E1071" s="8"/>
      <c r="F1071" s="8"/>
      <c r="G1071" s="8"/>
      <c r="H1071" s="8"/>
      <c r="I1071" s="10"/>
      <c r="J1071" s="10"/>
      <c r="K1071" s="18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ht="14.25" customHeight="1">
      <c r="A1072" s="9"/>
      <c r="B1072" s="8"/>
      <c r="C1072" s="8"/>
      <c r="D1072" s="8"/>
      <c r="E1072" s="8"/>
      <c r="F1072" s="8"/>
      <c r="G1072" s="8"/>
      <c r="H1072" s="8"/>
      <c r="I1072" s="10"/>
      <c r="J1072" s="10"/>
      <c r="K1072" s="18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ht="14.25" customHeight="1">
      <c r="A1073" s="9"/>
      <c r="B1073" s="8"/>
      <c r="C1073" s="8"/>
      <c r="D1073" s="8"/>
      <c r="E1073" s="8"/>
      <c r="F1073" s="8"/>
      <c r="G1073" s="8"/>
      <c r="H1073" s="8"/>
      <c r="I1073" s="10"/>
      <c r="J1073" s="10"/>
      <c r="K1073" s="18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ht="14.25" customHeight="1">
      <c r="A1074" s="9"/>
      <c r="B1074" s="8"/>
      <c r="C1074" s="8"/>
      <c r="D1074" s="8"/>
      <c r="E1074" s="8"/>
      <c r="F1074" s="8"/>
      <c r="G1074" s="8"/>
      <c r="H1074" s="8"/>
      <c r="I1074" s="10"/>
      <c r="J1074" s="10"/>
      <c r="K1074" s="18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ht="14.25" customHeight="1">
      <c r="A1075" s="9"/>
      <c r="B1075" s="8"/>
      <c r="C1075" s="8"/>
      <c r="D1075" s="8"/>
      <c r="E1075" s="8"/>
      <c r="F1075" s="8"/>
      <c r="G1075" s="8"/>
      <c r="H1075" s="8"/>
      <c r="I1075" s="10"/>
      <c r="J1075" s="10"/>
      <c r="K1075" s="18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ht="14.25" customHeight="1">
      <c r="A1076" s="9"/>
      <c r="B1076" s="8"/>
      <c r="C1076" s="8"/>
      <c r="D1076" s="8"/>
      <c r="E1076" s="8"/>
      <c r="F1076" s="8"/>
      <c r="G1076" s="8"/>
      <c r="H1076" s="8"/>
      <c r="I1076" s="10"/>
      <c r="J1076" s="10"/>
      <c r="K1076" s="18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ht="14.25" customHeight="1">
      <c r="A1077" s="9"/>
      <c r="B1077" s="8"/>
      <c r="C1077" s="8"/>
      <c r="D1077" s="8"/>
      <c r="E1077" s="8"/>
      <c r="F1077" s="8"/>
      <c r="G1077" s="8"/>
      <c r="H1077" s="8"/>
      <c r="I1077" s="10"/>
      <c r="J1077" s="10"/>
      <c r="K1077" s="18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ht="14.25" customHeight="1">
      <c r="A1078" s="9"/>
      <c r="B1078" s="8"/>
      <c r="C1078" s="8"/>
      <c r="D1078" s="8"/>
      <c r="E1078" s="8"/>
      <c r="F1078" s="8"/>
      <c r="G1078" s="8"/>
      <c r="H1078" s="8"/>
      <c r="I1078" s="10"/>
      <c r="J1078" s="10"/>
      <c r="K1078" s="18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ht="14.25" customHeight="1">
      <c r="A1079" s="9"/>
      <c r="B1079" s="8"/>
      <c r="C1079" s="8"/>
      <c r="D1079" s="8"/>
      <c r="E1079" s="8"/>
      <c r="F1079" s="8"/>
      <c r="G1079" s="8"/>
      <c r="H1079" s="8"/>
      <c r="I1079" s="10"/>
      <c r="J1079" s="10"/>
      <c r="K1079" s="18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ht="14.25" customHeight="1">
      <c r="A1080" s="9"/>
      <c r="B1080" s="8"/>
      <c r="C1080" s="8"/>
      <c r="D1080" s="8"/>
      <c r="E1080" s="8"/>
      <c r="F1080" s="8"/>
      <c r="G1080" s="8"/>
      <c r="H1080" s="8"/>
      <c r="I1080" s="10"/>
      <c r="J1080" s="10"/>
      <c r="K1080" s="18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ht="14.25" customHeight="1">
      <c r="A1081" s="9"/>
      <c r="B1081" s="8"/>
      <c r="C1081" s="8"/>
      <c r="D1081" s="8"/>
      <c r="E1081" s="8"/>
      <c r="F1081" s="8"/>
      <c r="G1081" s="8"/>
      <c r="H1081" s="8"/>
      <c r="I1081" s="10"/>
      <c r="J1081" s="10"/>
      <c r="K1081" s="18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ht="14.25" customHeight="1">
      <c r="A1082" s="9"/>
      <c r="B1082" s="8"/>
      <c r="C1082" s="8"/>
      <c r="D1082" s="8"/>
      <c r="E1082" s="8"/>
      <c r="F1082" s="8"/>
      <c r="G1082" s="8"/>
      <c r="H1082" s="8"/>
      <c r="I1082" s="10"/>
      <c r="J1082" s="10"/>
      <c r="K1082" s="18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ht="14.25" customHeight="1">
      <c r="A1083" s="9"/>
      <c r="B1083" s="8"/>
      <c r="C1083" s="8"/>
      <c r="D1083" s="8"/>
      <c r="E1083" s="8"/>
      <c r="F1083" s="8"/>
      <c r="G1083" s="8"/>
      <c r="H1083" s="8"/>
      <c r="I1083" s="10"/>
      <c r="J1083" s="10"/>
      <c r="K1083" s="18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ht="14.25" customHeight="1">
      <c r="A1084" s="9"/>
      <c r="B1084" s="8"/>
      <c r="C1084" s="8"/>
      <c r="D1084" s="8"/>
      <c r="E1084" s="8"/>
      <c r="F1084" s="8"/>
      <c r="G1084" s="8"/>
      <c r="H1084" s="8"/>
      <c r="I1084" s="10"/>
      <c r="J1084" s="10"/>
      <c r="K1084" s="18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ht="14.25" customHeight="1">
      <c r="A1085" s="9"/>
      <c r="B1085" s="8"/>
      <c r="C1085" s="8"/>
      <c r="D1085" s="8"/>
      <c r="E1085" s="8"/>
      <c r="F1085" s="8"/>
      <c r="G1085" s="8"/>
      <c r="H1085" s="8"/>
      <c r="I1085" s="10"/>
      <c r="J1085" s="10"/>
      <c r="K1085" s="18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ht="14.25" customHeight="1">
      <c r="A1086" s="9"/>
      <c r="B1086" s="8"/>
      <c r="C1086" s="8"/>
      <c r="D1086" s="8"/>
      <c r="E1086" s="8"/>
      <c r="F1086" s="8"/>
      <c r="G1086" s="8"/>
      <c r="H1086" s="8"/>
      <c r="I1086" s="10"/>
      <c r="J1086" s="10"/>
      <c r="K1086" s="18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ht="14.25" customHeight="1">
      <c r="A1087" s="9"/>
      <c r="B1087" s="8"/>
      <c r="C1087" s="8"/>
      <c r="D1087" s="8"/>
      <c r="E1087" s="8"/>
      <c r="F1087" s="8"/>
      <c r="G1087" s="8"/>
      <c r="H1087" s="8"/>
      <c r="I1087" s="10"/>
      <c r="J1087" s="10"/>
      <c r="K1087" s="18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ht="14.25" customHeight="1">
      <c r="A1088" s="9"/>
      <c r="B1088" s="8"/>
      <c r="C1088" s="8"/>
      <c r="D1088" s="8"/>
      <c r="E1088" s="8"/>
      <c r="F1088" s="8"/>
      <c r="G1088" s="8"/>
      <c r="H1088" s="8"/>
      <c r="I1088" s="10"/>
      <c r="J1088" s="10"/>
      <c r="K1088" s="18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ht="14.25" customHeight="1">
      <c r="A1089" s="9"/>
      <c r="B1089" s="8"/>
      <c r="C1089" s="8"/>
      <c r="D1089" s="8"/>
      <c r="E1089" s="8"/>
      <c r="F1089" s="8"/>
      <c r="G1089" s="8"/>
      <c r="H1089" s="8"/>
      <c r="I1089" s="10"/>
      <c r="J1089" s="10"/>
      <c r="K1089" s="18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ht="14.25" customHeight="1">
      <c r="A1090" s="9"/>
      <c r="B1090" s="8"/>
      <c r="C1090" s="8"/>
      <c r="D1090" s="8"/>
      <c r="E1090" s="8"/>
      <c r="F1090" s="8"/>
      <c r="G1090" s="8"/>
      <c r="H1090" s="8"/>
      <c r="I1090" s="10"/>
      <c r="J1090" s="10"/>
      <c r="K1090" s="18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ht="14.25" customHeight="1">
      <c r="A1091" s="9"/>
      <c r="B1091" s="8"/>
      <c r="C1091" s="8"/>
      <c r="D1091" s="8"/>
      <c r="E1091" s="8"/>
      <c r="F1091" s="8"/>
      <c r="G1091" s="8"/>
      <c r="H1091" s="8"/>
      <c r="I1091" s="10"/>
      <c r="J1091" s="10"/>
      <c r="K1091" s="18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ht="14.25" customHeight="1">
      <c r="A1092" s="9"/>
      <c r="B1092" s="8"/>
      <c r="C1092" s="8"/>
      <c r="D1092" s="8"/>
      <c r="E1092" s="8"/>
      <c r="F1092" s="8"/>
      <c r="G1092" s="8"/>
      <c r="H1092" s="8"/>
      <c r="I1092" s="10"/>
      <c r="J1092" s="10"/>
      <c r="K1092" s="18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ht="14.25" customHeight="1">
      <c r="A1093" s="9"/>
      <c r="B1093" s="8"/>
      <c r="C1093" s="8"/>
      <c r="D1093" s="8"/>
      <c r="E1093" s="8"/>
      <c r="F1093" s="8"/>
      <c r="G1093" s="8"/>
      <c r="H1093" s="8"/>
      <c r="I1093" s="10"/>
      <c r="J1093" s="10"/>
      <c r="K1093" s="18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ht="14.25" customHeight="1">
      <c r="A1094" s="9"/>
      <c r="B1094" s="8"/>
      <c r="C1094" s="8"/>
      <c r="D1094" s="8"/>
      <c r="E1094" s="8"/>
      <c r="F1094" s="8"/>
      <c r="G1094" s="8"/>
      <c r="H1094" s="8"/>
      <c r="I1094" s="10"/>
      <c r="J1094" s="10"/>
      <c r="K1094" s="18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ht="14.25" customHeight="1">
      <c r="A1095" s="9"/>
      <c r="B1095" s="8"/>
      <c r="C1095" s="8"/>
      <c r="D1095" s="8"/>
      <c r="E1095" s="8"/>
      <c r="F1095" s="8"/>
      <c r="G1095" s="8"/>
      <c r="H1095" s="8"/>
      <c r="I1095" s="10"/>
      <c r="J1095" s="10"/>
      <c r="K1095" s="18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ht="14.25" customHeight="1">
      <c r="A1096" s="9"/>
      <c r="B1096" s="8"/>
      <c r="C1096" s="8"/>
      <c r="D1096" s="8"/>
      <c r="E1096" s="8"/>
      <c r="F1096" s="8"/>
      <c r="G1096" s="8"/>
      <c r="H1096" s="8"/>
      <c r="I1096" s="10"/>
      <c r="J1096" s="10"/>
      <c r="K1096" s="18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ht="14.25" customHeight="1">
      <c r="A1097" s="9"/>
      <c r="B1097" s="8"/>
      <c r="C1097" s="8"/>
      <c r="D1097" s="8"/>
      <c r="E1097" s="8"/>
      <c r="F1097" s="8"/>
      <c r="G1097" s="8"/>
      <c r="H1097" s="8"/>
      <c r="I1097" s="10"/>
      <c r="J1097" s="10"/>
      <c r="K1097" s="18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ht="14.25" customHeight="1">
      <c r="A1098" s="9"/>
      <c r="B1098" s="8"/>
      <c r="C1098" s="8"/>
      <c r="D1098" s="8"/>
      <c r="E1098" s="8"/>
      <c r="F1098" s="8"/>
      <c r="G1098" s="8"/>
      <c r="H1098" s="8"/>
      <c r="I1098" s="10"/>
      <c r="J1098" s="10"/>
      <c r="K1098" s="18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ht="14.25" customHeight="1">
      <c r="A1099" s="9"/>
      <c r="B1099" s="8"/>
      <c r="C1099" s="8"/>
      <c r="D1099" s="8"/>
      <c r="E1099" s="8"/>
      <c r="F1099" s="8"/>
      <c r="G1099" s="8"/>
      <c r="H1099" s="8"/>
      <c r="I1099" s="10"/>
      <c r="J1099" s="10"/>
      <c r="K1099" s="18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ht="14.25" customHeight="1">
      <c r="A1100" s="9"/>
      <c r="B1100" s="8"/>
      <c r="C1100" s="8"/>
      <c r="D1100" s="8"/>
      <c r="E1100" s="8"/>
      <c r="F1100" s="8"/>
      <c r="G1100" s="8"/>
      <c r="H1100" s="8"/>
      <c r="I1100" s="10"/>
      <c r="J1100" s="10"/>
      <c r="K1100" s="18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ht="14.25" customHeight="1">
      <c r="A1101" s="9"/>
      <c r="B1101" s="8"/>
      <c r="C1101" s="8"/>
      <c r="D1101" s="8"/>
      <c r="E1101" s="8"/>
      <c r="F1101" s="8"/>
      <c r="G1101" s="8"/>
      <c r="H1101" s="8"/>
      <c r="I1101" s="10"/>
      <c r="J1101" s="10"/>
      <c r="K1101" s="18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ht="14.25" customHeight="1">
      <c r="A1102" s="9"/>
      <c r="B1102" s="8"/>
      <c r="C1102" s="8"/>
      <c r="D1102" s="8"/>
      <c r="E1102" s="8"/>
      <c r="F1102" s="8"/>
      <c r="G1102" s="8"/>
      <c r="H1102" s="8"/>
      <c r="I1102" s="10"/>
      <c r="J1102" s="10"/>
      <c r="K1102" s="18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ht="14.25" customHeight="1">
      <c r="A1103" s="9"/>
      <c r="B1103" s="8"/>
      <c r="C1103" s="8"/>
      <c r="D1103" s="8"/>
      <c r="E1103" s="8"/>
      <c r="F1103" s="8"/>
      <c r="G1103" s="8"/>
      <c r="H1103" s="8"/>
      <c r="I1103" s="10"/>
      <c r="J1103" s="10"/>
      <c r="K1103" s="18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ht="14.25" customHeight="1">
      <c r="A1104" s="9"/>
      <c r="B1104" s="8"/>
      <c r="C1104" s="8"/>
      <c r="D1104" s="8"/>
      <c r="E1104" s="8"/>
      <c r="F1104" s="8"/>
      <c r="G1104" s="8"/>
      <c r="H1104" s="8"/>
      <c r="I1104" s="10"/>
      <c r="J1104" s="10"/>
      <c r="K1104" s="18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ht="14.25" customHeight="1">
      <c r="A1105" s="9"/>
      <c r="B1105" s="8"/>
      <c r="C1105" s="8"/>
      <c r="D1105" s="8"/>
      <c r="E1105" s="8"/>
      <c r="F1105" s="8"/>
      <c r="G1105" s="8"/>
      <c r="H1105" s="8"/>
      <c r="I1105" s="10"/>
      <c r="J1105" s="10"/>
      <c r="K1105" s="18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ht="14.25" customHeight="1">
      <c r="A1106" s="9"/>
      <c r="B1106" s="8"/>
      <c r="C1106" s="8"/>
      <c r="D1106" s="8"/>
      <c r="E1106" s="8"/>
      <c r="F1106" s="8"/>
      <c r="G1106" s="8"/>
      <c r="H1106" s="8"/>
      <c r="I1106" s="10"/>
      <c r="J1106" s="10"/>
      <c r="K1106" s="18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ht="14.25" customHeight="1">
      <c r="A1107" s="9"/>
      <c r="B1107" s="8"/>
      <c r="C1107" s="8"/>
      <c r="D1107" s="8"/>
      <c r="E1107" s="8"/>
      <c r="F1107" s="8"/>
      <c r="G1107" s="8"/>
      <c r="H1107" s="8"/>
      <c r="I1107" s="10"/>
      <c r="J1107" s="10"/>
      <c r="K1107" s="18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ht="14.25" customHeight="1">
      <c r="A1108" s="9"/>
      <c r="B1108" s="8"/>
      <c r="C1108" s="8"/>
      <c r="D1108" s="8"/>
      <c r="E1108" s="8"/>
      <c r="F1108" s="8"/>
      <c r="G1108" s="8"/>
      <c r="H1108" s="8"/>
      <c r="I1108" s="10"/>
      <c r="J1108" s="10"/>
      <c r="K1108" s="18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ht="14.25" customHeight="1">
      <c r="A1109" s="9"/>
      <c r="B1109" s="8"/>
      <c r="C1109" s="8"/>
      <c r="D1109" s="8"/>
      <c r="E1109" s="8"/>
      <c r="F1109" s="8"/>
      <c r="G1109" s="8"/>
      <c r="H1109" s="8"/>
      <c r="I1109" s="10"/>
      <c r="J1109" s="10"/>
      <c r="K1109" s="18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ht="14.25" customHeight="1">
      <c r="A1110" s="9"/>
      <c r="B1110" s="8"/>
      <c r="C1110" s="8"/>
      <c r="D1110" s="8"/>
      <c r="E1110" s="8"/>
      <c r="F1110" s="8"/>
      <c r="G1110" s="8"/>
      <c r="H1110" s="8"/>
      <c r="I1110" s="10"/>
      <c r="J1110" s="10"/>
      <c r="K1110" s="18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ht="14.25" customHeight="1">
      <c r="A1111" s="9"/>
      <c r="B1111" s="8"/>
      <c r="C1111" s="8"/>
      <c r="D1111" s="8"/>
      <c r="E1111" s="8"/>
      <c r="F1111" s="8"/>
      <c r="G1111" s="8"/>
      <c r="H1111" s="8"/>
      <c r="I1111" s="10"/>
      <c r="J1111" s="10"/>
      <c r="K1111" s="18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ht="14.25" customHeight="1">
      <c r="A1112" s="9"/>
      <c r="B1112" s="8"/>
      <c r="C1112" s="8"/>
      <c r="D1112" s="8"/>
      <c r="E1112" s="8"/>
      <c r="F1112" s="8"/>
      <c r="G1112" s="8"/>
      <c r="H1112" s="8"/>
      <c r="I1112" s="10"/>
      <c r="J1112" s="10"/>
      <c r="K1112" s="18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ht="14.25" customHeight="1">
      <c r="A1113" s="9"/>
      <c r="B1113" s="8"/>
      <c r="C1113" s="8"/>
      <c r="D1113" s="8"/>
      <c r="E1113" s="8"/>
      <c r="F1113" s="8"/>
      <c r="G1113" s="8"/>
      <c r="H1113" s="8"/>
      <c r="I1113" s="10"/>
      <c r="J1113" s="10"/>
      <c r="K1113" s="18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ht="14.25" customHeight="1">
      <c r="A1114" s="9"/>
      <c r="B1114" s="8"/>
      <c r="C1114" s="8"/>
      <c r="D1114" s="8"/>
      <c r="E1114" s="8"/>
      <c r="F1114" s="8"/>
      <c r="G1114" s="8"/>
      <c r="H1114" s="8"/>
      <c r="I1114" s="10"/>
      <c r="J1114" s="10"/>
      <c r="K1114" s="18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ht="14.25" customHeight="1">
      <c r="A1115" s="9"/>
      <c r="B1115" s="8"/>
      <c r="C1115" s="8"/>
      <c r="D1115" s="8"/>
      <c r="E1115" s="8"/>
      <c r="F1115" s="8"/>
      <c r="G1115" s="8"/>
      <c r="H1115" s="8"/>
      <c r="I1115" s="10"/>
      <c r="J1115" s="10"/>
      <c r="K1115" s="18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ht="14.25" customHeight="1">
      <c r="A1116" s="9"/>
      <c r="B1116" s="8"/>
      <c r="C1116" s="8"/>
      <c r="D1116" s="8"/>
      <c r="E1116" s="8"/>
      <c r="F1116" s="8"/>
      <c r="G1116" s="8"/>
      <c r="H1116" s="8"/>
      <c r="I1116" s="10"/>
      <c r="J1116" s="10"/>
      <c r="K1116" s="18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ht="14.25" customHeight="1">
      <c r="A1117" s="9"/>
      <c r="B1117" s="8"/>
      <c r="C1117" s="8"/>
      <c r="D1117" s="8"/>
      <c r="E1117" s="8"/>
      <c r="F1117" s="8"/>
      <c r="G1117" s="8"/>
      <c r="H1117" s="8"/>
      <c r="I1117" s="10"/>
      <c r="J1117" s="10"/>
      <c r="K1117" s="18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ht="14.25" customHeight="1">
      <c r="A1118" s="9"/>
      <c r="B1118" s="8"/>
      <c r="C1118" s="8"/>
      <c r="D1118" s="8"/>
      <c r="E1118" s="8"/>
      <c r="F1118" s="8"/>
      <c r="G1118" s="8"/>
      <c r="H1118" s="8"/>
      <c r="I1118" s="10"/>
      <c r="J1118" s="10"/>
      <c r="K1118" s="18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ht="14.25" customHeight="1">
      <c r="A1119" s="9"/>
      <c r="B1119" s="8"/>
      <c r="C1119" s="8"/>
      <c r="D1119" s="8"/>
      <c r="E1119" s="8"/>
      <c r="F1119" s="8"/>
      <c r="G1119" s="8"/>
      <c r="H1119" s="8"/>
      <c r="I1119" s="10"/>
      <c r="J1119" s="10"/>
      <c r="K1119" s="18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ht="14.25" customHeight="1">
      <c r="A1120" s="9"/>
      <c r="B1120" s="8"/>
      <c r="C1120" s="8"/>
      <c r="D1120" s="8"/>
      <c r="E1120" s="8"/>
      <c r="F1120" s="8"/>
      <c r="G1120" s="8"/>
      <c r="H1120" s="8"/>
      <c r="I1120" s="10"/>
      <c r="J1120" s="10"/>
      <c r="K1120" s="18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ht="14.25" customHeight="1">
      <c r="A1121" s="9"/>
      <c r="B1121" s="8"/>
      <c r="C1121" s="8"/>
      <c r="D1121" s="8"/>
      <c r="E1121" s="8"/>
      <c r="F1121" s="8"/>
      <c r="G1121" s="8"/>
      <c r="H1121" s="8"/>
      <c r="I1121" s="10"/>
      <c r="J1121" s="10"/>
      <c r="K1121" s="18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ht="14.25" customHeight="1">
      <c r="A1122" s="9"/>
      <c r="B1122" s="8"/>
      <c r="C1122" s="8"/>
      <c r="D1122" s="8"/>
      <c r="E1122" s="8"/>
      <c r="F1122" s="8"/>
      <c r="G1122" s="8"/>
      <c r="H1122" s="8"/>
      <c r="I1122" s="10"/>
      <c r="J1122" s="10"/>
      <c r="K1122" s="18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ht="14.25" customHeight="1">
      <c r="A1123" s="9"/>
      <c r="B1123" s="8"/>
      <c r="C1123" s="8"/>
      <c r="D1123" s="8"/>
      <c r="E1123" s="8"/>
      <c r="F1123" s="8"/>
      <c r="G1123" s="8"/>
      <c r="H1123" s="8"/>
      <c r="I1123" s="10"/>
      <c r="J1123" s="10"/>
      <c r="K1123" s="18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ht="14.25" customHeight="1">
      <c r="A1124" s="9"/>
      <c r="B1124" s="8"/>
      <c r="C1124" s="8"/>
      <c r="D1124" s="8"/>
      <c r="E1124" s="8"/>
      <c r="F1124" s="8"/>
      <c r="G1124" s="8"/>
      <c r="H1124" s="8"/>
      <c r="I1124" s="10"/>
      <c r="J1124" s="10"/>
      <c r="K1124" s="18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ht="14.25" customHeight="1">
      <c r="A1125" s="9"/>
      <c r="B1125" s="8"/>
      <c r="C1125" s="8"/>
      <c r="D1125" s="8"/>
      <c r="E1125" s="8"/>
      <c r="F1125" s="8"/>
      <c r="G1125" s="8"/>
      <c r="H1125" s="8"/>
      <c r="I1125" s="10"/>
      <c r="J1125" s="10"/>
      <c r="K1125" s="18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ht="14.25" customHeight="1">
      <c r="A1126" s="9"/>
      <c r="B1126" s="8"/>
      <c r="C1126" s="8"/>
      <c r="D1126" s="8"/>
      <c r="E1126" s="8"/>
      <c r="F1126" s="8"/>
      <c r="G1126" s="8"/>
      <c r="H1126" s="8"/>
      <c r="I1126" s="10"/>
      <c r="J1126" s="10"/>
      <c r="K1126" s="18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ht="14.25" customHeight="1">
      <c r="A1127" s="9"/>
      <c r="B1127" s="8"/>
      <c r="C1127" s="8"/>
      <c r="D1127" s="8"/>
      <c r="E1127" s="8"/>
      <c r="F1127" s="8"/>
      <c r="G1127" s="8"/>
      <c r="H1127" s="8"/>
      <c r="I1127" s="10"/>
      <c r="J1127" s="10"/>
      <c r="K1127" s="18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ht="14.25" customHeight="1">
      <c r="A1128" s="9"/>
      <c r="B1128" s="8"/>
      <c r="C1128" s="8"/>
      <c r="D1128" s="8"/>
      <c r="E1128" s="8"/>
      <c r="F1128" s="8"/>
      <c r="G1128" s="8"/>
      <c r="H1128" s="8"/>
      <c r="I1128" s="10"/>
      <c r="J1128" s="10"/>
      <c r="K1128" s="18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ht="14.25" customHeight="1">
      <c r="A1129" s="9"/>
      <c r="B1129" s="8"/>
      <c r="C1129" s="8"/>
      <c r="D1129" s="8"/>
      <c r="E1129" s="8"/>
      <c r="F1129" s="8"/>
      <c r="G1129" s="8"/>
      <c r="H1129" s="8"/>
      <c r="I1129" s="10"/>
      <c r="J1129" s="10"/>
      <c r="K1129" s="18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ht="14.25" customHeight="1">
      <c r="A1130" s="9"/>
      <c r="B1130" s="8"/>
      <c r="C1130" s="8"/>
      <c r="D1130" s="8"/>
      <c r="E1130" s="8"/>
      <c r="F1130" s="8"/>
      <c r="G1130" s="8"/>
      <c r="H1130" s="8"/>
      <c r="I1130" s="10"/>
      <c r="J1130" s="10"/>
      <c r="K1130" s="18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ht="14.25" customHeight="1">
      <c r="A1131" s="9"/>
      <c r="B1131" s="8"/>
      <c r="C1131" s="8"/>
      <c r="D1131" s="8"/>
      <c r="E1131" s="8"/>
      <c r="F1131" s="8"/>
      <c r="G1131" s="8"/>
      <c r="H1131" s="8"/>
      <c r="I1131" s="10"/>
      <c r="J1131" s="10"/>
      <c r="K1131" s="18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ht="14.25" customHeight="1">
      <c r="A1132" s="9"/>
      <c r="B1132" s="8"/>
      <c r="C1132" s="8"/>
      <c r="D1132" s="8"/>
      <c r="E1132" s="8"/>
      <c r="F1132" s="8"/>
      <c r="G1132" s="8"/>
      <c r="H1132" s="8"/>
      <c r="I1132" s="10"/>
      <c r="J1132" s="10"/>
      <c r="K1132" s="18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ht="14.25" customHeight="1">
      <c r="A1133" s="9"/>
      <c r="B1133" s="8"/>
      <c r="C1133" s="8"/>
      <c r="D1133" s="8"/>
      <c r="E1133" s="8"/>
      <c r="F1133" s="8"/>
      <c r="G1133" s="8"/>
      <c r="H1133" s="8"/>
      <c r="I1133" s="10"/>
      <c r="J1133" s="10"/>
      <c r="K1133" s="18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ht="14.25" customHeight="1">
      <c r="A1134" s="9"/>
      <c r="B1134" s="8"/>
      <c r="C1134" s="8"/>
      <c r="D1134" s="8"/>
      <c r="E1134" s="8"/>
      <c r="F1134" s="8"/>
      <c r="G1134" s="8"/>
      <c r="H1134" s="8"/>
      <c r="I1134" s="10"/>
      <c r="J1134" s="10"/>
      <c r="K1134" s="18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ht="14.25" customHeight="1">
      <c r="A1135" s="9"/>
      <c r="B1135" s="8"/>
      <c r="C1135" s="8"/>
      <c r="D1135" s="8"/>
      <c r="E1135" s="8"/>
      <c r="F1135" s="8"/>
      <c r="G1135" s="8"/>
      <c r="H1135" s="8"/>
      <c r="I1135" s="10"/>
      <c r="J1135" s="10"/>
      <c r="K1135" s="18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ht="14.25" customHeight="1">
      <c r="A1136" s="9"/>
      <c r="B1136" s="8"/>
      <c r="C1136" s="8"/>
      <c r="D1136" s="8"/>
      <c r="E1136" s="8"/>
      <c r="F1136" s="8"/>
      <c r="G1136" s="8"/>
      <c r="H1136" s="8"/>
      <c r="I1136" s="10"/>
      <c r="J1136" s="10"/>
      <c r="K1136" s="18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ht="14.25" customHeight="1">
      <c r="A1137" s="9"/>
      <c r="B1137" s="8"/>
      <c r="C1137" s="8"/>
      <c r="D1137" s="8"/>
      <c r="E1137" s="8"/>
      <c r="F1137" s="8"/>
      <c r="G1137" s="8"/>
      <c r="H1137" s="8"/>
      <c r="I1137" s="10"/>
      <c r="J1137" s="10"/>
      <c r="K1137" s="18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ht="14.25" customHeight="1">
      <c r="A1138" s="9"/>
      <c r="B1138" s="8"/>
      <c r="C1138" s="8"/>
      <c r="D1138" s="8"/>
      <c r="E1138" s="8"/>
      <c r="F1138" s="8"/>
      <c r="G1138" s="8"/>
      <c r="H1138" s="8"/>
      <c r="I1138" s="10"/>
      <c r="J1138" s="10"/>
      <c r="K1138" s="18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ht="14.25" customHeight="1">
      <c r="A1139" s="9"/>
      <c r="B1139" s="8"/>
      <c r="C1139" s="8"/>
      <c r="D1139" s="8"/>
      <c r="E1139" s="8"/>
      <c r="F1139" s="8"/>
      <c r="G1139" s="8"/>
      <c r="H1139" s="8"/>
      <c r="I1139" s="10"/>
      <c r="J1139" s="10"/>
      <c r="K1139" s="18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ht="14.25" customHeight="1">
      <c r="A1140" s="9"/>
      <c r="B1140" s="8"/>
      <c r="C1140" s="8"/>
      <c r="D1140" s="8"/>
      <c r="E1140" s="8"/>
      <c r="F1140" s="8"/>
      <c r="G1140" s="8"/>
      <c r="H1140" s="8"/>
      <c r="I1140" s="10"/>
      <c r="J1140" s="10"/>
      <c r="K1140" s="18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ht="14.25" customHeight="1">
      <c r="A1141" s="9"/>
      <c r="B1141" s="8"/>
      <c r="C1141" s="8"/>
      <c r="D1141" s="8"/>
      <c r="E1141" s="8"/>
      <c r="F1141" s="8"/>
      <c r="G1141" s="8"/>
      <c r="H1141" s="8"/>
      <c r="I1141" s="10"/>
      <c r="J1141" s="10"/>
      <c r="K1141" s="18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ht="14.25" customHeight="1">
      <c r="A1142" s="9"/>
      <c r="B1142" s="8"/>
      <c r="C1142" s="8"/>
      <c r="D1142" s="8"/>
      <c r="E1142" s="8"/>
      <c r="F1142" s="8"/>
      <c r="G1142" s="8"/>
      <c r="H1142" s="8"/>
      <c r="I1142" s="10"/>
      <c r="J1142" s="10"/>
      <c r="K1142" s="18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ht="14.25" customHeight="1">
      <c r="A1143" s="9"/>
      <c r="B1143" s="8"/>
      <c r="C1143" s="8"/>
      <c r="D1143" s="8"/>
      <c r="E1143" s="8"/>
      <c r="F1143" s="8"/>
      <c r="G1143" s="8"/>
      <c r="H1143" s="8"/>
      <c r="I1143" s="10"/>
      <c r="J1143" s="10"/>
      <c r="K1143" s="18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ht="14.25" customHeight="1">
      <c r="A1144" s="9"/>
      <c r="B1144" s="8"/>
      <c r="C1144" s="8"/>
      <c r="D1144" s="8"/>
      <c r="E1144" s="8"/>
      <c r="F1144" s="8"/>
      <c r="G1144" s="8"/>
      <c r="H1144" s="8"/>
      <c r="I1144" s="10"/>
      <c r="J1144" s="10"/>
      <c r="K1144" s="18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ht="14.25" customHeight="1">
      <c r="A1145" s="9"/>
      <c r="B1145" s="8"/>
      <c r="C1145" s="8"/>
      <c r="D1145" s="8"/>
      <c r="E1145" s="8"/>
      <c r="F1145" s="8"/>
      <c r="G1145" s="8"/>
      <c r="H1145" s="8"/>
      <c r="I1145" s="10"/>
      <c r="J1145" s="10"/>
      <c r="K1145" s="18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ht="14.25" customHeight="1">
      <c r="A1146" s="9"/>
      <c r="B1146" s="8"/>
      <c r="C1146" s="8"/>
      <c r="D1146" s="8"/>
      <c r="E1146" s="8"/>
      <c r="F1146" s="8"/>
      <c r="G1146" s="8"/>
      <c r="H1146" s="8"/>
      <c r="I1146" s="10"/>
      <c r="J1146" s="10"/>
      <c r="K1146" s="18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ht="14.25" customHeight="1">
      <c r="A1147" s="9"/>
      <c r="B1147" s="8"/>
      <c r="C1147" s="8"/>
      <c r="D1147" s="8"/>
      <c r="E1147" s="8"/>
      <c r="F1147" s="8"/>
      <c r="G1147" s="8"/>
      <c r="H1147" s="8"/>
      <c r="I1147" s="10"/>
      <c r="J1147" s="10"/>
      <c r="K1147" s="18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ht="14.25" customHeight="1">
      <c r="A1148" s="9"/>
      <c r="B1148" s="8"/>
      <c r="C1148" s="8"/>
      <c r="D1148" s="8"/>
      <c r="E1148" s="8"/>
      <c r="F1148" s="8"/>
      <c r="G1148" s="8"/>
      <c r="H1148" s="8"/>
      <c r="I1148" s="10"/>
      <c r="J1148" s="10"/>
      <c r="K1148" s="18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ht="14.25" customHeight="1">
      <c r="A1149" s="9"/>
      <c r="B1149" s="8"/>
      <c r="C1149" s="8"/>
      <c r="D1149" s="8"/>
      <c r="E1149" s="8"/>
      <c r="F1149" s="8"/>
      <c r="G1149" s="8"/>
      <c r="H1149" s="8"/>
      <c r="I1149" s="10"/>
      <c r="J1149" s="10"/>
      <c r="K1149" s="18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ht="14.25" customHeight="1">
      <c r="A1150" s="9"/>
      <c r="B1150" s="8"/>
      <c r="C1150" s="8"/>
      <c r="D1150" s="8"/>
      <c r="E1150" s="8"/>
      <c r="F1150" s="8"/>
      <c r="G1150" s="8"/>
      <c r="H1150" s="8"/>
      <c r="I1150" s="10"/>
      <c r="J1150" s="10"/>
      <c r="K1150" s="18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ht="14.25" customHeight="1">
      <c r="A1151" s="9"/>
      <c r="B1151" s="8"/>
      <c r="C1151" s="8"/>
      <c r="D1151" s="8"/>
      <c r="E1151" s="8"/>
      <c r="F1151" s="8"/>
      <c r="G1151" s="8"/>
      <c r="H1151" s="8"/>
      <c r="I1151" s="10"/>
      <c r="J1151" s="10"/>
      <c r="K1151" s="18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ht="14.25" customHeight="1">
      <c r="A1152" s="9"/>
      <c r="B1152" s="8"/>
      <c r="C1152" s="8"/>
      <c r="D1152" s="8"/>
      <c r="E1152" s="8"/>
      <c r="F1152" s="8"/>
      <c r="G1152" s="8"/>
      <c r="H1152" s="8"/>
      <c r="I1152" s="10"/>
      <c r="J1152" s="10"/>
      <c r="K1152" s="18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ht="14.25" customHeight="1">
      <c r="A1153" s="9"/>
      <c r="B1153" s="8"/>
      <c r="C1153" s="8"/>
      <c r="D1153" s="8"/>
      <c r="E1153" s="8"/>
      <c r="F1153" s="8"/>
      <c r="G1153" s="8"/>
      <c r="H1153" s="8"/>
      <c r="I1153" s="10"/>
      <c r="J1153" s="10"/>
      <c r="K1153" s="18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ht="14.25" customHeight="1">
      <c r="A1154" s="9"/>
      <c r="B1154" s="8"/>
      <c r="C1154" s="8"/>
      <c r="D1154" s="8"/>
      <c r="E1154" s="8"/>
      <c r="F1154" s="8"/>
      <c r="G1154" s="8"/>
      <c r="H1154" s="8"/>
      <c r="I1154" s="10"/>
      <c r="J1154" s="10"/>
      <c r="K1154" s="18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ht="14.25" customHeight="1">
      <c r="A1155" s="9"/>
      <c r="B1155" s="8"/>
      <c r="C1155" s="8"/>
      <c r="D1155" s="8"/>
      <c r="E1155" s="8"/>
      <c r="F1155" s="8"/>
      <c r="G1155" s="8"/>
      <c r="H1155" s="8"/>
      <c r="I1155" s="10"/>
      <c r="J1155" s="10"/>
      <c r="K1155" s="18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ht="14.25" customHeight="1">
      <c r="A1156" s="9"/>
      <c r="B1156" s="8"/>
      <c r="C1156" s="8"/>
      <c r="D1156" s="8"/>
      <c r="E1156" s="8"/>
      <c r="F1156" s="8"/>
      <c r="G1156" s="8"/>
      <c r="H1156" s="8"/>
      <c r="I1156" s="10"/>
      <c r="J1156" s="10"/>
      <c r="K1156" s="18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ht="14.25" customHeight="1">
      <c r="A1157" s="9"/>
      <c r="B1157" s="8"/>
      <c r="C1157" s="8"/>
      <c r="D1157" s="8"/>
      <c r="E1157" s="8"/>
      <c r="F1157" s="8"/>
      <c r="G1157" s="8"/>
      <c r="H1157" s="8"/>
      <c r="I1157" s="10"/>
      <c r="J1157" s="10"/>
      <c r="K1157" s="18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ht="14.25" customHeight="1">
      <c r="A1158" s="9"/>
      <c r="B1158" s="8"/>
      <c r="C1158" s="8"/>
      <c r="D1158" s="8"/>
      <c r="E1158" s="8"/>
      <c r="F1158" s="8"/>
      <c r="G1158" s="8"/>
      <c r="H1158" s="8"/>
      <c r="I1158" s="10"/>
      <c r="J1158" s="10"/>
      <c r="K1158" s="18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ht="14.25" customHeight="1">
      <c r="A1159" s="9"/>
      <c r="B1159" s="8"/>
      <c r="C1159" s="8"/>
      <c r="D1159" s="8"/>
      <c r="E1159" s="8"/>
      <c r="F1159" s="8"/>
      <c r="G1159" s="8"/>
      <c r="H1159" s="8"/>
      <c r="I1159" s="10"/>
      <c r="J1159" s="10"/>
      <c r="K1159" s="18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ht="14.25" customHeight="1">
      <c r="A1160" s="9"/>
      <c r="B1160" s="8"/>
      <c r="C1160" s="8"/>
      <c r="D1160" s="8"/>
      <c r="E1160" s="8"/>
      <c r="F1160" s="8"/>
      <c r="G1160" s="8"/>
      <c r="H1160" s="8"/>
      <c r="I1160" s="10"/>
      <c r="J1160" s="10"/>
      <c r="K1160" s="18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ht="14.25" customHeight="1">
      <c r="A1161" s="9"/>
      <c r="B1161" s="8"/>
      <c r="C1161" s="8"/>
      <c r="D1161" s="8"/>
      <c r="E1161" s="8"/>
      <c r="F1161" s="8"/>
      <c r="G1161" s="8"/>
      <c r="H1161" s="8"/>
      <c r="I1161" s="10"/>
      <c r="J1161" s="10"/>
      <c r="K1161" s="18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ht="14.25" customHeight="1">
      <c r="A1162" s="9"/>
      <c r="B1162" s="8"/>
      <c r="C1162" s="8"/>
      <c r="D1162" s="8"/>
      <c r="E1162" s="8"/>
      <c r="F1162" s="8"/>
      <c r="G1162" s="8"/>
      <c r="H1162" s="8"/>
      <c r="I1162" s="10"/>
      <c r="J1162" s="10"/>
      <c r="K1162" s="18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ht="14.25" customHeight="1">
      <c r="A1163" s="9"/>
      <c r="B1163" s="8"/>
      <c r="C1163" s="8"/>
      <c r="D1163" s="8"/>
      <c r="E1163" s="8"/>
      <c r="F1163" s="8"/>
      <c r="G1163" s="8"/>
      <c r="H1163" s="8"/>
      <c r="I1163" s="10"/>
      <c r="J1163" s="10"/>
      <c r="K1163" s="18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ht="14.25" customHeight="1">
      <c r="A1164" s="9"/>
      <c r="B1164" s="8"/>
      <c r="C1164" s="8"/>
      <c r="D1164" s="8"/>
      <c r="E1164" s="8"/>
      <c r="F1164" s="8"/>
      <c r="G1164" s="8"/>
      <c r="H1164" s="8"/>
      <c r="I1164" s="10"/>
      <c r="J1164" s="10"/>
      <c r="K1164" s="18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ht="14.25" customHeight="1">
      <c r="A1165" s="9"/>
      <c r="B1165" s="8"/>
      <c r="C1165" s="8"/>
      <c r="D1165" s="8"/>
      <c r="E1165" s="8"/>
      <c r="F1165" s="8"/>
      <c r="G1165" s="8"/>
      <c r="H1165" s="8"/>
      <c r="I1165" s="10"/>
      <c r="J1165" s="10"/>
      <c r="K1165" s="18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ht="14.25" customHeight="1">
      <c r="A1166" s="9"/>
      <c r="B1166" s="8"/>
      <c r="C1166" s="8"/>
      <c r="D1166" s="8"/>
      <c r="E1166" s="8"/>
      <c r="F1166" s="8"/>
      <c r="G1166" s="8"/>
      <c r="H1166" s="8"/>
      <c r="I1166" s="10"/>
      <c r="J1166" s="10"/>
      <c r="K1166" s="18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ht="14.25" customHeight="1">
      <c r="A1167" s="9"/>
      <c r="B1167" s="8"/>
      <c r="C1167" s="8"/>
      <c r="D1167" s="8"/>
      <c r="E1167" s="8"/>
      <c r="F1167" s="8"/>
      <c r="G1167" s="8"/>
      <c r="H1167" s="8"/>
      <c r="I1167" s="10"/>
      <c r="J1167" s="10"/>
      <c r="K1167" s="18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ht="14.25" customHeight="1">
      <c r="A1168" s="9"/>
      <c r="B1168" s="8"/>
      <c r="C1168" s="8"/>
      <c r="D1168" s="8"/>
      <c r="E1168" s="8"/>
      <c r="F1168" s="8"/>
      <c r="G1168" s="8"/>
      <c r="H1168" s="8"/>
      <c r="I1168" s="10"/>
      <c r="J1168" s="10"/>
      <c r="K1168" s="18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ht="14.25" customHeight="1">
      <c r="A1169" s="9"/>
      <c r="B1169" s="8"/>
      <c r="C1169" s="8"/>
      <c r="D1169" s="8"/>
      <c r="E1169" s="8"/>
      <c r="F1169" s="8"/>
      <c r="G1169" s="8"/>
      <c r="H1169" s="8"/>
      <c r="I1169" s="10"/>
      <c r="J1169" s="10"/>
      <c r="K1169" s="18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ht="14.25" customHeight="1">
      <c r="A1170" s="9"/>
      <c r="B1170" s="8"/>
      <c r="C1170" s="8"/>
      <c r="D1170" s="8"/>
      <c r="E1170" s="8"/>
      <c r="F1170" s="8"/>
      <c r="G1170" s="8"/>
      <c r="H1170" s="8"/>
      <c r="I1170" s="10"/>
      <c r="J1170" s="10"/>
      <c r="K1170" s="18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ht="14.25" customHeight="1">
      <c r="A1171" s="9"/>
      <c r="B1171" s="8"/>
      <c r="C1171" s="8"/>
      <c r="D1171" s="8"/>
      <c r="E1171" s="8"/>
      <c r="F1171" s="8"/>
      <c r="G1171" s="8"/>
      <c r="H1171" s="8"/>
      <c r="I1171" s="10"/>
      <c r="J1171" s="10"/>
      <c r="K1171" s="18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ht="14.25" customHeight="1">
      <c r="A1172" s="9"/>
      <c r="B1172" s="8"/>
      <c r="C1172" s="8"/>
      <c r="D1172" s="8"/>
      <c r="E1172" s="8"/>
      <c r="F1172" s="8"/>
      <c r="G1172" s="8"/>
      <c r="H1172" s="8"/>
      <c r="I1172" s="10"/>
      <c r="J1172" s="10"/>
      <c r="K1172" s="18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ht="14.25" customHeight="1">
      <c r="A1173" s="9"/>
      <c r="B1173" s="8"/>
      <c r="C1173" s="8"/>
      <c r="D1173" s="8"/>
      <c r="E1173" s="8"/>
      <c r="F1173" s="8"/>
      <c r="G1173" s="8"/>
      <c r="H1173" s="8"/>
      <c r="I1173" s="10"/>
      <c r="J1173" s="10"/>
      <c r="K1173" s="18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ht="14.25" customHeight="1">
      <c r="A1174" s="9"/>
      <c r="B1174" s="8"/>
      <c r="C1174" s="8"/>
      <c r="D1174" s="8"/>
      <c r="E1174" s="8"/>
      <c r="F1174" s="8"/>
      <c r="G1174" s="8"/>
      <c r="H1174" s="8"/>
      <c r="I1174" s="10"/>
      <c r="J1174" s="10"/>
      <c r="K1174" s="18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ht="14.25" customHeight="1">
      <c r="A1175" s="9"/>
      <c r="B1175" s="8"/>
      <c r="C1175" s="8"/>
      <c r="D1175" s="8"/>
      <c r="E1175" s="8"/>
      <c r="F1175" s="8"/>
      <c r="G1175" s="8"/>
      <c r="H1175" s="8"/>
      <c r="I1175" s="10"/>
      <c r="J1175" s="10"/>
      <c r="K1175" s="18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ht="14.25" customHeight="1">
      <c r="A1176" s="9"/>
      <c r="B1176" s="8"/>
      <c r="C1176" s="8"/>
      <c r="D1176" s="8"/>
      <c r="E1176" s="8"/>
      <c r="F1176" s="8"/>
      <c r="G1176" s="8"/>
      <c r="H1176" s="8"/>
      <c r="I1176" s="10"/>
      <c r="J1176" s="10"/>
      <c r="K1176" s="18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ht="14.25" customHeight="1">
      <c r="A1177" s="9"/>
      <c r="B1177" s="8"/>
      <c r="C1177" s="8"/>
      <c r="D1177" s="8"/>
      <c r="E1177" s="8"/>
      <c r="F1177" s="8"/>
      <c r="G1177" s="8"/>
      <c r="H1177" s="8"/>
      <c r="I1177" s="10"/>
      <c r="J1177" s="10"/>
      <c r="K1177" s="18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ht="14.25" customHeight="1">
      <c r="A1178" s="9"/>
      <c r="B1178" s="8"/>
      <c r="C1178" s="8"/>
      <c r="D1178" s="8"/>
      <c r="E1178" s="8"/>
      <c r="F1178" s="8"/>
      <c r="G1178" s="8"/>
      <c r="H1178" s="8"/>
      <c r="I1178" s="10"/>
      <c r="J1178" s="10"/>
      <c r="K1178" s="18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ht="14.25" customHeight="1">
      <c r="A1179" s="9"/>
      <c r="B1179" s="8"/>
      <c r="C1179" s="8"/>
      <c r="D1179" s="8"/>
      <c r="E1179" s="8"/>
      <c r="F1179" s="8"/>
      <c r="G1179" s="8"/>
      <c r="H1179" s="8"/>
      <c r="I1179" s="10"/>
      <c r="J1179" s="10"/>
      <c r="K1179" s="18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ht="14.25" customHeight="1">
      <c r="A1180" s="9"/>
      <c r="B1180" s="8"/>
      <c r="C1180" s="8"/>
      <c r="D1180" s="8"/>
      <c r="E1180" s="8"/>
      <c r="F1180" s="8"/>
      <c r="G1180" s="8"/>
      <c r="H1180" s="8"/>
      <c r="I1180" s="10"/>
      <c r="J1180" s="10"/>
      <c r="K1180" s="18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ht="14.25" customHeight="1">
      <c r="A1181" s="9"/>
      <c r="B1181" s="8"/>
      <c r="C1181" s="8"/>
      <c r="D1181" s="8"/>
      <c r="E1181" s="8"/>
      <c r="F1181" s="8"/>
      <c r="G1181" s="8"/>
      <c r="H1181" s="8"/>
      <c r="I1181" s="10"/>
      <c r="J1181" s="10"/>
      <c r="K1181" s="18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ht="14.25" customHeight="1">
      <c r="A1182" s="9"/>
      <c r="B1182" s="8"/>
      <c r="C1182" s="8"/>
      <c r="D1182" s="8"/>
      <c r="E1182" s="8"/>
      <c r="F1182" s="8"/>
      <c r="G1182" s="8"/>
      <c r="H1182" s="8"/>
      <c r="I1182" s="10"/>
      <c r="J1182" s="10"/>
      <c r="K1182" s="18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ht="14.25" customHeight="1">
      <c r="A1183" s="9"/>
      <c r="B1183" s="8"/>
      <c r="C1183" s="8"/>
      <c r="D1183" s="8"/>
      <c r="E1183" s="8"/>
      <c r="F1183" s="8"/>
      <c r="G1183" s="8"/>
      <c r="H1183" s="8"/>
      <c r="I1183" s="10"/>
      <c r="J1183" s="10"/>
      <c r="K1183" s="18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ht="14.25" customHeight="1">
      <c r="A1184" s="9"/>
      <c r="B1184" s="8"/>
      <c r="C1184" s="8"/>
      <c r="D1184" s="8"/>
      <c r="E1184" s="8"/>
      <c r="F1184" s="8"/>
      <c r="G1184" s="8"/>
      <c r="H1184" s="8"/>
      <c r="I1184" s="10"/>
      <c r="J1184" s="10"/>
      <c r="K1184" s="18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ht="14.25" customHeight="1">
      <c r="A1185" s="9"/>
      <c r="B1185" s="8"/>
      <c r="C1185" s="8"/>
      <c r="D1185" s="8"/>
      <c r="E1185" s="8"/>
      <c r="F1185" s="8"/>
      <c r="G1185" s="8"/>
      <c r="H1185" s="8"/>
      <c r="I1185" s="10"/>
      <c r="J1185" s="10"/>
      <c r="K1185" s="18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ht="14.25" customHeight="1">
      <c r="A1186" s="9"/>
      <c r="B1186" s="8"/>
      <c r="C1186" s="8"/>
      <c r="D1186" s="8"/>
      <c r="E1186" s="8"/>
      <c r="F1186" s="8"/>
      <c r="G1186" s="8"/>
      <c r="H1186" s="8"/>
      <c r="I1186" s="10"/>
      <c r="J1186" s="10"/>
      <c r="K1186" s="18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ht="14.25" customHeight="1">
      <c r="A1187" s="9"/>
      <c r="B1187" s="8"/>
      <c r="C1187" s="8"/>
      <c r="D1187" s="8"/>
      <c r="E1187" s="8"/>
      <c r="F1187" s="8"/>
      <c r="G1187" s="8"/>
      <c r="H1187" s="8"/>
      <c r="I1187" s="10"/>
      <c r="J1187" s="10"/>
      <c r="K1187" s="18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ht="14.25" customHeight="1">
      <c r="A1188" s="9"/>
      <c r="B1188" s="8"/>
      <c r="C1188" s="8"/>
      <c r="D1188" s="8"/>
      <c r="E1188" s="8"/>
      <c r="F1188" s="8"/>
      <c r="G1188" s="8"/>
      <c r="H1188" s="8"/>
      <c r="I1188" s="10"/>
      <c r="J1188" s="10"/>
      <c r="K1188" s="18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ht="14.25" customHeight="1">
      <c r="A1189" s="9"/>
      <c r="B1189" s="8"/>
      <c r="C1189" s="8"/>
      <c r="D1189" s="8"/>
      <c r="E1189" s="8"/>
      <c r="F1189" s="8"/>
      <c r="G1189" s="8"/>
      <c r="H1189" s="8"/>
      <c r="I1189" s="10"/>
      <c r="J1189" s="10"/>
      <c r="K1189" s="18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ht="14.25" customHeight="1">
      <c r="A1190" s="9"/>
      <c r="B1190" s="8"/>
      <c r="C1190" s="8"/>
      <c r="D1190" s="8"/>
      <c r="E1190" s="8"/>
      <c r="F1190" s="8"/>
      <c r="G1190" s="8"/>
      <c r="H1190" s="8"/>
      <c r="I1190" s="10"/>
      <c r="J1190" s="10"/>
      <c r="K1190" s="18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ht="14.25" customHeight="1">
      <c r="A1191" s="9"/>
      <c r="B1191" s="8"/>
      <c r="C1191" s="8"/>
      <c r="D1191" s="8"/>
      <c r="E1191" s="8"/>
      <c r="F1191" s="19"/>
      <c r="G1191" s="8"/>
      <c r="H1191" s="8"/>
      <c r="I1191" s="10"/>
      <c r="J1191" s="10"/>
      <c r="K1191" s="18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ht="14.25" customHeight="1">
      <c r="A1192" s="9"/>
      <c r="B1192" s="8"/>
      <c r="C1192" s="8"/>
      <c r="D1192" s="8"/>
      <c r="E1192" s="8"/>
      <c r="F1192" s="8"/>
      <c r="G1192" s="8"/>
      <c r="H1192" s="8"/>
      <c r="I1192" s="10"/>
      <c r="J1192" s="10"/>
      <c r="K1192" s="18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ht="14.25" customHeight="1">
      <c r="A1193" s="9"/>
      <c r="B1193" s="8"/>
      <c r="C1193" s="8"/>
      <c r="D1193" s="8"/>
      <c r="E1193" s="8"/>
      <c r="F1193" s="8"/>
      <c r="G1193" s="8"/>
      <c r="H1193" s="8"/>
      <c r="I1193" s="10"/>
      <c r="J1193" s="10"/>
      <c r="K1193" s="18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ht="14.25" customHeight="1">
      <c r="A1194" s="9"/>
      <c r="B1194" s="8"/>
      <c r="C1194" s="8"/>
      <c r="D1194" s="8"/>
      <c r="E1194" s="8"/>
      <c r="F1194" s="8"/>
      <c r="G1194" s="8"/>
      <c r="H1194" s="8"/>
      <c r="I1194" s="10"/>
      <c r="J1194" s="10"/>
      <c r="K1194" s="18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ht="14.25" customHeight="1">
      <c r="A1195" s="9"/>
      <c r="B1195" s="8"/>
      <c r="C1195" s="8"/>
      <c r="D1195" s="8"/>
      <c r="E1195" s="8"/>
      <c r="F1195" s="8"/>
      <c r="G1195" s="8"/>
      <c r="H1195" s="8"/>
      <c r="I1195" s="10"/>
      <c r="J1195" s="10"/>
      <c r="K1195" s="18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ht="14.25" customHeight="1">
      <c r="A1196" s="9"/>
      <c r="B1196" s="8"/>
      <c r="C1196" s="8"/>
      <c r="D1196" s="8"/>
      <c r="E1196" s="8"/>
      <c r="F1196" s="8"/>
      <c r="G1196" s="8"/>
      <c r="H1196" s="8"/>
      <c r="I1196" s="10"/>
      <c r="J1196" s="10"/>
      <c r="K1196" s="18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ht="14.25" customHeight="1">
      <c r="A1197" s="9"/>
      <c r="B1197" s="8"/>
      <c r="C1197" s="8"/>
      <c r="D1197" s="8"/>
      <c r="E1197" s="8"/>
      <c r="F1197" s="8"/>
      <c r="G1197" s="8"/>
      <c r="H1197" s="8"/>
      <c r="I1197" s="10"/>
      <c r="J1197" s="10"/>
      <c r="K1197" s="18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ht="14.25" customHeight="1">
      <c r="A1198" s="9"/>
      <c r="B1198" s="8"/>
      <c r="C1198" s="8"/>
      <c r="D1198" s="8"/>
      <c r="E1198" s="8"/>
      <c r="F1198" s="8"/>
      <c r="G1198" s="8"/>
      <c r="H1198" s="8"/>
      <c r="I1198" s="10"/>
      <c r="J1198" s="10"/>
      <c r="K1198" s="18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ht="14.25" customHeight="1">
      <c r="A1199" s="9"/>
      <c r="B1199" s="8"/>
      <c r="C1199" s="8"/>
      <c r="D1199" s="8"/>
      <c r="E1199" s="8"/>
      <c r="F1199" s="8"/>
      <c r="G1199" s="8"/>
      <c r="H1199" s="8"/>
      <c r="I1199" s="10"/>
      <c r="J1199" s="10"/>
      <c r="K1199" s="18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ht="14.25" customHeight="1">
      <c r="A1200" s="9"/>
      <c r="B1200" s="8"/>
      <c r="C1200" s="8"/>
      <c r="D1200" s="8"/>
      <c r="E1200" s="8"/>
      <c r="F1200" s="8"/>
      <c r="G1200" s="8"/>
      <c r="H1200" s="8"/>
      <c r="I1200" s="10"/>
      <c r="J1200" s="10"/>
      <c r="K1200" s="18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ht="14.25" customHeight="1">
      <c r="A1201" s="9"/>
      <c r="B1201" s="8"/>
      <c r="C1201" s="8"/>
      <c r="D1201" s="8"/>
      <c r="E1201" s="8"/>
      <c r="F1201" s="8"/>
      <c r="G1201" s="8"/>
      <c r="H1201" s="8"/>
      <c r="I1201" s="10"/>
      <c r="J1201" s="10"/>
      <c r="K1201" s="18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ht="14.25" customHeight="1">
      <c r="A1202" s="9"/>
      <c r="B1202" s="8"/>
      <c r="C1202" s="8"/>
      <c r="D1202" s="8"/>
      <c r="E1202" s="8"/>
      <c r="F1202" s="8"/>
      <c r="G1202" s="8"/>
      <c r="H1202" s="8"/>
      <c r="I1202" s="10"/>
      <c r="J1202" s="10"/>
      <c r="K1202" s="18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ht="14.25" customHeight="1">
      <c r="A1203" s="9"/>
      <c r="B1203" s="8"/>
      <c r="C1203" s="8"/>
      <c r="D1203" s="8"/>
      <c r="E1203" s="8"/>
      <c r="F1203" s="8"/>
      <c r="G1203" s="8"/>
      <c r="H1203" s="8"/>
      <c r="I1203" s="10"/>
      <c r="J1203" s="10"/>
      <c r="K1203" s="18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ht="14.25" customHeight="1">
      <c r="A1204" s="9"/>
      <c r="B1204" s="8"/>
      <c r="C1204" s="8"/>
      <c r="D1204" s="8"/>
      <c r="E1204" s="8"/>
      <c r="F1204" s="8"/>
      <c r="G1204" s="8"/>
      <c r="H1204" s="8"/>
      <c r="I1204" s="10"/>
      <c r="J1204" s="10"/>
      <c r="K1204" s="18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ht="14.25" customHeight="1">
      <c r="A1205" s="9"/>
      <c r="B1205" s="8"/>
      <c r="C1205" s="8"/>
      <c r="D1205" s="8"/>
      <c r="E1205" s="8"/>
      <c r="F1205" s="8"/>
      <c r="G1205" s="8"/>
      <c r="H1205" s="8"/>
      <c r="I1205" s="10"/>
      <c r="J1205" s="10"/>
      <c r="K1205" s="18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ht="14.25" customHeight="1">
      <c r="A1206" s="9"/>
      <c r="B1206" s="8"/>
      <c r="C1206" s="8"/>
      <c r="D1206" s="8"/>
      <c r="E1206" s="8"/>
      <c r="F1206" s="8"/>
      <c r="G1206" s="8"/>
      <c r="H1206" s="8"/>
      <c r="I1206" s="10"/>
      <c r="J1206" s="10"/>
      <c r="K1206" s="18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ht="14.25" customHeight="1">
      <c r="A1207" s="9"/>
      <c r="B1207" s="8"/>
      <c r="C1207" s="8"/>
      <c r="D1207" s="8"/>
      <c r="E1207" s="8"/>
      <c r="F1207" s="8"/>
      <c r="G1207" s="8"/>
      <c r="H1207" s="8"/>
      <c r="I1207" s="10"/>
      <c r="J1207" s="10"/>
      <c r="K1207" s="18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ht="14.25" customHeight="1">
      <c r="A1208" s="9"/>
      <c r="B1208" s="8"/>
      <c r="C1208" s="8"/>
      <c r="D1208" s="8"/>
      <c r="E1208" s="8"/>
      <c r="F1208" s="8"/>
      <c r="G1208" s="8"/>
      <c r="H1208" s="8"/>
      <c r="I1208" s="10"/>
      <c r="J1208" s="10"/>
      <c r="K1208" s="18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ht="14.25" customHeight="1">
      <c r="A1209" s="9"/>
      <c r="B1209" s="8"/>
      <c r="C1209" s="8"/>
      <c r="D1209" s="8"/>
      <c r="E1209" s="8"/>
      <c r="F1209" s="8"/>
      <c r="G1209" s="8"/>
      <c r="H1209" s="8"/>
      <c r="I1209" s="10"/>
      <c r="J1209" s="10"/>
      <c r="K1209" s="18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ht="14.25" customHeight="1">
      <c r="A1210" s="9"/>
      <c r="B1210" s="8"/>
      <c r="C1210" s="8"/>
      <c r="D1210" s="8"/>
      <c r="E1210" s="8"/>
      <c r="F1210" s="8"/>
      <c r="G1210" s="8"/>
      <c r="H1210" s="8"/>
      <c r="I1210" s="10"/>
      <c r="J1210" s="10"/>
      <c r="K1210" s="18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ht="14.25" customHeight="1">
      <c r="A1211" s="9"/>
      <c r="B1211" s="8"/>
      <c r="C1211" s="8"/>
      <c r="D1211" s="8"/>
      <c r="E1211" s="8"/>
      <c r="F1211" s="8"/>
      <c r="G1211" s="8"/>
      <c r="H1211" s="8"/>
      <c r="I1211" s="10"/>
      <c r="J1211" s="10"/>
      <c r="K1211" s="18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ht="14.25" customHeight="1">
      <c r="A1212" s="9"/>
      <c r="B1212" s="8"/>
      <c r="C1212" s="8"/>
      <c r="D1212" s="8"/>
      <c r="E1212" s="8"/>
      <c r="F1212" s="8"/>
      <c r="G1212" s="8"/>
      <c r="H1212" s="8"/>
      <c r="I1212" s="10"/>
      <c r="J1212" s="10"/>
      <c r="K1212" s="18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ht="14.25" customHeight="1">
      <c r="A1213" s="9"/>
      <c r="B1213" s="8"/>
      <c r="C1213" s="8"/>
      <c r="D1213" s="8"/>
      <c r="E1213" s="8"/>
      <c r="F1213" s="8"/>
      <c r="G1213" s="8"/>
      <c r="H1213" s="8"/>
      <c r="I1213" s="10"/>
      <c r="J1213" s="10"/>
      <c r="K1213" s="18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ht="14.25" customHeight="1">
      <c r="A1214" s="9"/>
      <c r="B1214" s="8"/>
      <c r="C1214" s="8"/>
      <c r="D1214" s="8"/>
      <c r="E1214" s="8"/>
      <c r="F1214" s="8"/>
      <c r="G1214" s="8"/>
      <c r="H1214" s="8"/>
      <c r="I1214" s="10"/>
      <c r="J1214" s="10"/>
      <c r="K1214" s="18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ht="14.25" customHeight="1">
      <c r="A1215" s="9"/>
      <c r="B1215" s="8"/>
      <c r="C1215" s="8"/>
      <c r="D1215" s="8"/>
      <c r="E1215" s="8"/>
      <c r="F1215" s="8"/>
      <c r="G1215" s="8"/>
      <c r="H1215" s="8"/>
      <c r="I1215" s="10"/>
      <c r="J1215" s="10"/>
      <c r="K1215" s="18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ht="14.25" customHeight="1">
      <c r="A1216" s="9"/>
      <c r="B1216" s="8"/>
      <c r="C1216" s="8"/>
      <c r="D1216" s="8"/>
      <c r="E1216" s="8"/>
      <c r="F1216" s="8"/>
      <c r="G1216" s="8"/>
      <c r="H1216" s="8"/>
      <c r="I1216" s="10"/>
      <c r="J1216" s="10"/>
      <c r="K1216" s="18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ht="14.25" customHeight="1">
      <c r="A1217" s="9"/>
      <c r="B1217" s="8"/>
      <c r="C1217" s="8"/>
      <c r="D1217" s="8"/>
      <c r="E1217" s="8"/>
      <c r="F1217" s="8"/>
      <c r="G1217" s="8"/>
      <c r="H1217" s="8"/>
      <c r="I1217" s="10"/>
      <c r="J1217" s="10"/>
      <c r="K1217" s="18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ht="14.25" customHeight="1">
      <c r="A1218" s="9"/>
      <c r="B1218" s="8"/>
      <c r="C1218" s="8"/>
      <c r="D1218" s="8"/>
      <c r="E1218" s="8"/>
      <c r="F1218" s="8"/>
      <c r="G1218" s="8"/>
      <c r="H1218" s="8"/>
      <c r="I1218" s="10"/>
      <c r="J1218" s="10"/>
      <c r="K1218" s="18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ht="14.25" customHeight="1">
      <c r="A1219" s="9"/>
      <c r="B1219" s="8"/>
      <c r="C1219" s="8"/>
      <c r="D1219" s="8"/>
      <c r="E1219" s="8"/>
      <c r="F1219" s="8"/>
      <c r="G1219" s="8"/>
      <c r="H1219" s="8"/>
      <c r="I1219" s="10"/>
      <c r="J1219" s="10"/>
      <c r="K1219" s="18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ht="14.25" customHeight="1">
      <c r="A1220" s="9"/>
      <c r="B1220" s="8"/>
      <c r="C1220" s="8"/>
      <c r="D1220" s="8"/>
      <c r="E1220" s="8"/>
      <c r="F1220" s="8"/>
      <c r="G1220" s="8"/>
      <c r="H1220" s="8"/>
      <c r="I1220" s="10"/>
      <c r="J1220" s="10"/>
      <c r="K1220" s="18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ht="14.25" customHeight="1">
      <c r="A1221" s="9"/>
      <c r="B1221" s="8"/>
      <c r="C1221" s="8"/>
      <c r="D1221" s="8"/>
      <c r="E1221" s="8"/>
      <c r="F1221" s="8"/>
      <c r="G1221" s="8"/>
      <c r="H1221" s="8"/>
      <c r="I1221" s="10"/>
      <c r="J1221" s="10"/>
      <c r="K1221" s="18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ht="14.25" customHeight="1">
      <c r="A1222" s="9"/>
      <c r="B1222" s="8"/>
      <c r="C1222" s="8"/>
      <c r="D1222" s="8"/>
      <c r="E1222" s="8"/>
      <c r="F1222" s="8"/>
      <c r="G1222" s="8"/>
      <c r="H1222" s="8"/>
      <c r="I1222" s="10"/>
      <c r="J1222" s="10"/>
      <c r="K1222" s="18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ht="14.25" customHeight="1">
      <c r="A1223" s="9"/>
      <c r="B1223" s="8"/>
      <c r="C1223" s="8"/>
      <c r="D1223" s="8"/>
      <c r="E1223" s="8"/>
      <c r="F1223" s="8"/>
      <c r="G1223" s="8"/>
      <c r="H1223" s="8"/>
      <c r="I1223" s="10"/>
      <c r="J1223" s="10"/>
      <c r="K1223" s="18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ht="14.25" customHeight="1">
      <c r="A1224" s="9"/>
      <c r="B1224" s="8"/>
      <c r="C1224" s="8"/>
      <c r="D1224" s="8"/>
      <c r="E1224" s="8"/>
      <c r="F1224" s="8"/>
      <c r="G1224" s="8"/>
      <c r="H1224" s="8"/>
      <c r="I1224" s="10"/>
      <c r="J1224" s="10"/>
      <c r="K1224" s="18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ht="14.25" customHeight="1">
      <c r="A1225" s="9"/>
      <c r="B1225" s="8"/>
      <c r="C1225" s="8"/>
      <c r="D1225" s="8"/>
      <c r="E1225" s="8"/>
      <c r="F1225" s="8"/>
      <c r="G1225" s="8"/>
      <c r="H1225" s="8"/>
      <c r="I1225" s="10"/>
      <c r="J1225" s="10"/>
      <c r="K1225" s="18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ht="14.25" customHeight="1">
      <c r="A1226" s="9"/>
      <c r="B1226" s="8"/>
      <c r="C1226" s="8"/>
      <c r="D1226" s="8"/>
      <c r="E1226" s="8"/>
      <c r="F1226" s="8"/>
      <c r="G1226" s="8"/>
      <c r="H1226" s="8"/>
      <c r="I1226" s="10"/>
      <c r="J1226" s="10"/>
      <c r="K1226" s="18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ht="14.25" customHeight="1">
      <c r="A1227" s="9"/>
      <c r="B1227" s="8"/>
      <c r="C1227" s="8"/>
      <c r="D1227" s="8"/>
      <c r="E1227" s="8"/>
      <c r="F1227" s="8"/>
      <c r="G1227" s="8"/>
      <c r="H1227" s="8"/>
      <c r="I1227" s="10"/>
      <c r="J1227" s="10"/>
      <c r="K1227" s="18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ht="14.25" customHeight="1">
      <c r="A1228" s="9"/>
      <c r="B1228" s="8"/>
      <c r="C1228" s="8"/>
      <c r="D1228" s="8"/>
      <c r="E1228" s="8"/>
      <c r="F1228" s="8"/>
      <c r="G1228" s="8"/>
      <c r="H1228" s="8"/>
      <c r="I1228" s="10"/>
      <c r="J1228" s="10"/>
      <c r="K1228" s="18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ht="14.25" customHeight="1">
      <c r="A1229" s="9"/>
      <c r="B1229" s="8"/>
      <c r="C1229" s="8"/>
      <c r="D1229" s="8"/>
      <c r="E1229" s="8"/>
      <c r="F1229" s="8"/>
      <c r="G1229" s="8"/>
      <c r="H1229" s="8"/>
      <c r="I1229" s="10"/>
      <c r="J1229" s="10"/>
      <c r="K1229" s="18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ht="14.25" customHeight="1">
      <c r="A1230" s="9"/>
      <c r="B1230" s="8"/>
      <c r="C1230" s="8"/>
      <c r="D1230" s="8"/>
      <c r="E1230" s="8"/>
      <c r="F1230" s="8"/>
      <c r="G1230" s="8"/>
      <c r="H1230" s="8"/>
      <c r="I1230" s="10"/>
      <c r="J1230" s="10"/>
      <c r="K1230" s="18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ht="14.25" customHeight="1">
      <c r="A1231" s="9"/>
      <c r="B1231" s="8"/>
      <c r="C1231" s="8"/>
      <c r="D1231" s="8"/>
      <c r="E1231" s="8"/>
      <c r="F1231" s="8"/>
      <c r="G1231" s="8"/>
      <c r="H1231" s="8"/>
      <c r="I1231" s="10"/>
      <c r="J1231" s="10"/>
      <c r="K1231" s="18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ht="14.25" customHeight="1">
      <c r="A1232" s="9"/>
      <c r="B1232" s="8"/>
      <c r="C1232" s="8"/>
      <c r="D1232" s="8"/>
      <c r="E1232" s="8"/>
      <c r="F1232" s="8"/>
      <c r="G1232" s="8"/>
      <c r="H1232" s="8"/>
      <c r="I1232" s="10"/>
      <c r="J1232" s="10"/>
      <c r="K1232" s="18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ht="14.25" customHeight="1">
      <c r="A1233" s="9"/>
      <c r="B1233" s="8"/>
      <c r="C1233" s="8"/>
      <c r="D1233" s="8"/>
      <c r="E1233" s="8"/>
      <c r="F1233" s="8"/>
      <c r="G1233" s="8"/>
      <c r="H1233" s="8"/>
      <c r="I1233" s="10"/>
      <c r="J1233" s="10"/>
      <c r="K1233" s="18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ht="14.25" customHeight="1">
      <c r="A1234" s="9"/>
      <c r="B1234" s="8"/>
      <c r="C1234" s="8"/>
      <c r="D1234" s="8"/>
      <c r="E1234" s="8"/>
      <c r="F1234" s="8"/>
      <c r="G1234" s="8"/>
      <c r="H1234" s="8"/>
      <c r="I1234" s="10"/>
      <c r="J1234" s="10"/>
      <c r="K1234" s="18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ht="14.25" customHeight="1">
      <c r="A1235" s="9"/>
      <c r="B1235" s="8"/>
      <c r="C1235" s="8"/>
      <c r="D1235" s="8"/>
      <c r="E1235" s="8"/>
      <c r="F1235" s="8"/>
      <c r="G1235" s="8"/>
      <c r="H1235" s="8"/>
      <c r="I1235" s="10"/>
      <c r="J1235" s="10"/>
      <c r="K1235" s="18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ht="14.25" customHeight="1">
      <c r="A1236" s="9"/>
      <c r="B1236" s="8"/>
      <c r="C1236" s="8"/>
      <c r="D1236" s="8"/>
      <c r="E1236" s="8"/>
      <c r="F1236" s="8"/>
      <c r="G1236" s="8"/>
      <c r="H1236" s="8"/>
      <c r="I1236" s="10"/>
      <c r="J1236" s="10"/>
      <c r="K1236" s="18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ht="14.25" customHeight="1">
      <c r="A1237" s="9"/>
      <c r="B1237" s="8"/>
      <c r="C1237" s="8"/>
      <c r="D1237" s="8"/>
      <c r="E1237" s="8"/>
      <c r="F1237" s="8"/>
      <c r="G1237" s="8"/>
      <c r="H1237" s="8"/>
      <c r="I1237" s="10"/>
      <c r="J1237" s="10"/>
      <c r="K1237" s="18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ht="14.25" customHeight="1">
      <c r="A1238" s="9"/>
      <c r="B1238" s="8"/>
      <c r="C1238" s="8"/>
      <c r="D1238" s="8"/>
      <c r="E1238" s="8"/>
      <c r="F1238" s="8"/>
      <c r="G1238" s="8"/>
      <c r="H1238" s="8"/>
      <c r="I1238" s="10"/>
      <c r="J1238" s="10"/>
      <c r="K1238" s="18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ht="14.25" customHeight="1">
      <c r="A1239" s="9"/>
      <c r="B1239" s="8"/>
      <c r="C1239" s="8"/>
      <c r="D1239" s="8"/>
      <c r="E1239" s="8"/>
      <c r="F1239" s="8"/>
      <c r="G1239" s="8"/>
      <c r="H1239" s="8"/>
      <c r="I1239" s="10"/>
      <c r="J1239" s="10"/>
      <c r="K1239" s="18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ht="14.25" customHeight="1">
      <c r="A1240" s="9"/>
      <c r="B1240" s="8"/>
      <c r="C1240" s="8"/>
      <c r="D1240" s="8"/>
      <c r="E1240" s="8"/>
      <c r="F1240" s="8"/>
      <c r="G1240" s="8"/>
      <c r="H1240" s="8"/>
      <c r="I1240" s="10"/>
      <c r="J1240" s="10"/>
      <c r="K1240" s="18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ht="14.25" customHeight="1">
      <c r="A1241" s="9"/>
      <c r="B1241" s="8"/>
      <c r="C1241" s="8"/>
      <c r="D1241" s="8"/>
      <c r="E1241" s="8"/>
      <c r="F1241" s="8"/>
      <c r="G1241" s="8"/>
      <c r="H1241" s="8"/>
      <c r="I1241" s="10"/>
      <c r="J1241" s="10"/>
      <c r="K1241" s="18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ht="14.25" customHeight="1">
      <c r="A1242" s="9"/>
      <c r="B1242" s="8"/>
      <c r="C1242" s="8"/>
      <c r="D1242" s="8"/>
      <c r="E1242" s="8"/>
      <c r="F1242" s="8"/>
      <c r="G1242" s="8"/>
      <c r="H1242" s="8"/>
      <c r="I1242" s="10"/>
      <c r="J1242" s="10"/>
      <c r="K1242" s="18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ht="14.25" customHeight="1">
      <c r="A1243" s="9"/>
      <c r="B1243" s="8"/>
      <c r="C1243" s="8"/>
      <c r="D1243" s="8"/>
      <c r="E1243" s="8"/>
      <c r="F1243" s="8"/>
      <c r="G1243" s="8"/>
      <c r="H1243" s="8"/>
      <c r="I1243" s="10"/>
      <c r="J1243" s="10"/>
      <c r="K1243" s="18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ht="14.25" customHeight="1">
      <c r="A1244" s="9"/>
      <c r="B1244" s="8"/>
      <c r="C1244" s="8"/>
      <c r="D1244" s="8"/>
      <c r="E1244" s="8"/>
      <c r="F1244" s="8"/>
      <c r="G1244" s="8"/>
      <c r="H1244" s="8"/>
      <c r="I1244" s="10"/>
      <c r="J1244" s="10"/>
      <c r="K1244" s="18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ht="14.25" customHeight="1">
      <c r="A1245" s="9"/>
      <c r="B1245" s="8"/>
      <c r="C1245" s="8"/>
      <c r="D1245" s="8"/>
      <c r="E1245" s="8"/>
      <c r="F1245" s="8"/>
      <c r="G1245" s="8"/>
      <c r="H1245" s="8"/>
      <c r="I1245" s="10"/>
      <c r="J1245" s="10"/>
      <c r="K1245" s="18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ht="14.25" customHeight="1">
      <c r="A1246" s="9"/>
      <c r="B1246" s="8"/>
      <c r="C1246" s="8"/>
      <c r="D1246" s="8"/>
      <c r="E1246" s="8"/>
      <c r="F1246" s="8"/>
      <c r="G1246" s="8"/>
      <c r="H1246" s="8"/>
      <c r="I1246" s="10"/>
      <c r="J1246" s="10"/>
      <c r="K1246" s="18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ht="14.25" customHeight="1">
      <c r="A1247" s="9"/>
      <c r="B1247" s="8"/>
      <c r="C1247" s="8"/>
      <c r="D1247" s="8"/>
      <c r="E1247" s="8"/>
      <c r="F1247" s="8"/>
      <c r="G1247" s="8"/>
      <c r="H1247" s="8"/>
      <c r="I1247" s="10"/>
      <c r="J1247" s="10"/>
      <c r="K1247" s="18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ht="14.25" customHeight="1">
      <c r="A1248" s="9"/>
      <c r="B1248" s="8"/>
      <c r="C1248" s="8"/>
      <c r="D1248" s="8"/>
      <c r="E1248" s="8"/>
      <c r="F1248" s="8"/>
      <c r="G1248" s="8"/>
      <c r="H1248" s="8"/>
      <c r="I1248" s="10"/>
      <c r="J1248" s="10"/>
      <c r="K1248" s="18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ht="14.25" customHeight="1">
      <c r="A1249" s="9"/>
      <c r="B1249" s="8"/>
      <c r="C1249" s="8"/>
      <c r="D1249" s="8"/>
      <c r="E1249" s="8"/>
      <c r="F1249" s="8"/>
      <c r="G1249" s="8"/>
      <c r="H1249" s="8"/>
      <c r="I1249" s="10"/>
      <c r="J1249" s="10"/>
      <c r="K1249" s="18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ht="14.25" customHeight="1">
      <c r="A1250" s="9"/>
      <c r="B1250" s="8"/>
      <c r="C1250" s="8"/>
      <c r="D1250" s="8"/>
      <c r="E1250" s="8"/>
      <c r="F1250" s="8"/>
      <c r="G1250" s="8"/>
      <c r="H1250" s="8"/>
      <c r="I1250" s="10"/>
      <c r="J1250" s="10"/>
      <c r="K1250" s="18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ht="14.25" customHeight="1">
      <c r="A1251" s="9"/>
      <c r="B1251" s="8"/>
      <c r="C1251" s="8"/>
      <c r="D1251" s="8"/>
      <c r="E1251" s="8"/>
      <c r="F1251" s="8"/>
      <c r="G1251" s="8"/>
      <c r="H1251" s="8"/>
      <c r="I1251" s="10"/>
      <c r="J1251" s="10"/>
      <c r="K1251" s="18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ht="14.25" customHeight="1">
      <c r="A1252" s="9"/>
      <c r="B1252" s="8"/>
      <c r="C1252" s="8"/>
      <c r="D1252" s="8"/>
      <c r="E1252" s="8"/>
      <c r="F1252" s="8"/>
      <c r="G1252" s="8"/>
      <c r="H1252" s="8"/>
      <c r="I1252" s="10"/>
      <c r="J1252" s="10"/>
      <c r="K1252" s="18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ht="14.25" customHeight="1">
      <c r="A1253" s="9"/>
      <c r="B1253" s="8"/>
      <c r="C1253" s="8"/>
      <c r="D1253" s="8"/>
      <c r="E1253" s="8"/>
      <c r="F1253" s="8"/>
      <c r="G1253" s="8"/>
      <c r="H1253" s="8"/>
      <c r="I1253" s="10"/>
      <c r="J1253" s="10"/>
      <c r="K1253" s="18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ht="14.25" customHeight="1">
      <c r="A1254" s="9"/>
      <c r="B1254" s="8"/>
      <c r="C1254" s="8"/>
      <c r="D1254" s="8"/>
      <c r="E1254" s="8"/>
      <c r="F1254" s="8"/>
      <c r="G1254" s="8"/>
      <c r="H1254" s="8"/>
      <c r="I1254" s="10"/>
      <c r="J1254" s="10"/>
      <c r="K1254" s="18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ht="14.25" customHeight="1">
      <c r="A1255" s="9"/>
      <c r="B1255" s="8"/>
      <c r="C1255" s="8"/>
      <c r="D1255" s="8"/>
      <c r="E1255" s="8"/>
      <c r="F1255" s="8"/>
      <c r="G1255" s="8"/>
      <c r="H1255" s="8"/>
      <c r="I1255" s="10"/>
      <c r="J1255" s="10"/>
      <c r="K1255" s="18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ht="14.25" customHeight="1">
      <c r="A1256" s="9"/>
      <c r="B1256" s="8"/>
      <c r="C1256" s="8"/>
      <c r="D1256" s="8"/>
      <c r="E1256" s="8"/>
      <c r="F1256" s="8"/>
      <c r="G1256" s="8"/>
      <c r="H1256" s="8"/>
      <c r="I1256" s="10"/>
      <c r="J1256" s="10"/>
      <c r="K1256" s="18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ht="14.25" customHeight="1">
      <c r="A1257" s="9"/>
      <c r="B1257" s="8"/>
      <c r="C1257" s="8"/>
      <c r="D1257" s="8"/>
      <c r="E1257" s="8"/>
      <c r="F1257" s="8"/>
      <c r="G1257" s="8"/>
      <c r="H1257" s="8"/>
      <c r="I1257" s="10"/>
      <c r="J1257" s="10"/>
      <c r="K1257" s="18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ht="14.25" customHeight="1">
      <c r="A1258" s="12"/>
      <c r="B1258" s="12"/>
      <c r="C1258" s="12"/>
      <c r="D1258" s="12"/>
      <c r="E1258" s="12"/>
      <c r="F1258" s="12"/>
      <c r="G1258" s="12"/>
      <c r="H1258" s="12"/>
      <c r="I1258" s="20"/>
      <c r="J1258" s="20"/>
      <c r="K1258" s="21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ht="14.25" customHeight="1">
      <c r="A1259" s="12"/>
      <c r="B1259" s="12"/>
      <c r="C1259" s="12"/>
      <c r="D1259" s="12"/>
      <c r="E1259" s="12"/>
      <c r="F1259" s="12"/>
      <c r="G1259" s="12"/>
      <c r="H1259" s="12"/>
      <c r="I1259" s="20"/>
      <c r="J1259" s="20"/>
      <c r="K1259" s="21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ht="14.25" customHeight="1">
      <c r="A1260" s="12"/>
      <c r="B1260" s="12"/>
      <c r="C1260" s="12"/>
      <c r="D1260" s="12"/>
      <c r="E1260" s="12"/>
      <c r="F1260" s="12"/>
      <c r="G1260" s="12"/>
      <c r="H1260" s="12"/>
      <c r="I1260" s="20"/>
      <c r="J1260" s="20"/>
      <c r="K1260" s="21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ht="14.25" customHeight="1">
      <c r="A1261" s="12"/>
      <c r="B1261" s="12"/>
      <c r="C1261" s="12"/>
      <c r="D1261" s="12"/>
      <c r="E1261" s="12"/>
      <c r="F1261" s="12"/>
      <c r="G1261" s="12"/>
      <c r="H1261" s="12"/>
      <c r="I1261" s="20"/>
      <c r="J1261" s="20"/>
      <c r="K1261" s="21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ht="14.25" customHeight="1">
      <c r="A1262" s="12"/>
      <c r="B1262" s="12"/>
      <c r="C1262" s="12"/>
      <c r="D1262" s="12"/>
      <c r="E1262" s="12"/>
      <c r="F1262" s="12"/>
      <c r="G1262" s="12"/>
      <c r="H1262" s="12"/>
      <c r="I1262" s="20"/>
      <c r="J1262" s="20"/>
      <c r="K1262" s="21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ht="14.25" customHeight="1">
      <c r="A1263" s="12"/>
      <c r="B1263" s="12"/>
      <c r="C1263" s="12"/>
      <c r="D1263" s="12"/>
      <c r="E1263" s="12"/>
      <c r="F1263" s="12"/>
      <c r="G1263" s="12"/>
      <c r="H1263" s="12"/>
      <c r="I1263" s="20"/>
      <c r="J1263" s="20"/>
      <c r="K1263" s="21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ht="14.25" customHeight="1">
      <c r="A1264" s="12"/>
      <c r="B1264" s="12"/>
      <c r="C1264" s="12"/>
      <c r="D1264" s="12"/>
      <c r="E1264" s="12"/>
      <c r="F1264" s="12"/>
      <c r="G1264" s="12"/>
      <c r="H1264" s="12"/>
      <c r="I1264" s="20"/>
      <c r="J1264" s="20"/>
      <c r="K1264" s="21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ht="14.25" customHeight="1">
      <c r="A1265" s="12"/>
      <c r="B1265" s="12"/>
      <c r="C1265" s="12"/>
      <c r="D1265" s="12"/>
      <c r="E1265" s="12"/>
      <c r="F1265" s="12"/>
      <c r="G1265" s="12"/>
      <c r="H1265" s="12"/>
      <c r="I1265" s="20"/>
      <c r="J1265" s="20"/>
      <c r="K1265" s="21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ht="14.25" customHeight="1">
      <c r="A1266" s="22"/>
      <c r="B1266" s="3"/>
      <c r="C1266" s="3"/>
      <c r="D1266" s="3"/>
      <c r="E1266" s="3"/>
      <c r="F1266" s="3"/>
      <c r="G1266" s="3"/>
      <c r="H1266" s="3"/>
      <c r="I1266" s="2"/>
      <c r="J1266" s="2"/>
      <c r="K1266" s="2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ht="14.25" customHeight="1">
      <c r="A1267" s="22"/>
      <c r="B1267" s="3"/>
      <c r="C1267" s="3"/>
      <c r="D1267" s="3"/>
      <c r="E1267" s="3"/>
      <c r="F1267" s="3"/>
      <c r="G1267" s="3"/>
      <c r="H1267" s="3"/>
      <c r="I1267" s="2"/>
      <c r="J1267" s="2"/>
      <c r="K1267" s="2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ht="14.25" customHeight="1">
      <c r="A1268" s="22"/>
      <c r="B1268" s="3"/>
      <c r="C1268" s="3"/>
      <c r="D1268" s="3"/>
      <c r="E1268" s="3"/>
      <c r="F1268" s="3"/>
      <c r="G1268" s="3"/>
      <c r="H1268" s="3"/>
      <c r="I1268" s="2"/>
      <c r="J1268" s="2"/>
      <c r="K1268" s="2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ht="14.25" customHeight="1">
      <c r="A1269" s="22"/>
      <c r="B1269" s="3"/>
      <c r="C1269" s="3"/>
      <c r="D1269" s="3"/>
      <c r="E1269" s="3"/>
      <c r="F1269" s="3"/>
      <c r="G1269" s="3"/>
      <c r="H1269" s="3"/>
      <c r="I1269" s="2"/>
      <c r="J1269" s="2"/>
      <c r="K1269" s="2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ht="14.25" customHeight="1">
      <c r="A1270" s="22"/>
      <c r="B1270" s="3"/>
      <c r="C1270" s="3"/>
      <c r="D1270" s="3"/>
      <c r="E1270" s="3"/>
      <c r="F1270" s="3"/>
      <c r="G1270" s="3"/>
      <c r="H1270" s="3"/>
      <c r="I1270" s="2"/>
      <c r="J1270" s="2"/>
      <c r="K1270" s="2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ht="14.25" customHeight="1">
      <c r="A1271" s="22"/>
      <c r="B1271" s="3"/>
      <c r="C1271" s="3"/>
      <c r="D1271" s="3"/>
      <c r="E1271" s="3"/>
      <c r="F1271" s="3"/>
      <c r="G1271" s="3"/>
      <c r="H1271" s="3"/>
      <c r="I1271" s="2"/>
      <c r="J1271" s="2"/>
      <c r="K1271" s="2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ht="14.25" customHeight="1">
      <c r="A1272" s="22"/>
      <c r="B1272" s="3"/>
      <c r="C1272" s="3"/>
      <c r="D1272" s="3"/>
      <c r="E1272" s="3"/>
      <c r="F1272" s="3"/>
      <c r="G1272" s="3"/>
      <c r="H1272" s="3"/>
      <c r="I1272" s="2"/>
      <c r="J1272" s="2"/>
      <c r="K1272" s="2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ht="14.25" customHeight="1">
      <c r="A1273" s="9"/>
      <c r="B1273" s="8"/>
      <c r="C1273" s="8"/>
      <c r="D1273" s="8"/>
      <c r="E1273" s="8"/>
      <c r="F1273" s="8"/>
      <c r="G1273" s="8"/>
      <c r="H1273" s="8"/>
      <c r="I1273" s="10"/>
      <c r="J1273" s="10"/>
      <c r="K1273" s="18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ht="14.25" customHeight="1">
      <c r="A1274" s="9"/>
      <c r="B1274" s="8"/>
      <c r="C1274" s="8"/>
      <c r="D1274" s="8"/>
      <c r="E1274" s="8"/>
      <c r="F1274" s="8"/>
      <c r="G1274" s="8"/>
      <c r="H1274" s="8"/>
      <c r="I1274" s="10"/>
      <c r="J1274" s="10"/>
      <c r="K1274" s="18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ht="14.25" customHeight="1">
      <c r="A1275" s="9"/>
      <c r="B1275" s="8"/>
      <c r="C1275" s="8"/>
      <c r="D1275" s="8"/>
      <c r="E1275" s="8"/>
      <c r="F1275" s="8"/>
      <c r="G1275" s="8"/>
      <c r="H1275" s="8"/>
      <c r="I1275" s="10"/>
      <c r="J1275" s="10"/>
      <c r="K1275" s="18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ht="14.25" customHeight="1">
      <c r="A1276" s="9"/>
      <c r="B1276" s="8"/>
      <c r="C1276" s="8"/>
      <c r="D1276" s="8"/>
      <c r="E1276" s="8"/>
      <c r="F1276" s="8"/>
      <c r="G1276" s="8"/>
      <c r="H1276" s="8"/>
      <c r="I1276" s="10"/>
      <c r="J1276" s="10"/>
      <c r="K1276" s="18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ht="14.25" customHeight="1">
      <c r="A1277" s="9"/>
      <c r="B1277" s="8"/>
      <c r="C1277" s="8"/>
      <c r="D1277" s="8"/>
      <c r="E1277" s="8"/>
      <c r="F1277" s="8"/>
      <c r="G1277" s="8"/>
      <c r="H1277" s="8"/>
      <c r="I1277" s="10"/>
      <c r="J1277" s="10"/>
      <c r="K1277" s="18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ht="14.25" customHeight="1">
      <c r="A1278" s="9"/>
      <c r="B1278" s="8"/>
      <c r="C1278" s="8"/>
      <c r="D1278" s="8"/>
      <c r="E1278" s="8"/>
      <c r="F1278" s="8"/>
      <c r="G1278" s="8"/>
      <c r="H1278" s="8"/>
      <c r="I1278" s="10"/>
      <c r="J1278" s="10"/>
      <c r="K1278" s="18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ht="14.25" customHeight="1">
      <c r="A1279" s="9"/>
      <c r="B1279" s="8"/>
      <c r="C1279" s="8"/>
      <c r="D1279" s="8"/>
      <c r="E1279" s="8"/>
      <c r="F1279" s="8"/>
      <c r="G1279" s="8"/>
      <c r="H1279" s="8"/>
      <c r="I1279" s="10"/>
      <c r="J1279" s="10"/>
      <c r="K1279" s="18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ht="14.25" customHeight="1">
      <c r="A1280" s="9"/>
      <c r="B1280" s="8"/>
      <c r="C1280" s="8"/>
      <c r="D1280" s="8"/>
      <c r="E1280" s="8"/>
      <c r="F1280" s="8"/>
      <c r="G1280" s="8"/>
      <c r="H1280" s="8"/>
      <c r="I1280" s="10"/>
      <c r="J1280" s="10"/>
      <c r="K1280" s="18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ht="14.25" customHeight="1">
      <c r="A1281" s="9"/>
      <c r="B1281" s="8"/>
      <c r="C1281" s="8"/>
      <c r="D1281" s="8"/>
      <c r="E1281" s="8"/>
      <c r="F1281" s="8"/>
      <c r="G1281" s="8"/>
      <c r="H1281" s="8"/>
      <c r="I1281" s="10"/>
      <c r="J1281" s="10"/>
      <c r="K1281" s="18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ht="14.25" customHeight="1">
      <c r="A1282" s="9"/>
      <c r="B1282" s="8"/>
      <c r="C1282" s="8"/>
      <c r="D1282" s="8"/>
      <c r="E1282" s="8"/>
      <c r="F1282" s="8"/>
      <c r="G1282" s="8"/>
      <c r="H1282" s="8"/>
      <c r="I1282" s="10"/>
      <c r="J1282" s="10"/>
      <c r="K1282" s="18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ht="14.25" customHeight="1">
      <c r="A1283" s="9"/>
      <c r="B1283" s="8"/>
      <c r="C1283" s="8"/>
      <c r="D1283" s="8"/>
      <c r="E1283" s="8"/>
      <c r="F1283" s="8"/>
      <c r="G1283" s="8"/>
      <c r="H1283" s="8"/>
      <c r="I1283" s="10"/>
      <c r="J1283" s="10"/>
      <c r="K1283" s="18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ht="14.25" customHeight="1">
      <c r="A1284" s="9"/>
      <c r="B1284" s="8"/>
      <c r="C1284" s="8"/>
      <c r="D1284" s="8"/>
      <c r="E1284" s="8"/>
      <c r="F1284" s="8"/>
      <c r="G1284" s="8"/>
      <c r="H1284" s="8"/>
      <c r="I1284" s="10"/>
      <c r="J1284" s="10"/>
      <c r="K1284" s="18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ht="14.25" customHeight="1">
      <c r="A1285" s="9"/>
      <c r="B1285" s="8"/>
      <c r="C1285" s="8"/>
      <c r="D1285" s="8"/>
      <c r="E1285" s="8"/>
      <c r="F1285" s="8"/>
      <c r="G1285" s="8"/>
      <c r="H1285" s="8"/>
      <c r="I1285" s="10"/>
      <c r="J1285" s="10"/>
      <c r="K1285" s="18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ht="14.25" customHeight="1">
      <c r="A1286" s="9"/>
      <c r="B1286" s="8"/>
      <c r="C1286" s="8"/>
      <c r="D1286" s="8"/>
      <c r="E1286" s="8"/>
      <c r="F1286" s="8"/>
      <c r="G1286" s="8"/>
      <c r="H1286" s="8"/>
      <c r="I1286" s="10"/>
      <c r="J1286" s="10"/>
      <c r="K1286" s="18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ht="14.25" customHeight="1">
      <c r="A1287" s="9"/>
      <c r="B1287" s="8"/>
      <c r="C1287" s="8"/>
      <c r="D1287" s="8"/>
      <c r="E1287" s="8"/>
      <c r="F1287" s="8"/>
      <c r="G1287" s="8"/>
      <c r="H1287" s="8"/>
      <c r="I1287" s="10"/>
      <c r="J1287" s="10"/>
      <c r="K1287" s="18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ht="14.25" customHeight="1">
      <c r="A1288" s="9"/>
      <c r="B1288" s="8"/>
      <c r="C1288" s="8"/>
      <c r="D1288" s="8"/>
      <c r="E1288" s="8"/>
      <c r="F1288" s="8"/>
      <c r="G1288" s="8"/>
      <c r="H1288" s="8"/>
      <c r="I1288" s="10"/>
      <c r="J1288" s="10"/>
      <c r="K1288" s="18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 ht="14.25" customHeight="1">
      <c r="A1289" s="9"/>
      <c r="B1289" s="8"/>
      <c r="C1289" s="8"/>
      <c r="D1289" s="8"/>
      <c r="E1289" s="8"/>
      <c r="F1289" s="8"/>
      <c r="G1289" s="8"/>
      <c r="H1289" s="8"/>
      <c r="I1289" s="10"/>
      <c r="J1289" s="10"/>
      <c r="K1289" s="18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 ht="14.25" customHeight="1">
      <c r="A1290" s="9"/>
      <c r="B1290" s="8"/>
      <c r="C1290" s="8"/>
      <c r="D1290" s="8"/>
      <c r="E1290" s="8"/>
      <c r="F1290" s="8"/>
      <c r="G1290" s="8"/>
      <c r="H1290" s="8"/>
      <c r="I1290" s="10"/>
      <c r="J1290" s="10"/>
      <c r="K1290" s="18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</row>
    <row r="1291" ht="14.25" customHeight="1">
      <c r="A1291" s="9"/>
      <c r="B1291" s="8"/>
      <c r="C1291" s="8"/>
      <c r="D1291" s="8"/>
      <c r="E1291" s="8"/>
      <c r="F1291" s="8"/>
      <c r="G1291" s="8"/>
      <c r="H1291" s="8"/>
      <c r="I1291" s="10"/>
      <c r="J1291" s="10"/>
      <c r="K1291" s="18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 ht="14.25" customHeight="1">
      <c r="A1292" s="9"/>
      <c r="B1292" s="8"/>
      <c r="C1292" s="8"/>
      <c r="D1292" s="8"/>
      <c r="E1292" s="8"/>
      <c r="F1292" s="8"/>
      <c r="G1292" s="8"/>
      <c r="H1292" s="8"/>
      <c r="I1292" s="10"/>
      <c r="J1292" s="10"/>
      <c r="K1292" s="18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</row>
    <row r="1293" ht="14.25" customHeight="1">
      <c r="A1293" s="9"/>
      <c r="B1293" s="8"/>
      <c r="C1293" s="8"/>
      <c r="D1293" s="8"/>
      <c r="E1293" s="8"/>
      <c r="F1293" s="8"/>
      <c r="G1293" s="8"/>
      <c r="H1293" s="8"/>
      <c r="I1293" s="10"/>
      <c r="J1293" s="10"/>
      <c r="K1293" s="18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ht="14.25" customHeight="1">
      <c r="A1294" s="9"/>
      <c r="B1294" s="8"/>
      <c r="C1294" s="8"/>
      <c r="D1294" s="8"/>
      <c r="E1294" s="8"/>
      <c r="F1294" s="8"/>
      <c r="G1294" s="8"/>
      <c r="H1294" s="8"/>
      <c r="I1294" s="10"/>
      <c r="J1294" s="10"/>
      <c r="K1294" s="18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 ht="14.25" customHeight="1">
      <c r="A1295" s="9"/>
      <c r="B1295" s="8"/>
      <c r="C1295" s="8"/>
      <c r="D1295" s="8"/>
      <c r="E1295" s="8"/>
      <c r="F1295" s="8"/>
      <c r="G1295" s="8"/>
      <c r="H1295" s="8"/>
      <c r="I1295" s="10"/>
      <c r="J1295" s="10"/>
      <c r="K1295" s="18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 ht="14.25" customHeight="1">
      <c r="A1296" s="9"/>
      <c r="B1296" s="8"/>
      <c r="C1296" s="8"/>
      <c r="D1296" s="8"/>
      <c r="E1296" s="8"/>
      <c r="F1296" s="8"/>
      <c r="G1296" s="8"/>
      <c r="H1296" s="8"/>
      <c r="I1296" s="10"/>
      <c r="J1296" s="10"/>
      <c r="K1296" s="18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 ht="14.25" customHeight="1">
      <c r="A1297" s="9"/>
      <c r="B1297" s="8"/>
      <c r="C1297" s="8"/>
      <c r="D1297" s="8"/>
      <c r="E1297" s="8"/>
      <c r="F1297" s="8"/>
      <c r="G1297" s="8"/>
      <c r="H1297" s="8"/>
      <c r="I1297" s="10"/>
      <c r="J1297" s="10"/>
      <c r="K1297" s="18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</row>
    <row r="1298" ht="14.25" customHeight="1">
      <c r="A1298" s="9"/>
      <c r="B1298" s="8"/>
      <c r="C1298" s="8"/>
      <c r="D1298" s="8"/>
      <c r="E1298" s="8"/>
      <c r="F1298" s="8"/>
      <c r="G1298" s="8"/>
      <c r="H1298" s="8"/>
      <c r="I1298" s="10"/>
      <c r="J1298" s="10"/>
      <c r="K1298" s="18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ht="14.25" customHeight="1">
      <c r="A1299" s="9"/>
      <c r="B1299" s="8"/>
      <c r="C1299" s="8"/>
      <c r="D1299" s="8"/>
      <c r="E1299" s="8"/>
      <c r="F1299" s="8"/>
      <c r="G1299" s="8"/>
      <c r="H1299" s="8"/>
      <c r="I1299" s="10"/>
      <c r="J1299" s="10"/>
      <c r="K1299" s="18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</row>
    <row r="1300" ht="14.25" customHeight="1">
      <c r="A1300" s="9"/>
      <c r="B1300" s="8"/>
      <c r="C1300" s="8"/>
      <c r="D1300" s="8"/>
      <c r="E1300" s="8"/>
      <c r="F1300" s="8"/>
      <c r="G1300" s="8"/>
      <c r="H1300" s="8"/>
      <c r="I1300" s="10"/>
      <c r="J1300" s="10"/>
      <c r="K1300" s="18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 ht="14.25" customHeight="1">
      <c r="A1301" s="9"/>
      <c r="B1301" s="8"/>
      <c r="C1301" s="8"/>
      <c r="D1301" s="8"/>
      <c r="E1301" s="8"/>
      <c r="F1301" s="8"/>
      <c r="G1301" s="8"/>
      <c r="H1301" s="8"/>
      <c r="I1301" s="10"/>
      <c r="J1301" s="10"/>
      <c r="K1301" s="18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 ht="14.25" customHeight="1">
      <c r="A1302" s="9"/>
      <c r="B1302" s="8"/>
      <c r="C1302" s="8"/>
      <c r="D1302" s="8"/>
      <c r="E1302" s="8"/>
      <c r="F1302" s="8"/>
      <c r="G1302" s="8"/>
      <c r="H1302" s="8"/>
      <c r="I1302" s="10"/>
      <c r="J1302" s="10"/>
      <c r="K1302" s="18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</row>
    <row r="1303" ht="14.25" customHeight="1">
      <c r="A1303" s="9"/>
      <c r="B1303" s="8"/>
      <c r="C1303" s="8"/>
      <c r="D1303" s="8"/>
      <c r="E1303" s="8"/>
      <c r="F1303" s="8"/>
      <c r="G1303" s="8"/>
      <c r="H1303" s="8"/>
      <c r="I1303" s="10"/>
      <c r="J1303" s="10"/>
      <c r="K1303" s="18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</row>
    <row r="1304" ht="14.25" customHeight="1">
      <c r="A1304" s="9"/>
      <c r="B1304" s="8"/>
      <c r="C1304" s="8"/>
      <c r="D1304" s="8"/>
      <c r="E1304" s="8"/>
      <c r="F1304" s="8"/>
      <c r="G1304" s="8"/>
      <c r="H1304" s="8"/>
      <c r="I1304" s="10"/>
      <c r="J1304" s="10"/>
      <c r="K1304" s="18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</row>
    <row r="1305" ht="14.25" customHeight="1">
      <c r="A1305" s="9"/>
      <c r="B1305" s="8"/>
      <c r="C1305" s="8"/>
      <c r="D1305" s="8"/>
      <c r="E1305" s="8"/>
      <c r="F1305" s="8"/>
      <c r="G1305" s="8"/>
      <c r="H1305" s="8"/>
      <c r="I1305" s="10"/>
      <c r="J1305" s="10"/>
      <c r="K1305" s="18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 ht="14.25" customHeight="1">
      <c r="A1306" s="9"/>
      <c r="B1306" s="8"/>
      <c r="C1306" s="8"/>
      <c r="D1306" s="8"/>
      <c r="E1306" s="8"/>
      <c r="F1306" s="8"/>
      <c r="G1306" s="8"/>
      <c r="H1306" s="8"/>
      <c r="I1306" s="10"/>
      <c r="J1306" s="10"/>
      <c r="K1306" s="18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 ht="14.25" customHeight="1">
      <c r="A1307" s="9"/>
      <c r="B1307" s="8"/>
      <c r="C1307" s="8"/>
      <c r="D1307" s="8"/>
      <c r="E1307" s="8"/>
      <c r="F1307" s="8"/>
      <c r="G1307" s="8"/>
      <c r="H1307" s="8"/>
      <c r="I1307" s="10"/>
      <c r="J1307" s="10"/>
      <c r="K1307" s="18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 ht="14.25" customHeight="1">
      <c r="A1308" s="9"/>
      <c r="B1308" s="8"/>
      <c r="C1308" s="8"/>
      <c r="D1308" s="8"/>
      <c r="E1308" s="8"/>
      <c r="F1308" s="8"/>
      <c r="G1308" s="8"/>
      <c r="H1308" s="8"/>
      <c r="I1308" s="10"/>
      <c r="J1308" s="10"/>
      <c r="K1308" s="18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</row>
    <row r="1309" ht="14.25" customHeight="1">
      <c r="A1309" s="9"/>
      <c r="B1309" s="8"/>
      <c r="C1309" s="8"/>
      <c r="D1309" s="8"/>
      <c r="E1309" s="8"/>
      <c r="F1309" s="8"/>
      <c r="G1309" s="8"/>
      <c r="H1309" s="8"/>
      <c r="I1309" s="10"/>
      <c r="J1309" s="10"/>
      <c r="K1309" s="18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</row>
    <row r="1310" ht="14.25" customHeight="1">
      <c r="A1310" s="9"/>
      <c r="B1310" s="8"/>
      <c r="C1310" s="8"/>
      <c r="D1310" s="8"/>
      <c r="E1310" s="8"/>
      <c r="F1310" s="8"/>
      <c r="G1310" s="8"/>
      <c r="H1310" s="8"/>
      <c r="I1310" s="10"/>
      <c r="J1310" s="10"/>
      <c r="K1310" s="18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 ht="14.25" customHeight="1">
      <c r="A1311" s="9"/>
      <c r="B1311" s="8"/>
      <c r="C1311" s="8"/>
      <c r="D1311" s="8"/>
      <c r="E1311" s="8"/>
      <c r="F1311" s="8"/>
      <c r="G1311" s="8"/>
      <c r="H1311" s="8"/>
      <c r="I1311" s="10"/>
      <c r="J1311" s="10"/>
      <c r="K1311" s="18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</row>
    <row r="1312" ht="14.25" customHeight="1">
      <c r="A1312" s="9"/>
      <c r="B1312" s="8"/>
      <c r="C1312" s="8"/>
      <c r="D1312" s="8"/>
      <c r="E1312" s="8"/>
      <c r="F1312" s="8"/>
      <c r="G1312" s="8"/>
      <c r="H1312" s="8"/>
      <c r="I1312" s="10"/>
      <c r="J1312" s="10"/>
      <c r="K1312" s="18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</row>
    <row r="1313" ht="14.25" customHeight="1">
      <c r="A1313" s="9"/>
      <c r="B1313" s="8"/>
      <c r="C1313" s="8"/>
      <c r="D1313" s="8"/>
      <c r="E1313" s="8"/>
      <c r="F1313" s="8"/>
      <c r="G1313" s="8"/>
      <c r="H1313" s="8"/>
      <c r="I1313" s="10"/>
      <c r="J1313" s="10"/>
      <c r="K1313" s="18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 ht="14.25" customHeight="1">
      <c r="A1314" s="9"/>
      <c r="B1314" s="8"/>
      <c r="C1314" s="8"/>
      <c r="D1314" s="8"/>
      <c r="E1314" s="8"/>
      <c r="F1314" s="8"/>
      <c r="G1314" s="8"/>
      <c r="H1314" s="8"/>
      <c r="I1314" s="10"/>
      <c r="J1314" s="10"/>
      <c r="K1314" s="18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</row>
    <row r="1315" ht="14.25" customHeight="1">
      <c r="A1315" s="9"/>
      <c r="B1315" s="8"/>
      <c r="C1315" s="8"/>
      <c r="D1315" s="8"/>
      <c r="E1315" s="8"/>
      <c r="F1315" s="8"/>
      <c r="G1315" s="8"/>
      <c r="H1315" s="8"/>
      <c r="I1315" s="10"/>
      <c r="J1315" s="10"/>
      <c r="K1315" s="18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</row>
    <row r="1316" ht="14.25" customHeight="1">
      <c r="A1316" s="9"/>
      <c r="B1316" s="8"/>
      <c r="C1316" s="8"/>
      <c r="D1316" s="8"/>
      <c r="E1316" s="8"/>
      <c r="F1316" s="8"/>
      <c r="G1316" s="8"/>
      <c r="H1316" s="8"/>
      <c r="I1316" s="10"/>
      <c r="J1316" s="10"/>
      <c r="K1316" s="18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</row>
    <row r="1317" ht="14.25" customHeight="1">
      <c r="A1317" s="9"/>
      <c r="B1317" s="8"/>
      <c r="C1317" s="8"/>
      <c r="D1317" s="8"/>
      <c r="E1317" s="8"/>
      <c r="F1317" s="8"/>
      <c r="G1317" s="8"/>
      <c r="H1317" s="8"/>
      <c r="I1317" s="10"/>
      <c r="J1317" s="10"/>
      <c r="K1317" s="18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</row>
    <row r="1318" ht="14.25" customHeight="1">
      <c r="A1318" s="9"/>
      <c r="B1318" s="8"/>
      <c r="C1318" s="8"/>
      <c r="D1318" s="8"/>
      <c r="E1318" s="8"/>
      <c r="F1318" s="8"/>
      <c r="G1318" s="8"/>
      <c r="H1318" s="8"/>
      <c r="I1318" s="10"/>
      <c r="J1318" s="10"/>
      <c r="K1318" s="18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</row>
    <row r="1319" ht="14.25" customHeight="1">
      <c r="A1319" s="9"/>
      <c r="B1319" s="8"/>
      <c r="C1319" s="8"/>
      <c r="D1319" s="8"/>
      <c r="E1319" s="8"/>
      <c r="F1319" s="8"/>
      <c r="G1319" s="8"/>
      <c r="H1319" s="8"/>
      <c r="I1319" s="10"/>
      <c r="J1319" s="10"/>
      <c r="K1319" s="18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</row>
    <row r="1320" ht="14.25" customHeight="1">
      <c r="A1320" s="9"/>
      <c r="B1320" s="8"/>
      <c r="C1320" s="8"/>
      <c r="D1320" s="8"/>
      <c r="E1320" s="8"/>
      <c r="F1320" s="8"/>
      <c r="G1320" s="8"/>
      <c r="H1320" s="8"/>
      <c r="I1320" s="10"/>
      <c r="J1320" s="10"/>
      <c r="K1320" s="18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</row>
    <row r="1321" ht="14.25" customHeight="1">
      <c r="A1321" s="9"/>
      <c r="B1321" s="8"/>
      <c r="C1321" s="8"/>
      <c r="D1321" s="8"/>
      <c r="E1321" s="8"/>
      <c r="F1321" s="8"/>
      <c r="G1321" s="8"/>
      <c r="H1321" s="8"/>
      <c r="I1321" s="10"/>
      <c r="J1321" s="10"/>
      <c r="K1321" s="18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</row>
    <row r="1322" ht="14.25" customHeight="1">
      <c r="A1322" s="9"/>
      <c r="B1322" s="8"/>
      <c r="C1322" s="8"/>
      <c r="D1322" s="8"/>
      <c r="E1322" s="8"/>
      <c r="F1322" s="8"/>
      <c r="G1322" s="8"/>
      <c r="H1322" s="8"/>
      <c r="I1322" s="10"/>
      <c r="J1322" s="10"/>
      <c r="K1322" s="18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</row>
    <row r="1323" ht="14.25" customHeight="1">
      <c r="A1323" s="9"/>
      <c r="B1323" s="8"/>
      <c r="C1323" s="8"/>
      <c r="D1323" s="8"/>
      <c r="E1323" s="8"/>
      <c r="F1323" s="8"/>
      <c r="G1323" s="8"/>
      <c r="H1323" s="8"/>
      <c r="I1323" s="10"/>
      <c r="J1323" s="10"/>
      <c r="K1323" s="18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</row>
    <row r="1324" ht="14.25" customHeight="1">
      <c r="A1324" s="9"/>
      <c r="B1324" s="8"/>
      <c r="C1324" s="8"/>
      <c r="D1324" s="8"/>
      <c r="E1324" s="8"/>
      <c r="F1324" s="8"/>
      <c r="G1324" s="8"/>
      <c r="H1324" s="8"/>
      <c r="I1324" s="10"/>
      <c r="J1324" s="10"/>
      <c r="K1324" s="18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</row>
    <row r="1325" ht="14.25" customHeight="1">
      <c r="A1325" s="9"/>
      <c r="B1325" s="8"/>
      <c r="C1325" s="8"/>
      <c r="D1325" s="8"/>
      <c r="E1325" s="8"/>
      <c r="F1325" s="8"/>
      <c r="G1325" s="8"/>
      <c r="H1325" s="8"/>
      <c r="I1325" s="10"/>
      <c r="J1325" s="10"/>
      <c r="K1325" s="18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</row>
    <row r="1326" ht="14.25" customHeight="1">
      <c r="A1326" s="9"/>
      <c r="B1326" s="8"/>
      <c r="C1326" s="8"/>
      <c r="D1326" s="8"/>
      <c r="E1326" s="8"/>
      <c r="F1326" s="8"/>
      <c r="G1326" s="8"/>
      <c r="H1326" s="8"/>
      <c r="I1326" s="10"/>
      <c r="J1326" s="10"/>
      <c r="K1326" s="18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</row>
    <row r="1327" ht="14.25" customHeight="1">
      <c r="A1327" s="9"/>
      <c r="B1327" s="8"/>
      <c r="C1327" s="8"/>
      <c r="D1327" s="8"/>
      <c r="E1327" s="8"/>
      <c r="F1327" s="8"/>
      <c r="G1327" s="8"/>
      <c r="H1327" s="8"/>
      <c r="I1327" s="10"/>
      <c r="J1327" s="10"/>
      <c r="K1327" s="18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</row>
    <row r="1328" ht="14.25" customHeight="1">
      <c r="A1328" s="9"/>
      <c r="B1328" s="8"/>
      <c r="C1328" s="8"/>
      <c r="D1328" s="8"/>
      <c r="E1328" s="8"/>
      <c r="F1328" s="8"/>
      <c r="G1328" s="8"/>
      <c r="H1328" s="8"/>
      <c r="I1328" s="10"/>
      <c r="J1328" s="10"/>
      <c r="K1328" s="18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</row>
    <row r="1329" ht="14.25" customHeight="1">
      <c r="A1329" s="9"/>
      <c r="B1329" s="8"/>
      <c r="C1329" s="8"/>
      <c r="D1329" s="8"/>
      <c r="E1329" s="8"/>
      <c r="F1329" s="8"/>
      <c r="G1329" s="8"/>
      <c r="H1329" s="8"/>
      <c r="I1329" s="10"/>
      <c r="J1329" s="10"/>
      <c r="K1329" s="18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</row>
    <row r="1330" ht="14.25" customHeight="1">
      <c r="A1330" s="9"/>
      <c r="B1330" s="8"/>
      <c r="C1330" s="8"/>
      <c r="D1330" s="8"/>
      <c r="E1330" s="8"/>
      <c r="F1330" s="8"/>
      <c r="G1330" s="8"/>
      <c r="H1330" s="8"/>
      <c r="I1330" s="10"/>
      <c r="J1330" s="10"/>
      <c r="K1330" s="18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</row>
    <row r="1331" ht="14.25" customHeight="1">
      <c r="A1331" s="9"/>
      <c r="B1331" s="8"/>
      <c r="C1331" s="8"/>
      <c r="D1331" s="8"/>
      <c r="E1331" s="8"/>
      <c r="F1331" s="8"/>
      <c r="G1331" s="8"/>
      <c r="H1331" s="8"/>
      <c r="I1331" s="10"/>
      <c r="J1331" s="10"/>
      <c r="K1331" s="18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</row>
    <row r="1332" ht="14.25" customHeight="1">
      <c r="A1332" s="9"/>
      <c r="B1332" s="8"/>
      <c r="C1332" s="8"/>
      <c r="D1332" s="8"/>
      <c r="E1332" s="8"/>
      <c r="F1332" s="8"/>
      <c r="G1332" s="8"/>
      <c r="H1332" s="8"/>
      <c r="I1332" s="10"/>
      <c r="J1332" s="10"/>
      <c r="K1332" s="18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</row>
    <row r="1333" ht="14.25" customHeight="1">
      <c r="A1333" s="9"/>
      <c r="B1333" s="8"/>
      <c r="C1333" s="8"/>
      <c r="D1333" s="8"/>
      <c r="E1333" s="8"/>
      <c r="F1333" s="8"/>
      <c r="G1333" s="8"/>
      <c r="H1333" s="8"/>
      <c r="I1333" s="10"/>
      <c r="J1333" s="10"/>
      <c r="K1333" s="18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</row>
    <row r="1334" ht="14.25" customHeight="1">
      <c r="A1334" s="9"/>
      <c r="B1334" s="8"/>
      <c r="C1334" s="8"/>
      <c r="D1334" s="8"/>
      <c r="E1334" s="8"/>
      <c r="F1334" s="8"/>
      <c r="G1334" s="8"/>
      <c r="H1334" s="8"/>
      <c r="I1334" s="10"/>
      <c r="J1334" s="10"/>
      <c r="K1334" s="18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</row>
    <row r="1335" ht="14.25" customHeight="1">
      <c r="A1335" s="9"/>
      <c r="B1335" s="8"/>
      <c r="C1335" s="8"/>
      <c r="D1335" s="8"/>
      <c r="E1335" s="8"/>
      <c r="F1335" s="8"/>
      <c r="G1335" s="8"/>
      <c r="H1335" s="8"/>
      <c r="I1335" s="10"/>
      <c r="J1335" s="10"/>
      <c r="K1335" s="18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</row>
    <row r="1336" ht="14.25" customHeight="1">
      <c r="A1336" s="9"/>
      <c r="B1336" s="8"/>
      <c r="C1336" s="8"/>
      <c r="D1336" s="8"/>
      <c r="E1336" s="8"/>
      <c r="F1336" s="8"/>
      <c r="G1336" s="8"/>
      <c r="H1336" s="8"/>
      <c r="I1336" s="10"/>
      <c r="J1336" s="10"/>
      <c r="K1336" s="18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</row>
    <row r="1337" ht="14.25" customHeight="1">
      <c r="A1337" s="9"/>
      <c r="B1337" s="8"/>
      <c r="C1337" s="8"/>
      <c r="D1337" s="8"/>
      <c r="E1337" s="8"/>
      <c r="F1337" s="8"/>
      <c r="G1337" s="8"/>
      <c r="H1337" s="8"/>
      <c r="I1337" s="10"/>
      <c r="J1337" s="10"/>
      <c r="K1337" s="18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</row>
    <row r="1338" ht="14.25" customHeight="1">
      <c r="A1338" s="9"/>
      <c r="B1338" s="8"/>
      <c r="C1338" s="8"/>
      <c r="D1338" s="8"/>
      <c r="E1338" s="8"/>
      <c r="F1338" s="8"/>
      <c r="G1338" s="8"/>
      <c r="H1338" s="8"/>
      <c r="I1338" s="10"/>
      <c r="J1338" s="10"/>
      <c r="K1338" s="18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</row>
    <row r="1339" ht="14.25" customHeight="1">
      <c r="A1339" s="9"/>
      <c r="B1339" s="8"/>
      <c r="C1339" s="8"/>
      <c r="D1339" s="8"/>
      <c r="E1339" s="8"/>
      <c r="F1339" s="8"/>
      <c r="G1339" s="8"/>
      <c r="H1339" s="8"/>
      <c r="I1339" s="10"/>
      <c r="J1339" s="10"/>
      <c r="K1339" s="18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</row>
    <row r="1340" ht="14.25" customHeight="1">
      <c r="A1340" s="9"/>
      <c r="B1340" s="8"/>
      <c r="C1340" s="8"/>
      <c r="D1340" s="8"/>
      <c r="E1340" s="8"/>
      <c r="F1340" s="8"/>
      <c r="G1340" s="8"/>
      <c r="H1340" s="8"/>
      <c r="I1340" s="10"/>
      <c r="J1340" s="10"/>
      <c r="K1340" s="18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</row>
    <row r="1341" ht="14.25" customHeight="1">
      <c r="A1341" s="9"/>
      <c r="B1341" s="8"/>
      <c r="C1341" s="8"/>
      <c r="D1341" s="8"/>
      <c r="E1341" s="8"/>
      <c r="F1341" s="8"/>
      <c r="G1341" s="8"/>
      <c r="H1341" s="8"/>
      <c r="I1341" s="10"/>
      <c r="J1341" s="10"/>
      <c r="K1341" s="18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</row>
    <row r="1342" ht="14.25" customHeight="1">
      <c r="A1342" s="9"/>
      <c r="B1342" s="8"/>
      <c r="C1342" s="8"/>
      <c r="D1342" s="8"/>
      <c r="E1342" s="8"/>
      <c r="F1342" s="8"/>
      <c r="G1342" s="8"/>
      <c r="H1342" s="8"/>
      <c r="I1342" s="10"/>
      <c r="J1342" s="10"/>
      <c r="K1342" s="18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</row>
    <row r="1343" ht="14.25" customHeight="1">
      <c r="A1343" s="9"/>
      <c r="B1343" s="8"/>
      <c r="C1343" s="8"/>
      <c r="D1343" s="8"/>
      <c r="E1343" s="8"/>
      <c r="F1343" s="8"/>
      <c r="G1343" s="8"/>
      <c r="H1343" s="8"/>
      <c r="I1343" s="10"/>
      <c r="J1343" s="10"/>
      <c r="K1343" s="18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</row>
    <row r="1344" ht="14.25" customHeight="1">
      <c r="A1344" s="9"/>
      <c r="B1344" s="8"/>
      <c r="C1344" s="8"/>
      <c r="D1344" s="8"/>
      <c r="E1344" s="8"/>
      <c r="F1344" s="8"/>
      <c r="G1344" s="8"/>
      <c r="H1344" s="8"/>
      <c r="I1344" s="10"/>
      <c r="J1344" s="10"/>
      <c r="K1344" s="18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</row>
    <row r="1345" ht="14.25" customHeight="1">
      <c r="A1345" s="9"/>
      <c r="B1345" s="8"/>
      <c r="C1345" s="8"/>
      <c r="D1345" s="8"/>
      <c r="E1345" s="8"/>
      <c r="F1345" s="8"/>
      <c r="G1345" s="8"/>
      <c r="H1345" s="8"/>
      <c r="I1345" s="10"/>
      <c r="J1345" s="10"/>
      <c r="K1345" s="18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</row>
    <row r="1346" ht="14.25" customHeight="1">
      <c r="A1346" s="9"/>
      <c r="B1346" s="8"/>
      <c r="C1346" s="8"/>
      <c r="D1346" s="8"/>
      <c r="E1346" s="8"/>
      <c r="F1346" s="8"/>
      <c r="G1346" s="8"/>
      <c r="H1346" s="8"/>
      <c r="I1346" s="10"/>
      <c r="J1346" s="10"/>
      <c r="K1346" s="18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</row>
    <row r="1347" ht="14.25" customHeight="1">
      <c r="A1347" s="9"/>
      <c r="B1347" s="8"/>
      <c r="C1347" s="8"/>
      <c r="D1347" s="8"/>
      <c r="E1347" s="8"/>
      <c r="F1347" s="8"/>
      <c r="G1347" s="8"/>
      <c r="H1347" s="8"/>
      <c r="I1347" s="10"/>
      <c r="J1347" s="10"/>
      <c r="K1347" s="18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</row>
    <row r="1348" ht="14.25" customHeight="1">
      <c r="A1348" s="9"/>
      <c r="B1348" s="8"/>
      <c r="C1348" s="8"/>
      <c r="D1348" s="8"/>
      <c r="E1348" s="8"/>
      <c r="F1348" s="8"/>
      <c r="G1348" s="8"/>
      <c r="H1348" s="8"/>
      <c r="I1348" s="10"/>
      <c r="J1348" s="10"/>
      <c r="K1348" s="18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</row>
    <row r="1349" ht="14.25" customHeight="1">
      <c r="A1349" s="9"/>
      <c r="B1349" s="8"/>
      <c r="C1349" s="8"/>
      <c r="D1349" s="8"/>
      <c r="E1349" s="8"/>
      <c r="F1349" s="8"/>
      <c r="G1349" s="8"/>
      <c r="H1349" s="8"/>
      <c r="I1349" s="10"/>
      <c r="J1349" s="10"/>
      <c r="K1349" s="18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</row>
    <row r="1350" ht="14.25" customHeight="1">
      <c r="A1350" s="9"/>
      <c r="B1350" s="8"/>
      <c r="C1350" s="8"/>
      <c r="D1350" s="8"/>
      <c r="E1350" s="8"/>
      <c r="F1350" s="8"/>
      <c r="G1350" s="8"/>
      <c r="H1350" s="8"/>
      <c r="I1350" s="10"/>
      <c r="J1350" s="10"/>
      <c r="K1350" s="18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</row>
    <row r="1351" ht="14.25" customHeight="1">
      <c r="A1351" s="9"/>
      <c r="B1351" s="8"/>
      <c r="C1351" s="8"/>
      <c r="D1351" s="8"/>
      <c r="E1351" s="8"/>
      <c r="F1351" s="8"/>
      <c r="G1351" s="8"/>
      <c r="H1351" s="8"/>
      <c r="I1351" s="10"/>
      <c r="J1351" s="10"/>
      <c r="K1351" s="18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</row>
    <row r="1352" ht="14.25" customHeight="1">
      <c r="A1352" s="9"/>
      <c r="B1352" s="8"/>
      <c r="C1352" s="8"/>
      <c r="D1352" s="8"/>
      <c r="E1352" s="8"/>
      <c r="F1352" s="8"/>
      <c r="G1352" s="8"/>
      <c r="H1352" s="8"/>
      <c r="I1352" s="10"/>
      <c r="J1352" s="10"/>
      <c r="K1352" s="18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</row>
    <row r="1353" ht="14.25" customHeight="1">
      <c r="A1353" s="9"/>
      <c r="B1353" s="8"/>
      <c r="C1353" s="8"/>
      <c r="D1353" s="8"/>
      <c r="E1353" s="8"/>
      <c r="F1353" s="8"/>
      <c r="G1353" s="8"/>
      <c r="H1353" s="8"/>
      <c r="I1353" s="10"/>
      <c r="J1353" s="10"/>
      <c r="K1353" s="18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</row>
    <row r="1354" ht="14.25" customHeight="1">
      <c r="A1354" s="9"/>
      <c r="B1354" s="8"/>
      <c r="C1354" s="8"/>
      <c r="D1354" s="8"/>
      <c r="E1354" s="8"/>
      <c r="F1354" s="8"/>
      <c r="G1354" s="8"/>
      <c r="H1354" s="8"/>
      <c r="I1354" s="10"/>
      <c r="J1354" s="10"/>
      <c r="K1354" s="18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</row>
    <row r="1355" ht="14.25" customHeight="1">
      <c r="A1355" s="9"/>
      <c r="B1355" s="8"/>
      <c r="C1355" s="8"/>
      <c r="D1355" s="8"/>
      <c r="E1355" s="8"/>
      <c r="F1355" s="8"/>
      <c r="G1355" s="8"/>
      <c r="H1355" s="8"/>
      <c r="I1355" s="10"/>
      <c r="J1355" s="10"/>
      <c r="K1355" s="18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</row>
    <row r="1356" ht="14.25" customHeight="1">
      <c r="A1356" s="9"/>
      <c r="B1356" s="8"/>
      <c r="C1356" s="8"/>
      <c r="D1356" s="8"/>
      <c r="E1356" s="8"/>
      <c r="F1356" s="8"/>
      <c r="G1356" s="8"/>
      <c r="H1356" s="8"/>
      <c r="I1356" s="10"/>
      <c r="J1356" s="10"/>
      <c r="K1356" s="18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</row>
    <row r="1357" ht="14.25" customHeight="1">
      <c r="A1357" s="9"/>
      <c r="B1357" s="8"/>
      <c r="C1357" s="8"/>
      <c r="D1357" s="8"/>
      <c r="E1357" s="8"/>
      <c r="F1357" s="8"/>
      <c r="G1357" s="8"/>
      <c r="H1357" s="8"/>
      <c r="I1357" s="10"/>
      <c r="J1357" s="10"/>
      <c r="K1357" s="18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</row>
    <row r="1358" ht="14.25" customHeight="1">
      <c r="A1358" s="9"/>
      <c r="B1358" s="8"/>
      <c r="C1358" s="8"/>
      <c r="D1358" s="8"/>
      <c r="E1358" s="8"/>
      <c r="F1358" s="8"/>
      <c r="G1358" s="8"/>
      <c r="H1358" s="8"/>
      <c r="I1358" s="10"/>
      <c r="J1358" s="10"/>
      <c r="K1358" s="18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</row>
    <row r="1359" ht="14.25" customHeight="1">
      <c r="A1359" s="9"/>
      <c r="B1359" s="8"/>
      <c r="C1359" s="8"/>
      <c r="D1359" s="8"/>
      <c r="E1359" s="8"/>
      <c r="F1359" s="8"/>
      <c r="G1359" s="8"/>
      <c r="H1359" s="8"/>
      <c r="I1359" s="10"/>
      <c r="J1359" s="10"/>
      <c r="K1359" s="18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</row>
    <row r="1360" ht="14.25" customHeight="1">
      <c r="A1360" s="9"/>
      <c r="B1360" s="8"/>
      <c r="C1360" s="8"/>
      <c r="D1360" s="8"/>
      <c r="E1360" s="8"/>
      <c r="F1360" s="8"/>
      <c r="G1360" s="8"/>
      <c r="H1360" s="8"/>
      <c r="I1360" s="10"/>
      <c r="J1360" s="10"/>
      <c r="K1360" s="18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</row>
    <row r="1361" ht="14.25" customHeight="1">
      <c r="A1361" s="9"/>
      <c r="B1361" s="8"/>
      <c r="C1361" s="8"/>
      <c r="D1361" s="8"/>
      <c r="E1361" s="8"/>
      <c r="F1361" s="8"/>
      <c r="G1361" s="8"/>
      <c r="H1361" s="8"/>
      <c r="I1361" s="10"/>
      <c r="J1361" s="10"/>
      <c r="K1361" s="18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</row>
    <row r="1362" ht="14.25" customHeight="1">
      <c r="A1362" s="9"/>
      <c r="B1362" s="8"/>
      <c r="C1362" s="8"/>
      <c r="D1362" s="8"/>
      <c r="E1362" s="8"/>
      <c r="F1362" s="8"/>
      <c r="G1362" s="8"/>
      <c r="H1362" s="8"/>
      <c r="I1362" s="10"/>
      <c r="J1362" s="10"/>
      <c r="K1362" s="18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</row>
    <row r="1363" ht="14.25" customHeight="1">
      <c r="A1363" s="9"/>
      <c r="B1363" s="8"/>
      <c r="C1363" s="8"/>
      <c r="D1363" s="8"/>
      <c r="E1363" s="8"/>
      <c r="F1363" s="8"/>
      <c r="G1363" s="8"/>
      <c r="H1363" s="8"/>
      <c r="I1363" s="10"/>
      <c r="J1363" s="10"/>
      <c r="K1363" s="18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</row>
    <row r="1364" ht="14.25" customHeight="1">
      <c r="A1364" s="9"/>
      <c r="B1364" s="8"/>
      <c r="C1364" s="8"/>
      <c r="D1364" s="8"/>
      <c r="E1364" s="8"/>
      <c r="F1364" s="8"/>
      <c r="G1364" s="8"/>
      <c r="H1364" s="8"/>
      <c r="I1364" s="10"/>
      <c r="J1364" s="10"/>
      <c r="K1364" s="18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</row>
    <row r="1365" ht="14.25" customHeight="1">
      <c r="A1365" s="9"/>
      <c r="B1365" s="8"/>
      <c r="C1365" s="8"/>
      <c r="D1365" s="8"/>
      <c r="E1365" s="8"/>
      <c r="F1365" s="8"/>
      <c r="G1365" s="8"/>
      <c r="H1365" s="8"/>
      <c r="I1365" s="10"/>
      <c r="J1365" s="10"/>
      <c r="K1365" s="18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</row>
    <row r="1366" ht="14.25" customHeight="1">
      <c r="A1366" s="9"/>
      <c r="B1366" s="8"/>
      <c r="C1366" s="8"/>
      <c r="D1366" s="8"/>
      <c r="E1366" s="8"/>
      <c r="F1366" s="8"/>
      <c r="G1366" s="8"/>
      <c r="H1366" s="8"/>
      <c r="I1366" s="10"/>
      <c r="J1366" s="10"/>
      <c r="K1366" s="18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</row>
    <row r="1367" ht="14.25" customHeight="1">
      <c r="A1367" s="9"/>
      <c r="B1367" s="8"/>
      <c r="C1367" s="8"/>
      <c r="D1367" s="8"/>
      <c r="E1367" s="8"/>
      <c r="F1367" s="8"/>
      <c r="G1367" s="8"/>
      <c r="H1367" s="8"/>
      <c r="I1367" s="10"/>
      <c r="J1367" s="10"/>
      <c r="K1367" s="18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</row>
    <row r="1368" ht="14.25" customHeight="1">
      <c r="A1368" s="9"/>
      <c r="B1368" s="8"/>
      <c r="C1368" s="8"/>
      <c r="D1368" s="8"/>
      <c r="E1368" s="8"/>
      <c r="F1368" s="8"/>
      <c r="G1368" s="8"/>
      <c r="H1368" s="8"/>
      <c r="I1368" s="10"/>
      <c r="J1368" s="10"/>
      <c r="K1368" s="18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</row>
    <row r="1369" ht="14.25" customHeight="1">
      <c r="A1369" s="9"/>
      <c r="B1369" s="8"/>
      <c r="C1369" s="8"/>
      <c r="D1369" s="8"/>
      <c r="E1369" s="8"/>
      <c r="F1369" s="8"/>
      <c r="G1369" s="8"/>
      <c r="H1369" s="8"/>
      <c r="I1369" s="10"/>
      <c r="J1369" s="10"/>
      <c r="K1369" s="18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</row>
    <row r="1370" ht="14.25" customHeight="1">
      <c r="A1370" s="9"/>
      <c r="B1370" s="8"/>
      <c r="C1370" s="8"/>
      <c r="D1370" s="8"/>
      <c r="E1370" s="8"/>
      <c r="F1370" s="8"/>
      <c r="G1370" s="8"/>
      <c r="H1370" s="8"/>
      <c r="I1370" s="10"/>
      <c r="J1370" s="10"/>
      <c r="K1370" s="18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</row>
    <row r="1371" ht="14.25" customHeight="1">
      <c r="A1371" s="9"/>
      <c r="B1371" s="8"/>
      <c r="C1371" s="8"/>
      <c r="D1371" s="8"/>
      <c r="E1371" s="8"/>
      <c r="F1371" s="8"/>
      <c r="G1371" s="8"/>
      <c r="H1371" s="8"/>
      <c r="I1371" s="10"/>
      <c r="J1371" s="10"/>
      <c r="K1371" s="18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</row>
    <row r="1372" ht="14.25" customHeight="1">
      <c r="A1372" s="9"/>
      <c r="B1372" s="8"/>
      <c r="C1372" s="8"/>
      <c r="D1372" s="8"/>
      <c r="E1372" s="8"/>
      <c r="F1372" s="8"/>
      <c r="G1372" s="8"/>
      <c r="H1372" s="8"/>
      <c r="I1372" s="10"/>
      <c r="J1372" s="10"/>
      <c r="K1372" s="18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</row>
    <row r="1373" ht="14.25" customHeight="1">
      <c r="A1373" s="9"/>
      <c r="B1373" s="8"/>
      <c r="C1373" s="8"/>
      <c r="D1373" s="8"/>
      <c r="E1373" s="8"/>
      <c r="F1373" s="8"/>
      <c r="G1373" s="8"/>
      <c r="H1373" s="8"/>
      <c r="I1373" s="10"/>
      <c r="J1373" s="10"/>
      <c r="K1373" s="18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</row>
    <row r="1374" ht="14.25" customHeight="1">
      <c r="A1374" s="9"/>
      <c r="B1374" s="8"/>
      <c r="C1374" s="8"/>
      <c r="D1374" s="8"/>
      <c r="E1374" s="8"/>
      <c r="F1374" s="8"/>
      <c r="G1374" s="8"/>
      <c r="H1374" s="8"/>
      <c r="I1374" s="10"/>
      <c r="J1374" s="10"/>
      <c r="K1374" s="18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</row>
    <row r="1375" ht="14.25" customHeight="1">
      <c r="A1375" s="9"/>
      <c r="B1375" s="8"/>
      <c r="C1375" s="8"/>
      <c r="D1375" s="8"/>
      <c r="E1375" s="8"/>
      <c r="F1375" s="8"/>
      <c r="G1375" s="8"/>
      <c r="H1375" s="8"/>
      <c r="I1375" s="10"/>
      <c r="J1375" s="10"/>
      <c r="K1375" s="18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</row>
    <row r="1376" ht="14.25" customHeight="1">
      <c r="A1376" s="9"/>
      <c r="B1376" s="8"/>
      <c r="C1376" s="8"/>
      <c r="D1376" s="8"/>
      <c r="E1376" s="8"/>
      <c r="F1376" s="8"/>
      <c r="G1376" s="8"/>
      <c r="H1376" s="8"/>
      <c r="I1376" s="10"/>
      <c r="J1376" s="10"/>
      <c r="K1376" s="18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</row>
    <row r="1377" ht="14.25" customHeight="1">
      <c r="A1377" s="9"/>
      <c r="B1377" s="8"/>
      <c r="C1377" s="8"/>
      <c r="D1377" s="8"/>
      <c r="E1377" s="8"/>
      <c r="F1377" s="8"/>
      <c r="G1377" s="8"/>
      <c r="H1377" s="8"/>
      <c r="I1377" s="10"/>
      <c r="J1377" s="10"/>
      <c r="K1377" s="18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</row>
    <row r="1378" ht="14.25" customHeight="1">
      <c r="A1378" s="9"/>
      <c r="B1378" s="8"/>
      <c r="C1378" s="8"/>
      <c r="D1378" s="8"/>
      <c r="E1378" s="8"/>
      <c r="F1378" s="8"/>
      <c r="G1378" s="8"/>
      <c r="H1378" s="8"/>
      <c r="I1378" s="10"/>
      <c r="J1378" s="10"/>
      <c r="K1378" s="18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</row>
    <row r="1379" ht="14.25" customHeight="1">
      <c r="A1379" s="9"/>
      <c r="B1379" s="8"/>
      <c r="C1379" s="8"/>
      <c r="D1379" s="8"/>
      <c r="E1379" s="8"/>
      <c r="F1379" s="8"/>
      <c r="G1379" s="8"/>
      <c r="H1379" s="8"/>
      <c r="I1379" s="10"/>
      <c r="J1379" s="10"/>
      <c r="K1379" s="18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</row>
    <row r="1380" ht="14.25" customHeight="1">
      <c r="A1380" s="9"/>
      <c r="B1380" s="8"/>
      <c r="C1380" s="8"/>
      <c r="D1380" s="8"/>
      <c r="E1380" s="8"/>
      <c r="F1380" s="8"/>
      <c r="G1380" s="8"/>
      <c r="H1380" s="8"/>
      <c r="I1380" s="10"/>
      <c r="J1380" s="10"/>
      <c r="K1380" s="18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</row>
    <row r="1381" ht="14.25" customHeight="1">
      <c r="A1381" s="9"/>
      <c r="B1381" s="8"/>
      <c r="C1381" s="8"/>
      <c r="D1381" s="8"/>
      <c r="E1381" s="8"/>
      <c r="F1381" s="8"/>
      <c r="G1381" s="8"/>
      <c r="H1381" s="8"/>
      <c r="I1381" s="10"/>
      <c r="J1381" s="10"/>
      <c r="K1381" s="18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</row>
    <row r="1382" ht="14.25" customHeight="1">
      <c r="A1382" s="9"/>
      <c r="B1382" s="8"/>
      <c r="C1382" s="8"/>
      <c r="D1382" s="8"/>
      <c r="E1382" s="8"/>
      <c r="F1382" s="8"/>
      <c r="G1382" s="8"/>
      <c r="H1382" s="8"/>
      <c r="I1382" s="10"/>
      <c r="J1382" s="10"/>
      <c r="K1382" s="18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</row>
    <row r="1383" ht="14.25" customHeight="1">
      <c r="A1383" s="9"/>
      <c r="B1383" s="8"/>
      <c r="C1383" s="8"/>
      <c r="D1383" s="8"/>
      <c r="E1383" s="8"/>
      <c r="F1383" s="8"/>
      <c r="G1383" s="8"/>
      <c r="H1383" s="8"/>
      <c r="I1383" s="10"/>
      <c r="J1383" s="10"/>
      <c r="K1383" s="18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</row>
    <row r="1384" ht="14.25" customHeight="1">
      <c r="A1384" s="9"/>
      <c r="B1384" s="8"/>
      <c r="C1384" s="8"/>
      <c r="D1384" s="8"/>
      <c r="E1384" s="8"/>
      <c r="F1384" s="8"/>
      <c r="G1384" s="8"/>
      <c r="H1384" s="8"/>
      <c r="I1384" s="10"/>
      <c r="J1384" s="10"/>
      <c r="K1384" s="18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</row>
    <row r="1385" ht="14.25" customHeight="1">
      <c r="A1385" s="9"/>
      <c r="B1385" s="8"/>
      <c r="C1385" s="8"/>
      <c r="D1385" s="8"/>
      <c r="E1385" s="8"/>
      <c r="F1385" s="8"/>
      <c r="G1385" s="8"/>
      <c r="H1385" s="8"/>
      <c r="I1385" s="10"/>
      <c r="J1385" s="10"/>
      <c r="K1385" s="18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</row>
    <row r="1386" ht="14.25" customHeight="1">
      <c r="A1386" s="9"/>
      <c r="B1386" s="8"/>
      <c r="C1386" s="8"/>
      <c r="D1386" s="8"/>
      <c r="E1386" s="8"/>
      <c r="F1386" s="8"/>
      <c r="G1386" s="8"/>
      <c r="H1386" s="8"/>
      <c r="I1386" s="10"/>
      <c r="J1386" s="10"/>
      <c r="K1386" s="18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</row>
    <row r="1387" ht="14.25" customHeight="1">
      <c r="A1387" s="9"/>
      <c r="B1387" s="8"/>
      <c r="C1387" s="8"/>
      <c r="D1387" s="8"/>
      <c r="E1387" s="8"/>
      <c r="F1387" s="8"/>
      <c r="G1387" s="8"/>
      <c r="H1387" s="8"/>
      <c r="I1387" s="10"/>
      <c r="J1387" s="10"/>
      <c r="K1387" s="18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</row>
    <row r="1388" ht="14.25" customHeight="1">
      <c r="A1388" s="9"/>
      <c r="B1388" s="8"/>
      <c r="C1388" s="8"/>
      <c r="D1388" s="8"/>
      <c r="E1388" s="8"/>
      <c r="F1388" s="8"/>
      <c r="G1388" s="8"/>
      <c r="H1388" s="8"/>
      <c r="I1388" s="10"/>
      <c r="J1388" s="10"/>
      <c r="K1388" s="18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</row>
    <row r="1389" ht="14.25" customHeight="1">
      <c r="A1389" s="9"/>
      <c r="B1389" s="8"/>
      <c r="C1389" s="8"/>
      <c r="D1389" s="8"/>
      <c r="E1389" s="8"/>
      <c r="F1389" s="8"/>
      <c r="G1389" s="8"/>
      <c r="H1389" s="8"/>
      <c r="I1389" s="10"/>
      <c r="J1389" s="10"/>
      <c r="K1389" s="18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</row>
    <row r="1390" ht="14.25" customHeight="1">
      <c r="A1390" s="9"/>
      <c r="B1390" s="8"/>
      <c r="C1390" s="8"/>
      <c r="D1390" s="8"/>
      <c r="E1390" s="8"/>
      <c r="F1390" s="8"/>
      <c r="G1390" s="8"/>
      <c r="H1390" s="8"/>
      <c r="I1390" s="10"/>
      <c r="J1390" s="10"/>
      <c r="K1390" s="18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</row>
    <row r="1391" ht="14.25" customHeight="1">
      <c r="A1391" s="9"/>
      <c r="B1391" s="8"/>
      <c r="C1391" s="8"/>
      <c r="D1391" s="8"/>
      <c r="E1391" s="8"/>
      <c r="F1391" s="8"/>
      <c r="G1391" s="8"/>
      <c r="H1391" s="8"/>
      <c r="I1391" s="10"/>
      <c r="J1391" s="10"/>
      <c r="K1391" s="18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</row>
    <row r="1392" ht="14.25" customHeight="1">
      <c r="A1392" s="9"/>
      <c r="B1392" s="8"/>
      <c r="C1392" s="8"/>
      <c r="D1392" s="8"/>
      <c r="E1392" s="8"/>
      <c r="F1392" s="8"/>
      <c r="G1392" s="8"/>
      <c r="H1392" s="8"/>
      <c r="I1392" s="10"/>
      <c r="J1392" s="10"/>
      <c r="K1392" s="18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</row>
    <row r="1393" ht="14.25" customHeight="1">
      <c r="A1393" s="9"/>
      <c r="B1393" s="8"/>
      <c r="C1393" s="8"/>
      <c r="D1393" s="8"/>
      <c r="E1393" s="8"/>
      <c r="F1393" s="8"/>
      <c r="G1393" s="8"/>
      <c r="H1393" s="8"/>
      <c r="I1393" s="10"/>
      <c r="J1393" s="10"/>
      <c r="K1393" s="18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</row>
    <row r="1394" ht="14.25" customHeight="1">
      <c r="A1394" s="9"/>
      <c r="B1394" s="8"/>
      <c r="C1394" s="8"/>
      <c r="D1394" s="8"/>
      <c r="E1394" s="8"/>
      <c r="F1394" s="8"/>
      <c r="G1394" s="8"/>
      <c r="H1394" s="8"/>
      <c r="I1394" s="10"/>
      <c r="J1394" s="10"/>
      <c r="K1394" s="18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</row>
    <row r="1395" ht="14.25" customHeight="1">
      <c r="A1395" s="9"/>
      <c r="B1395" s="8"/>
      <c r="C1395" s="8"/>
      <c r="D1395" s="8"/>
      <c r="E1395" s="8"/>
      <c r="F1395" s="8"/>
      <c r="G1395" s="8"/>
      <c r="H1395" s="8"/>
      <c r="I1395" s="10"/>
      <c r="J1395" s="10"/>
      <c r="K1395" s="18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</row>
    <row r="1396" ht="14.25" customHeight="1">
      <c r="A1396" s="9"/>
      <c r="B1396" s="8"/>
      <c r="C1396" s="8"/>
      <c r="D1396" s="8"/>
      <c r="E1396" s="8"/>
      <c r="F1396" s="8"/>
      <c r="G1396" s="8"/>
      <c r="H1396" s="8"/>
      <c r="I1396" s="10"/>
      <c r="J1396" s="10"/>
      <c r="K1396" s="18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</row>
    <row r="1397" ht="14.25" customHeight="1">
      <c r="A1397" s="9"/>
      <c r="B1397" s="8"/>
      <c r="C1397" s="8"/>
      <c r="D1397" s="8"/>
      <c r="E1397" s="8"/>
      <c r="F1397" s="8"/>
      <c r="G1397" s="8"/>
      <c r="H1397" s="8"/>
      <c r="I1397" s="10"/>
      <c r="J1397" s="10"/>
      <c r="K1397" s="18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</row>
    <row r="1398" ht="14.25" customHeight="1">
      <c r="A1398" s="9"/>
      <c r="B1398" s="8"/>
      <c r="C1398" s="8"/>
      <c r="D1398" s="8"/>
      <c r="E1398" s="8"/>
      <c r="F1398" s="8"/>
      <c r="G1398" s="8"/>
      <c r="H1398" s="8"/>
      <c r="I1398" s="10"/>
      <c r="J1398" s="10"/>
      <c r="K1398" s="18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</row>
    <row r="1399" ht="14.25" customHeight="1">
      <c r="A1399" s="9"/>
      <c r="B1399" s="8"/>
      <c r="C1399" s="8"/>
      <c r="D1399" s="8"/>
      <c r="E1399" s="8"/>
      <c r="F1399" s="8"/>
      <c r="G1399" s="8"/>
      <c r="H1399" s="8"/>
      <c r="I1399" s="10"/>
      <c r="J1399" s="10"/>
      <c r="K1399" s="18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</row>
    <row r="1400" ht="14.25" customHeight="1">
      <c r="A1400" s="9"/>
      <c r="B1400" s="8"/>
      <c r="C1400" s="8"/>
      <c r="D1400" s="8"/>
      <c r="E1400" s="8"/>
      <c r="F1400" s="8"/>
      <c r="G1400" s="8"/>
      <c r="H1400" s="8"/>
      <c r="I1400" s="10"/>
      <c r="J1400" s="10"/>
      <c r="K1400" s="18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</row>
    <row r="1401" ht="14.25" customHeight="1">
      <c r="A1401" s="9"/>
      <c r="B1401" s="8"/>
      <c r="C1401" s="8"/>
      <c r="D1401" s="8"/>
      <c r="E1401" s="8"/>
      <c r="F1401" s="8"/>
      <c r="G1401" s="8"/>
      <c r="H1401" s="8"/>
      <c r="I1401" s="10"/>
      <c r="J1401" s="10"/>
      <c r="K1401" s="18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</row>
    <row r="1402" ht="14.25" customHeight="1">
      <c r="A1402" s="9"/>
      <c r="B1402" s="8"/>
      <c r="C1402" s="8"/>
      <c r="D1402" s="8"/>
      <c r="E1402" s="8"/>
      <c r="F1402" s="8"/>
      <c r="G1402" s="8"/>
      <c r="H1402" s="8"/>
      <c r="I1402" s="10"/>
      <c r="J1402" s="10"/>
      <c r="K1402" s="18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</row>
    <row r="1403" ht="14.25" customHeight="1">
      <c r="A1403" s="9"/>
      <c r="B1403" s="8"/>
      <c r="C1403" s="8"/>
      <c r="D1403" s="8"/>
      <c r="E1403" s="8"/>
      <c r="F1403" s="8"/>
      <c r="G1403" s="8"/>
      <c r="H1403" s="8"/>
      <c r="I1403" s="10"/>
      <c r="J1403" s="10"/>
      <c r="K1403" s="18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</row>
    <row r="1404" ht="14.25" customHeight="1">
      <c r="A1404" s="9"/>
      <c r="B1404" s="8"/>
      <c r="C1404" s="8"/>
      <c r="D1404" s="8"/>
      <c r="E1404" s="8"/>
      <c r="F1404" s="8"/>
      <c r="G1404" s="8"/>
      <c r="H1404" s="8"/>
      <c r="I1404" s="10"/>
      <c r="J1404" s="10"/>
      <c r="K1404" s="18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</row>
    <row r="1405" ht="14.25" customHeight="1">
      <c r="A1405" s="9"/>
      <c r="B1405" s="8"/>
      <c r="C1405" s="8"/>
      <c r="D1405" s="8"/>
      <c r="E1405" s="8"/>
      <c r="F1405" s="8"/>
      <c r="G1405" s="8"/>
      <c r="H1405" s="8"/>
      <c r="I1405" s="10"/>
      <c r="J1405" s="10"/>
      <c r="K1405" s="18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</row>
    <row r="1406" ht="14.25" customHeight="1">
      <c r="A1406" s="9"/>
      <c r="B1406" s="8"/>
      <c r="C1406" s="8"/>
      <c r="D1406" s="8"/>
      <c r="E1406" s="8"/>
      <c r="F1406" s="8"/>
      <c r="G1406" s="8"/>
      <c r="H1406" s="8"/>
      <c r="I1406" s="10"/>
      <c r="J1406" s="10"/>
      <c r="K1406" s="18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</row>
    <row r="1407" ht="14.25" customHeight="1">
      <c r="A1407" s="9"/>
      <c r="B1407" s="8"/>
      <c r="C1407" s="8"/>
      <c r="D1407" s="8"/>
      <c r="E1407" s="8"/>
      <c r="F1407" s="8"/>
      <c r="G1407" s="8"/>
      <c r="H1407" s="8"/>
      <c r="I1407" s="10"/>
      <c r="J1407" s="10"/>
      <c r="K1407" s="18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</row>
    <row r="1408" ht="14.25" customHeight="1">
      <c r="A1408" s="9"/>
      <c r="B1408" s="8"/>
      <c r="C1408" s="8"/>
      <c r="D1408" s="8"/>
      <c r="E1408" s="8"/>
      <c r="F1408" s="8"/>
      <c r="G1408" s="8"/>
      <c r="H1408" s="8"/>
      <c r="I1408" s="10"/>
      <c r="J1408" s="10"/>
      <c r="K1408" s="18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</row>
    <row r="1409" ht="14.25" customHeight="1">
      <c r="A1409" s="9"/>
      <c r="B1409" s="8"/>
      <c r="C1409" s="8"/>
      <c r="D1409" s="8"/>
      <c r="E1409" s="8"/>
      <c r="F1409" s="8"/>
      <c r="G1409" s="8"/>
      <c r="H1409" s="8"/>
      <c r="I1409" s="10"/>
      <c r="J1409" s="10"/>
      <c r="K1409" s="18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</row>
    <row r="1410" ht="14.25" customHeight="1">
      <c r="A1410" s="9"/>
      <c r="B1410" s="8"/>
      <c r="C1410" s="8"/>
      <c r="D1410" s="8"/>
      <c r="E1410" s="8"/>
      <c r="F1410" s="8"/>
      <c r="G1410" s="8"/>
      <c r="H1410" s="8"/>
      <c r="I1410" s="10"/>
      <c r="J1410" s="10"/>
      <c r="K1410" s="18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</row>
    <row r="1411" ht="14.25" customHeight="1">
      <c r="A1411" s="9"/>
      <c r="B1411" s="8"/>
      <c r="C1411" s="8"/>
      <c r="D1411" s="8"/>
      <c r="E1411" s="8"/>
      <c r="F1411" s="8"/>
      <c r="G1411" s="8"/>
      <c r="H1411" s="8"/>
      <c r="I1411" s="10"/>
      <c r="J1411" s="10"/>
      <c r="K1411" s="18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</row>
    <row r="1412" ht="14.25" customHeight="1">
      <c r="A1412" s="9"/>
      <c r="B1412" s="8"/>
      <c r="C1412" s="8"/>
      <c r="D1412" s="8"/>
      <c r="E1412" s="8"/>
      <c r="F1412" s="8"/>
      <c r="G1412" s="8"/>
      <c r="H1412" s="8"/>
      <c r="I1412" s="10"/>
      <c r="J1412" s="10"/>
      <c r="K1412" s="18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</row>
    <row r="1413" ht="14.25" customHeight="1">
      <c r="A1413" s="9"/>
      <c r="B1413" s="8"/>
      <c r="C1413" s="8"/>
      <c r="D1413" s="8"/>
      <c r="E1413" s="8"/>
      <c r="F1413" s="8"/>
      <c r="G1413" s="8"/>
      <c r="H1413" s="8"/>
      <c r="I1413" s="10"/>
      <c r="J1413" s="10"/>
      <c r="K1413" s="18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</row>
    <row r="1414" ht="14.25" customHeight="1">
      <c r="A1414" s="9"/>
      <c r="B1414" s="8"/>
      <c r="C1414" s="8"/>
      <c r="D1414" s="8"/>
      <c r="E1414" s="8"/>
      <c r="F1414" s="8"/>
      <c r="G1414" s="8"/>
      <c r="H1414" s="8"/>
      <c r="I1414" s="10"/>
      <c r="J1414" s="10"/>
      <c r="K1414" s="18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</row>
    <row r="1415" ht="14.25" customHeight="1">
      <c r="A1415" s="9"/>
      <c r="B1415" s="8"/>
      <c r="C1415" s="8"/>
      <c r="D1415" s="8"/>
      <c r="E1415" s="8"/>
      <c r="F1415" s="8"/>
      <c r="G1415" s="8"/>
      <c r="H1415" s="8"/>
      <c r="I1415" s="10"/>
      <c r="J1415" s="10"/>
      <c r="K1415" s="18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</row>
    <row r="1416" ht="14.25" customHeight="1">
      <c r="A1416" s="9"/>
      <c r="B1416" s="8"/>
      <c r="C1416" s="8"/>
      <c r="D1416" s="8"/>
      <c r="E1416" s="8"/>
      <c r="F1416" s="8"/>
      <c r="G1416" s="8"/>
      <c r="H1416" s="8"/>
      <c r="I1416" s="10"/>
      <c r="J1416" s="10"/>
      <c r="K1416" s="18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</row>
    <row r="1417" ht="14.25" customHeight="1">
      <c r="A1417" s="9"/>
      <c r="B1417" s="8"/>
      <c r="C1417" s="8"/>
      <c r="D1417" s="8"/>
      <c r="E1417" s="8"/>
      <c r="F1417" s="8"/>
      <c r="G1417" s="8"/>
      <c r="H1417" s="8"/>
      <c r="I1417" s="10"/>
      <c r="J1417" s="10"/>
      <c r="K1417" s="18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</row>
    <row r="1418" ht="14.25" customHeight="1">
      <c r="A1418" s="9"/>
      <c r="B1418" s="8"/>
      <c r="C1418" s="8"/>
      <c r="D1418" s="8"/>
      <c r="E1418" s="8"/>
      <c r="F1418" s="8"/>
      <c r="G1418" s="8"/>
      <c r="H1418" s="8"/>
      <c r="I1418" s="10"/>
      <c r="J1418" s="10"/>
      <c r="K1418" s="18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</row>
    <row r="1419" ht="14.25" customHeight="1">
      <c r="A1419" s="9"/>
      <c r="B1419" s="8"/>
      <c r="C1419" s="8"/>
      <c r="D1419" s="8"/>
      <c r="E1419" s="8"/>
      <c r="F1419" s="8"/>
      <c r="G1419" s="8"/>
      <c r="H1419" s="8"/>
      <c r="I1419" s="10"/>
      <c r="J1419" s="10"/>
      <c r="K1419" s="18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</row>
    <row r="1420" ht="14.25" customHeight="1">
      <c r="A1420" s="9"/>
      <c r="B1420" s="8"/>
      <c r="C1420" s="8"/>
      <c r="D1420" s="8"/>
      <c r="E1420" s="8"/>
      <c r="F1420" s="8"/>
      <c r="G1420" s="8"/>
      <c r="H1420" s="8"/>
      <c r="I1420" s="10"/>
      <c r="J1420" s="10"/>
      <c r="K1420" s="18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</row>
    <row r="1421" ht="14.25" customHeight="1">
      <c r="A1421" s="9"/>
      <c r="B1421" s="8"/>
      <c r="C1421" s="8"/>
      <c r="D1421" s="8"/>
      <c r="E1421" s="8"/>
      <c r="F1421" s="8"/>
      <c r="G1421" s="8"/>
      <c r="H1421" s="8"/>
      <c r="I1421" s="10"/>
      <c r="J1421" s="10"/>
      <c r="K1421" s="18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</row>
    <row r="1422" ht="14.25" customHeight="1">
      <c r="A1422" s="9"/>
      <c r="B1422" s="8"/>
      <c r="C1422" s="8"/>
      <c r="D1422" s="8"/>
      <c r="E1422" s="8"/>
      <c r="F1422" s="8"/>
      <c r="G1422" s="8"/>
      <c r="H1422" s="8"/>
      <c r="I1422" s="10"/>
      <c r="J1422" s="10"/>
      <c r="K1422" s="18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</row>
    <row r="1423" ht="14.25" customHeight="1">
      <c r="A1423" s="9"/>
      <c r="B1423" s="8"/>
      <c r="C1423" s="8"/>
      <c r="D1423" s="8"/>
      <c r="E1423" s="8"/>
      <c r="F1423" s="8"/>
      <c r="G1423" s="8"/>
      <c r="H1423" s="8"/>
      <c r="I1423" s="10"/>
      <c r="J1423" s="10"/>
      <c r="K1423" s="18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</row>
    <row r="1424" ht="14.25" customHeight="1">
      <c r="A1424" s="9"/>
      <c r="B1424" s="8"/>
      <c r="C1424" s="8"/>
      <c r="D1424" s="8"/>
      <c r="E1424" s="8"/>
      <c r="F1424" s="8"/>
      <c r="G1424" s="8"/>
      <c r="H1424" s="8"/>
      <c r="I1424" s="10"/>
      <c r="J1424" s="10"/>
      <c r="K1424" s="18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</row>
    <row r="1425" ht="14.25" customHeight="1">
      <c r="A1425" s="9"/>
      <c r="B1425" s="8"/>
      <c r="C1425" s="8"/>
      <c r="D1425" s="8"/>
      <c r="E1425" s="8"/>
      <c r="F1425" s="8"/>
      <c r="G1425" s="8"/>
      <c r="H1425" s="8"/>
      <c r="I1425" s="10"/>
      <c r="J1425" s="10"/>
      <c r="K1425" s="18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</row>
    <row r="1426" ht="14.25" customHeight="1">
      <c r="A1426" s="9"/>
      <c r="B1426" s="8"/>
      <c r="C1426" s="8"/>
      <c r="D1426" s="8"/>
      <c r="E1426" s="8"/>
      <c r="F1426" s="8"/>
      <c r="G1426" s="8"/>
      <c r="H1426" s="8"/>
      <c r="I1426" s="10"/>
      <c r="J1426" s="10"/>
      <c r="K1426" s="18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</row>
    <row r="1427" ht="14.25" customHeight="1">
      <c r="A1427" s="9"/>
      <c r="B1427" s="8"/>
      <c r="C1427" s="8"/>
      <c r="D1427" s="8"/>
      <c r="E1427" s="8"/>
      <c r="F1427" s="8"/>
      <c r="G1427" s="8"/>
      <c r="H1427" s="8"/>
      <c r="I1427" s="10"/>
      <c r="J1427" s="10"/>
      <c r="K1427" s="18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</row>
    <row r="1428" ht="14.25" customHeight="1">
      <c r="A1428" s="9"/>
      <c r="B1428" s="8"/>
      <c r="C1428" s="8"/>
      <c r="D1428" s="8"/>
      <c r="E1428" s="8"/>
      <c r="F1428" s="8"/>
      <c r="G1428" s="8"/>
      <c r="H1428" s="8"/>
      <c r="I1428" s="10"/>
      <c r="J1428" s="10"/>
      <c r="K1428" s="18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</row>
    <row r="1429" ht="14.25" customHeight="1">
      <c r="A1429" s="9"/>
      <c r="B1429" s="8"/>
      <c r="C1429" s="8"/>
      <c r="D1429" s="8"/>
      <c r="E1429" s="8"/>
      <c r="F1429" s="8"/>
      <c r="G1429" s="8"/>
      <c r="H1429" s="8"/>
      <c r="I1429" s="10"/>
      <c r="J1429" s="10"/>
      <c r="K1429" s="18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</row>
    <row r="1430" ht="14.25" customHeight="1">
      <c r="A1430" s="9"/>
      <c r="B1430" s="8"/>
      <c r="C1430" s="8"/>
      <c r="D1430" s="8"/>
      <c r="E1430" s="8"/>
      <c r="F1430" s="8"/>
      <c r="G1430" s="8"/>
      <c r="H1430" s="8"/>
      <c r="I1430" s="10"/>
      <c r="J1430" s="10"/>
      <c r="K1430" s="18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</row>
    <row r="1431" ht="14.25" customHeight="1">
      <c r="A1431" s="9"/>
      <c r="B1431" s="8"/>
      <c r="C1431" s="8"/>
      <c r="D1431" s="8"/>
      <c r="E1431" s="8"/>
      <c r="F1431" s="8"/>
      <c r="G1431" s="8"/>
      <c r="H1431" s="8"/>
      <c r="I1431" s="10"/>
      <c r="J1431" s="10"/>
      <c r="K1431" s="18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</row>
    <row r="1432" ht="14.25" customHeight="1">
      <c r="A1432" s="9"/>
      <c r="B1432" s="8"/>
      <c r="C1432" s="8"/>
      <c r="D1432" s="8"/>
      <c r="E1432" s="8"/>
      <c r="F1432" s="8"/>
      <c r="G1432" s="8"/>
      <c r="H1432" s="8"/>
      <c r="I1432" s="10"/>
      <c r="J1432" s="10"/>
      <c r="K1432" s="18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</row>
    <row r="1433" ht="14.25" customHeight="1">
      <c r="A1433" s="9"/>
      <c r="B1433" s="8"/>
      <c r="C1433" s="8"/>
      <c r="D1433" s="8"/>
      <c r="E1433" s="8"/>
      <c r="F1433" s="8"/>
      <c r="G1433" s="8"/>
      <c r="H1433" s="8"/>
      <c r="I1433" s="10"/>
      <c r="J1433" s="10"/>
      <c r="K1433" s="18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</row>
    <row r="1434" ht="14.25" customHeight="1">
      <c r="A1434" s="9"/>
      <c r="B1434" s="8"/>
      <c r="C1434" s="8"/>
      <c r="D1434" s="8"/>
      <c r="E1434" s="8"/>
      <c r="F1434" s="8"/>
      <c r="G1434" s="8"/>
      <c r="H1434" s="8"/>
      <c r="I1434" s="10"/>
      <c r="J1434" s="10"/>
      <c r="K1434" s="18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</row>
    <row r="1435" ht="14.25" customHeight="1">
      <c r="A1435" s="9"/>
      <c r="B1435" s="8"/>
      <c r="C1435" s="8"/>
      <c r="D1435" s="8"/>
      <c r="E1435" s="8"/>
      <c r="F1435" s="8"/>
      <c r="G1435" s="8"/>
      <c r="H1435" s="8"/>
      <c r="I1435" s="10"/>
      <c r="J1435" s="10"/>
      <c r="K1435" s="18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</row>
    <row r="1436" ht="14.25" customHeight="1">
      <c r="A1436" s="9"/>
      <c r="B1436" s="8"/>
      <c r="C1436" s="8"/>
      <c r="D1436" s="8"/>
      <c r="E1436" s="8"/>
      <c r="F1436" s="8"/>
      <c r="G1436" s="8"/>
      <c r="H1436" s="8"/>
      <c r="I1436" s="10"/>
      <c r="J1436" s="10"/>
      <c r="K1436" s="18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</row>
    <row r="1437" ht="14.25" customHeight="1">
      <c r="A1437" s="9"/>
      <c r="B1437" s="8"/>
      <c r="C1437" s="8"/>
      <c r="D1437" s="8"/>
      <c r="E1437" s="8"/>
      <c r="F1437" s="8"/>
      <c r="G1437" s="8"/>
      <c r="H1437" s="8"/>
      <c r="I1437" s="10"/>
      <c r="J1437" s="10"/>
      <c r="K1437" s="18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</row>
    <row r="1438" ht="14.25" customHeight="1">
      <c r="A1438" s="9"/>
      <c r="B1438" s="8"/>
      <c r="C1438" s="8"/>
      <c r="D1438" s="8"/>
      <c r="E1438" s="8"/>
      <c r="F1438" s="8"/>
      <c r="G1438" s="8"/>
      <c r="H1438" s="8"/>
      <c r="I1438" s="10"/>
      <c r="J1438" s="10"/>
      <c r="K1438" s="18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</row>
    <row r="1439" ht="14.25" customHeight="1">
      <c r="A1439" s="9"/>
      <c r="B1439" s="8"/>
      <c r="C1439" s="8"/>
      <c r="D1439" s="8"/>
      <c r="E1439" s="8"/>
      <c r="F1439" s="8"/>
      <c r="G1439" s="8"/>
      <c r="H1439" s="8"/>
      <c r="I1439" s="10"/>
      <c r="J1439" s="10"/>
      <c r="K1439" s="18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</row>
    <row r="1440" ht="14.25" customHeight="1">
      <c r="A1440" s="9"/>
      <c r="B1440" s="8"/>
      <c r="C1440" s="8"/>
      <c r="D1440" s="8"/>
      <c r="E1440" s="8"/>
      <c r="F1440" s="8"/>
      <c r="G1440" s="8"/>
      <c r="H1440" s="8"/>
      <c r="I1440" s="10"/>
      <c r="J1440" s="10"/>
      <c r="K1440" s="18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</row>
    <row r="1441" ht="14.25" customHeight="1">
      <c r="A1441" s="9"/>
      <c r="B1441" s="8"/>
      <c r="C1441" s="8"/>
      <c r="D1441" s="8"/>
      <c r="E1441" s="8"/>
      <c r="F1441" s="8"/>
      <c r="G1441" s="8"/>
      <c r="H1441" s="8"/>
      <c r="I1441" s="10"/>
      <c r="J1441" s="10"/>
      <c r="K1441" s="18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</row>
    <row r="1442" ht="14.25" customHeight="1">
      <c r="A1442" s="9"/>
      <c r="B1442" s="8"/>
      <c r="C1442" s="8"/>
      <c r="D1442" s="8"/>
      <c r="E1442" s="8"/>
      <c r="F1442" s="8"/>
      <c r="G1442" s="8"/>
      <c r="H1442" s="8"/>
      <c r="I1442" s="10"/>
      <c r="J1442" s="10"/>
      <c r="K1442" s="18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</row>
    <row r="1443" ht="14.25" customHeight="1">
      <c r="A1443" s="9"/>
      <c r="B1443" s="8"/>
      <c r="C1443" s="8"/>
      <c r="D1443" s="8"/>
      <c r="E1443" s="8"/>
      <c r="F1443" s="8"/>
      <c r="G1443" s="8"/>
      <c r="H1443" s="8"/>
      <c r="I1443" s="10"/>
      <c r="J1443" s="10"/>
      <c r="K1443" s="18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</row>
    <row r="1444" ht="14.25" customHeight="1">
      <c r="A1444" s="9"/>
      <c r="B1444" s="8"/>
      <c r="C1444" s="8"/>
      <c r="D1444" s="8"/>
      <c r="E1444" s="8"/>
      <c r="F1444" s="8"/>
      <c r="G1444" s="8"/>
      <c r="H1444" s="8"/>
      <c r="I1444" s="10"/>
      <c r="J1444" s="10"/>
      <c r="K1444" s="18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</row>
    <row r="1445" ht="14.25" customHeight="1">
      <c r="A1445" s="9"/>
      <c r="B1445" s="8"/>
      <c r="C1445" s="8"/>
      <c r="D1445" s="8"/>
      <c r="E1445" s="8"/>
      <c r="F1445" s="8"/>
      <c r="G1445" s="8"/>
      <c r="H1445" s="8"/>
      <c r="I1445" s="10"/>
      <c r="J1445" s="10"/>
      <c r="K1445" s="18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</row>
    <row r="1446" ht="14.25" customHeight="1">
      <c r="A1446" s="9"/>
      <c r="B1446" s="8"/>
      <c r="C1446" s="8"/>
      <c r="D1446" s="8"/>
      <c r="E1446" s="8"/>
      <c r="F1446" s="8"/>
      <c r="G1446" s="8"/>
      <c r="H1446" s="8"/>
      <c r="I1446" s="10"/>
      <c r="J1446" s="10"/>
      <c r="K1446" s="18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</row>
    <row r="1447" ht="14.25" customHeight="1">
      <c r="A1447" s="9"/>
      <c r="B1447" s="8"/>
      <c r="C1447" s="8"/>
      <c r="D1447" s="8"/>
      <c r="E1447" s="8"/>
      <c r="F1447" s="8"/>
      <c r="G1447" s="8"/>
      <c r="H1447" s="8"/>
      <c r="I1447" s="10"/>
      <c r="J1447" s="10"/>
      <c r="K1447" s="18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</row>
    <row r="1448" ht="14.25" customHeight="1">
      <c r="A1448" s="9"/>
      <c r="B1448" s="8"/>
      <c r="C1448" s="8"/>
      <c r="D1448" s="8"/>
      <c r="E1448" s="8"/>
      <c r="F1448" s="8"/>
      <c r="G1448" s="8"/>
      <c r="H1448" s="8"/>
      <c r="I1448" s="10"/>
      <c r="J1448" s="10"/>
      <c r="K1448" s="18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</row>
    <row r="1449" ht="14.25" customHeight="1">
      <c r="A1449" s="9"/>
      <c r="B1449" s="8"/>
      <c r="C1449" s="8"/>
      <c r="D1449" s="8"/>
      <c r="E1449" s="8"/>
      <c r="F1449" s="8"/>
      <c r="G1449" s="8"/>
      <c r="H1449" s="8"/>
      <c r="I1449" s="10"/>
      <c r="J1449" s="10"/>
      <c r="K1449" s="18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</row>
    <row r="1450" ht="14.25" customHeight="1">
      <c r="A1450" s="9"/>
      <c r="B1450" s="8"/>
      <c r="C1450" s="8"/>
      <c r="D1450" s="8"/>
      <c r="E1450" s="8"/>
      <c r="F1450" s="8"/>
      <c r="G1450" s="8"/>
      <c r="H1450" s="8"/>
      <c r="I1450" s="10"/>
      <c r="J1450" s="10"/>
      <c r="K1450" s="18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</row>
    <row r="1451" ht="14.25" customHeight="1">
      <c r="A1451" s="9"/>
      <c r="B1451" s="8"/>
      <c r="C1451" s="8"/>
      <c r="D1451" s="8"/>
      <c r="E1451" s="8"/>
      <c r="F1451" s="8"/>
      <c r="G1451" s="8"/>
      <c r="H1451" s="8"/>
      <c r="I1451" s="10"/>
      <c r="J1451" s="10"/>
      <c r="K1451" s="18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</row>
    <row r="1452" ht="14.25" customHeight="1">
      <c r="A1452" s="9"/>
      <c r="B1452" s="8"/>
      <c r="C1452" s="8"/>
      <c r="D1452" s="8"/>
      <c r="E1452" s="8"/>
      <c r="F1452" s="8"/>
      <c r="G1452" s="8"/>
      <c r="H1452" s="8"/>
      <c r="I1452" s="10"/>
      <c r="J1452" s="10"/>
      <c r="K1452" s="18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</row>
    <row r="1453" ht="14.25" customHeight="1">
      <c r="A1453" s="9"/>
      <c r="B1453" s="8"/>
      <c r="C1453" s="8"/>
      <c r="D1453" s="8"/>
      <c r="E1453" s="8"/>
      <c r="F1453" s="8"/>
      <c r="G1453" s="8"/>
      <c r="H1453" s="8"/>
      <c r="I1453" s="10"/>
      <c r="J1453" s="10"/>
      <c r="K1453" s="18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</row>
    <row r="1454" ht="14.25" customHeight="1">
      <c r="A1454" s="9"/>
      <c r="B1454" s="8"/>
      <c r="C1454" s="8"/>
      <c r="D1454" s="8"/>
      <c r="E1454" s="8"/>
      <c r="F1454" s="8"/>
      <c r="G1454" s="8"/>
      <c r="H1454" s="8"/>
      <c r="I1454" s="10"/>
      <c r="J1454" s="10"/>
      <c r="K1454" s="18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</row>
    <row r="1455" ht="14.25" customHeight="1">
      <c r="A1455" s="9"/>
      <c r="B1455" s="8"/>
      <c r="C1455" s="8"/>
      <c r="D1455" s="8"/>
      <c r="E1455" s="8"/>
      <c r="F1455" s="8"/>
      <c r="G1455" s="8"/>
      <c r="H1455" s="8"/>
      <c r="I1455" s="10"/>
      <c r="J1455" s="10"/>
      <c r="K1455" s="18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</row>
    <row r="1456" ht="14.25" customHeight="1">
      <c r="A1456" s="9"/>
      <c r="B1456" s="8"/>
      <c r="C1456" s="8"/>
      <c r="D1456" s="8"/>
      <c r="E1456" s="8"/>
      <c r="F1456" s="8"/>
      <c r="G1456" s="8"/>
      <c r="H1456" s="8"/>
      <c r="I1456" s="10"/>
      <c r="J1456" s="10"/>
      <c r="K1456" s="18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</row>
    <row r="1457" ht="14.25" customHeight="1">
      <c r="A1457" s="9"/>
      <c r="B1457" s="8"/>
      <c r="C1457" s="8"/>
      <c r="D1457" s="8"/>
      <c r="E1457" s="8"/>
      <c r="F1457" s="8"/>
      <c r="G1457" s="8"/>
      <c r="H1457" s="8"/>
      <c r="I1457" s="10"/>
      <c r="J1457" s="10"/>
      <c r="K1457" s="18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</row>
    <row r="1458" ht="14.25" customHeight="1">
      <c r="A1458" s="9"/>
      <c r="B1458" s="8"/>
      <c r="C1458" s="8"/>
      <c r="D1458" s="8"/>
      <c r="E1458" s="8"/>
      <c r="F1458" s="8"/>
      <c r="G1458" s="8"/>
      <c r="H1458" s="8"/>
      <c r="I1458" s="10"/>
      <c r="J1458" s="10"/>
      <c r="K1458" s="18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</row>
    <row r="1459" ht="14.25" customHeight="1">
      <c r="A1459" s="9"/>
      <c r="B1459" s="8"/>
      <c r="C1459" s="8"/>
      <c r="D1459" s="8"/>
      <c r="E1459" s="8"/>
      <c r="F1459" s="8"/>
      <c r="G1459" s="8"/>
      <c r="H1459" s="8"/>
      <c r="I1459" s="10"/>
      <c r="J1459" s="10"/>
      <c r="K1459" s="18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</row>
    <row r="1460" ht="14.25" customHeight="1">
      <c r="A1460" s="9"/>
      <c r="B1460" s="8"/>
      <c r="C1460" s="8"/>
      <c r="D1460" s="8"/>
      <c r="E1460" s="8"/>
      <c r="F1460" s="8"/>
      <c r="G1460" s="8"/>
      <c r="H1460" s="8"/>
      <c r="I1460" s="10"/>
      <c r="J1460" s="10"/>
      <c r="K1460" s="18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</row>
    <row r="1461" ht="14.25" customHeight="1">
      <c r="A1461" s="9"/>
      <c r="B1461" s="8"/>
      <c r="C1461" s="8"/>
      <c r="D1461" s="8"/>
      <c r="E1461" s="8"/>
      <c r="F1461" s="8"/>
      <c r="G1461" s="8"/>
      <c r="H1461" s="8"/>
      <c r="I1461" s="10"/>
      <c r="J1461" s="10"/>
      <c r="K1461" s="18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</row>
    <row r="1462" ht="14.25" customHeight="1">
      <c r="A1462" s="9"/>
      <c r="B1462" s="8"/>
      <c r="C1462" s="8"/>
      <c r="D1462" s="8"/>
      <c r="E1462" s="8"/>
      <c r="F1462" s="8"/>
      <c r="G1462" s="8"/>
      <c r="H1462" s="8"/>
      <c r="I1462" s="10"/>
      <c r="J1462" s="10"/>
      <c r="K1462" s="18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</row>
    <row r="1463" ht="14.25" customHeight="1">
      <c r="A1463" s="9"/>
      <c r="B1463" s="8"/>
      <c r="C1463" s="8"/>
      <c r="D1463" s="8"/>
      <c r="E1463" s="8"/>
      <c r="F1463" s="8"/>
      <c r="G1463" s="8"/>
      <c r="H1463" s="8"/>
      <c r="I1463" s="10"/>
      <c r="J1463" s="10"/>
      <c r="K1463" s="18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</row>
    <row r="1464" ht="14.25" customHeight="1">
      <c r="A1464" s="9"/>
      <c r="B1464" s="8"/>
      <c r="C1464" s="8"/>
      <c r="D1464" s="8"/>
      <c r="E1464" s="8"/>
      <c r="F1464" s="8"/>
      <c r="G1464" s="8"/>
      <c r="H1464" s="8"/>
      <c r="I1464" s="10"/>
      <c r="J1464" s="10"/>
      <c r="K1464" s="18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</row>
    <row r="1465" ht="14.25" customHeight="1">
      <c r="A1465" s="9"/>
      <c r="B1465" s="8"/>
      <c r="C1465" s="8"/>
      <c r="D1465" s="8"/>
      <c r="E1465" s="8"/>
      <c r="F1465" s="8"/>
      <c r="G1465" s="8"/>
      <c r="H1465" s="8"/>
      <c r="I1465" s="10"/>
      <c r="J1465" s="10"/>
      <c r="K1465" s="18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</row>
    <row r="1466" ht="14.25" customHeight="1">
      <c r="A1466" s="9"/>
      <c r="B1466" s="8"/>
      <c r="C1466" s="8"/>
      <c r="D1466" s="8"/>
      <c r="E1466" s="8"/>
      <c r="F1466" s="8"/>
      <c r="G1466" s="8"/>
      <c r="H1466" s="8"/>
      <c r="I1466" s="10"/>
      <c r="J1466" s="10"/>
      <c r="K1466" s="18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</row>
    <row r="1467" ht="14.25" customHeight="1">
      <c r="A1467" s="9"/>
      <c r="B1467" s="8"/>
      <c r="C1467" s="8"/>
      <c r="D1467" s="8"/>
      <c r="E1467" s="8"/>
      <c r="F1467" s="8"/>
      <c r="G1467" s="8"/>
      <c r="H1467" s="8"/>
      <c r="I1467" s="10"/>
      <c r="J1467" s="10"/>
      <c r="K1467" s="18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</row>
    <row r="1468" ht="14.25" customHeight="1">
      <c r="A1468" s="9"/>
      <c r="B1468" s="8"/>
      <c r="C1468" s="8"/>
      <c r="D1468" s="8"/>
      <c r="E1468" s="8"/>
      <c r="F1468" s="8"/>
      <c r="G1468" s="8"/>
      <c r="H1468" s="8"/>
      <c r="I1468" s="10"/>
      <c r="J1468" s="10"/>
      <c r="K1468" s="18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</row>
    <row r="1469" ht="14.25" customHeight="1">
      <c r="A1469" s="9"/>
      <c r="B1469" s="8"/>
      <c r="C1469" s="8"/>
      <c r="D1469" s="8"/>
      <c r="E1469" s="8"/>
      <c r="F1469" s="8"/>
      <c r="G1469" s="8"/>
      <c r="H1469" s="8"/>
      <c r="I1469" s="10"/>
      <c r="J1469" s="10"/>
      <c r="K1469" s="18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</row>
    <row r="1470" ht="14.25" customHeight="1">
      <c r="A1470" s="9"/>
      <c r="B1470" s="8"/>
      <c r="C1470" s="8"/>
      <c r="D1470" s="8"/>
      <c r="E1470" s="8"/>
      <c r="F1470" s="8"/>
      <c r="G1470" s="8"/>
      <c r="H1470" s="8"/>
      <c r="I1470" s="10"/>
      <c r="J1470" s="10"/>
      <c r="K1470" s="18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</row>
    <row r="1471" ht="14.25" customHeight="1">
      <c r="A1471" s="9"/>
      <c r="B1471" s="8"/>
      <c r="C1471" s="8"/>
      <c r="D1471" s="8"/>
      <c r="E1471" s="8"/>
      <c r="F1471" s="8"/>
      <c r="G1471" s="8"/>
      <c r="H1471" s="8"/>
      <c r="I1471" s="10"/>
      <c r="J1471" s="10"/>
      <c r="K1471" s="18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</row>
    <row r="1472" ht="14.25" customHeight="1">
      <c r="A1472" s="9"/>
      <c r="B1472" s="8"/>
      <c r="C1472" s="8"/>
      <c r="D1472" s="8"/>
      <c r="E1472" s="8"/>
      <c r="F1472" s="8"/>
      <c r="G1472" s="8"/>
      <c r="H1472" s="8"/>
      <c r="I1472" s="10"/>
      <c r="J1472" s="10"/>
      <c r="K1472" s="18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</row>
    <row r="1473" ht="14.25" customHeight="1">
      <c r="A1473" s="9"/>
      <c r="B1473" s="8"/>
      <c r="C1473" s="8"/>
      <c r="D1473" s="8"/>
      <c r="E1473" s="8"/>
      <c r="F1473" s="8"/>
      <c r="G1473" s="8"/>
      <c r="H1473" s="8"/>
      <c r="I1473" s="10"/>
      <c r="J1473" s="10"/>
      <c r="K1473" s="18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</row>
    <row r="1474" ht="14.25" customHeight="1">
      <c r="A1474" s="9"/>
      <c r="B1474" s="8"/>
      <c r="C1474" s="8"/>
      <c r="D1474" s="8"/>
      <c r="E1474" s="8"/>
      <c r="F1474" s="8"/>
      <c r="G1474" s="8"/>
      <c r="H1474" s="8"/>
      <c r="I1474" s="10"/>
      <c r="J1474" s="10"/>
      <c r="K1474" s="18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</row>
    <row r="1475" ht="14.25" customHeight="1">
      <c r="A1475" s="9"/>
      <c r="B1475" s="8"/>
      <c r="C1475" s="8"/>
      <c r="D1475" s="8"/>
      <c r="E1475" s="8"/>
      <c r="F1475" s="8"/>
      <c r="G1475" s="8"/>
      <c r="H1475" s="8"/>
      <c r="I1475" s="10"/>
      <c r="J1475" s="10"/>
      <c r="K1475" s="18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</row>
    <row r="1476" ht="14.25" customHeight="1">
      <c r="A1476" s="9"/>
      <c r="B1476" s="8"/>
      <c r="C1476" s="8"/>
      <c r="D1476" s="8"/>
      <c r="E1476" s="8"/>
      <c r="F1476" s="8"/>
      <c r="G1476" s="8"/>
      <c r="H1476" s="8"/>
      <c r="I1476" s="10"/>
      <c r="J1476" s="10"/>
      <c r="K1476" s="18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</row>
    <row r="1477" ht="14.25" customHeight="1">
      <c r="A1477" s="9"/>
      <c r="B1477" s="8"/>
      <c r="C1477" s="8"/>
      <c r="D1477" s="8"/>
      <c r="E1477" s="8"/>
      <c r="F1477" s="8"/>
      <c r="G1477" s="8"/>
      <c r="H1477" s="8"/>
      <c r="I1477" s="10"/>
      <c r="J1477" s="10"/>
      <c r="K1477" s="18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</row>
    <row r="1478" ht="14.25" customHeight="1">
      <c r="A1478" s="9"/>
      <c r="B1478" s="8"/>
      <c r="C1478" s="8"/>
      <c r="D1478" s="8"/>
      <c r="E1478" s="8"/>
      <c r="F1478" s="8"/>
      <c r="G1478" s="8"/>
      <c r="H1478" s="8"/>
      <c r="I1478" s="10"/>
      <c r="J1478" s="10"/>
      <c r="K1478" s="18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</row>
    <row r="1479" ht="14.25" customHeight="1">
      <c r="A1479" s="9"/>
      <c r="B1479" s="8"/>
      <c r="C1479" s="8"/>
      <c r="D1479" s="8"/>
      <c r="E1479" s="8"/>
      <c r="F1479" s="8"/>
      <c r="G1479" s="8"/>
      <c r="H1479" s="8"/>
      <c r="I1479" s="10"/>
      <c r="J1479" s="10"/>
      <c r="K1479" s="18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</row>
    <row r="1480" ht="14.25" customHeight="1">
      <c r="A1480" s="9"/>
      <c r="B1480" s="8"/>
      <c r="C1480" s="8"/>
      <c r="D1480" s="8"/>
      <c r="E1480" s="8"/>
      <c r="F1480" s="8"/>
      <c r="G1480" s="8"/>
      <c r="H1480" s="8"/>
      <c r="I1480" s="10"/>
      <c r="J1480" s="10"/>
      <c r="K1480" s="18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</row>
    <row r="1481" ht="14.25" customHeight="1">
      <c r="A1481" s="9"/>
      <c r="B1481" s="8"/>
      <c r="C1481" s="8"/>
      <c r="D1481" s="8"/>
      <c r="E1481" s="8"/>
      <c r="F1481" s="8"/>
      <c r="G1481" s="8"/>
      <c r="H1481" s="8"/>
      <c r="I1481" s="10"/>
      <c r="J1481" s="10"/>
      <c r="K1481" s="18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</row>
    <row r="1482" ht="14.25" customHeight="1">
      <c r="A1482" s="9"/>
      <c r="B1482" s="8"/>
      <c r="C1482" s="8"/>
      <c r="D1482" s="8"/>
      <c r="E1482" s="8"/>
      <c r="F1482" s="8"/>
      <c r="G1482" s="8"/>
      <c r="H1482" s="8"/>
      <c r="I1482" s="10"/>
      <c r="J1482" s="10"/>
      <c r="K1482" s="18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</row>
    <row r="1483" ht="14.25" customHeight="1">
      <c r="A1483" s="9"/>
      <c r="B1483" s="8"/>
      <c r="C1483" s="8"/>
      <c r="D1483" s="8"/>
      <c r="E1483" s="8"/>
      <c r="F1483" s="8"/>
      <c r="G1483" s="8"/>
      <c r="H1483" s="8"/>
      <c r="I1483" s="10"/>
      <c r="J1483" s="10"/>
      <c r="K1483" s="18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</row>
    <row r="1484" ht="14.25" customHeight="1">
      <c r="A1484" s="9"/>
      <c r="B1484" s="8"/>
      <c r="C1484" s="8"/>
      <c r="D1484" s="8"/>
      <c r="E1484" s="8"/>
      <c r="F1484" s="8"/>
      <c r="G1484" s="8"/>
      <c r="H1484" s="8"/>
      <c r="I1484" s="10"/>
      <c r="J1484" s="10"/>
      <c r="K1484" s="18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</row>
    <row r="1485" ht="14.25" customHeight="1">
      <c r="A1485" s="9"/>
      <c r="B1485" s="8"/>
      <c r="C1485" s="8"/>
      <c r="D1485" s="8"/>
      <c r="E1485" s="8"/>
      <c r="F1485" s="8"/>
      <c r="G1485" s="8"/>
      <c r="H1485" s="8"/>
      <c r="I1485" s="10"/>
      <c r="J1485" s="10"/>
      <c r="K1485" s="18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</row>
    <row r="1486" ht="14.25" customHeight="1">
      <c r="A1486" s="9"/>
      <c r="B1486" s="8"/>
      <c r="C1486" s="8"/>
      <c r="D1486" s="8"/>
      <c r="E1486" s="8"/>
      <c r="F1486" s="8"/>
      <c r="G1486" s="8"/>
      <c r="H1486" s="8"/>
      <c r="I1486" s="10"/>
      <c r="J1486" s="10"/>
      <c r="K1486" s="18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</row>
    <row r="1487" ht="14.25" customHeight="1">
      <c r="A1487" s="9"/>
      <c r="B1487" s="8"/>
      <c r="C1487" s="8"/>
      <c r="D1487" s="8"/>
      <c r="E1487" s="8"/>
      <c r="F1487" s="8"/>
      <c r="G1487" s="8"/>
      <c r="H1487" s="8"/>
      <c r="I1487" s="10"/>
      <c r="J1487" s="10"/>
      <c r="K1487" s="18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</row>
    <row r="1488" ht="14.25" customHeight="1">
      <c r="A1488" s="9"/>
      <c r="B1488" s="8"/>
      <c r="C1488" s="8"/>
      <c r="D1488" s="8"/>
      <c r="E1488" s="8"/>
      <c r="F1488" s="8"/>
      <c r="G1488" s="8"/>
      <c r="H1488" s="8"/>
      <c r="I1488" s="10"/>
      <c r="J1488" s="10"/>
      <c r="K1488" s="18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</row>
    <row r="1489" ht="14.25" customHeight="1">
      <c r="A1489" s="9"/>
      <c r="B1489" s="8"/>
      <c r="C1489" s="8"/>
      <c r="D1489" s="8"/>
      <c r="E1489" s="8"/>
      <c r="F1489" s="8"/>
      <c r="G1489" s="8"/>
      <c r="H1489" s="8"/>
      <c r="I1489" s="10"/>
      <c r="J1489" s="10"/>
      <c r="K1489" s="18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</row>
    <row r="1490" ht="14.25" customHeight="1">
      <c r="A1490" s="9"/>
      <c r="B1490" s="8"/>
      <c r="C1490" s="8"/>
      <c r="D1490" s="8"/>
      <c r="E1490" s="8"/>
      <c r="F1490" s="8"/>
      <c r="G1490" s="8"/>
      <c r="H1490" s="8"/>
      <c r="I1490" s="10"/>
      <c r="J1490" s="10"/>
      <c r="K1490" s="18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</row>
    <row r="1491" ht="14.25" customHeight="1">
      <c r="A1491" s="9"/>
      <c r="B1491" s="8"/>
      <c r="C1491" s="8"/>
      <c r="D1491" s="8"/>
      <c r="E1491" s="8"/>
      <c r="F1491" s="8"/>
      <c r="G1491" s="8"/>
      <c r="H1491" s="8"/>
      <c r="I1491" s="10"/>
      <c r="J1491" s="10"/>
      <c r="K1491" s="18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</row>
    <row r="1492" ht="14.25" customHeight="1">
      <c r="A1492" s="9"/>
      <c r="B1492" s="8"/>
      <c r="C1492" s="8"/>
      <c r="D1492" s="8"/>
      <c r="E1492" s="8"/>
      <c r="F1492" s="8"/>
      <c r="G1492" s="8"/>
      <c r="H1492" s="8"/>
      <c r="I1492" s="10"/>
      <c r="J1492" s="10"/>
      <c r="K1492" s="18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</row>
    <row r="1493" ht="14.25" customHeight="1">
      <c r="A1493" s="9"/>
      <c r="B1493" s="8"/>
      <c r="C1493" s="8"/>
      <c r="D1493" s="8"/>
      <c r="E1493" s="8"/>
      <c r="F1493" s="8"/>
      <c r="G1493" s="8"/>
      <c r="H1493" s="8"/>
      <c r="I1493" s="10"/>
      <c r="J1493" s="10"/>
      <c r="K1493" s="18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</row>
    <row r="1494" ht="14.25" customHeight="1">
      <c r="A1494" s="9"/>
      <c r="B1494" s="8"/>
      <c r="C1494" s="8"/>
      <c r="D1494" s="8"/>
      <c r="E1494" s="8"/>
      <c r="F1494" s="8"/>
      <c r="G1494" s="8"/>
      <c r="H1494" s="8"/>
      <c r="I1494" s="10"/>
      <c r="J1494" s="10"/>
      <c r="K1494" s="18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</row>
    <row r="1495" ht="14.25" customHeight="1">
      <c r="A1495" s="9"/>
      <c r="B1495" s="8"/>
      <c r="C1495" s="8"/>
      <c r="D1495" s="8"/>
      <c r="E1495" s="8"/>
      <c r="F1495" s="8"/>
      <c r="G1495" s="8"/>
      <c r="H1495" s="8"/>
      <c r="I1495" s="10"/>
      <c r="J1495" s="10"/>
      <c r="K1495" s="18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</row>
    <row r="1496" ht="14.25" customHeight="1">
      <c r="A1496" s="9"/>
      <c r="B1496" s="8"/>
      <c r="C1496" s="8"/>
      <c r="D1496" s="8"/>
      <c r="E1496" s="8"/>
      <c r="F1496" s="8"/>
      <c r="G1496" s="8"/>
      <c r="H1496" s="8"/>
      <c r="I1496" s="10"/>
      <c r="J1496" s="10"/>
      <c r="K1496" s="18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</row>
    <row r="1497" ht="14.25" customHeight="1">
      <c r="A1497" s="9"/>
      <c r="B1497" s="8"/>
      <c r="C1497" s="8"/>
      <c r="D1497" s="8"/>
      <c r="E1497" s="8"/>
      <c r="F1497" s="8"/>
      <c r="G1497" s="8"/>
      <c r="H1497" s="8"/>
      <c r="I1497" s="10"/>
      <c r="J1497" s="10"/>
      <c r="K1497" s="18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</row>
    <row r="1498" ht="14.25" customHeight="1">
      <c r="A1498" s="9"/>
      <c r="B1498" s="8"/>
      <c r="C1498" s="8"/>
      <c r="D1498" s="8"/>
      <c r="E1498" s="8"/>
      <c r="F1498" s="8"/>
      <c r="G1498" s="8"/>
      <c r="H1498" s="8"/>
      <c r="I1498" s="10"/>
      <c r="J1498" s="10"/>
      <c r="K1498" s="18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</row>
    <row r="1499" ht="14.25" customHeight="1">
      <c r="A1499" s="9"/>
      <c r="B1499" s="8"/>
      <c r="C1499" s="8"/>
      <c r="D1499" s="8"/>
      <c r="E1499" s="8"/>
      <c r="F1499" s="8"/>
      <c r="G1499" s="8"/>
      <c r="H1499" s="8"/>
      <c r="I1499" s="10"/>
      <c r="J1499" s="10"/>
      <c r="K1499" s="18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</row>
    <row r="1500" ht="14.25" customHeight="1">
      <c r="A1500" s="9"/>
      <c r="B1500" s="8"/>
      <c r="C1500" s="8"/>
      <c r="D1500" s="8"/>
      <c r="E1500" s="8"/>
      <c r="F1500" s="8"/>
      <c r="G1500" s="8"/>
      <c r="H1500" s="8"/>
      <c r="I1500" s="10"/>
      <c r="J1500" s="10"/>
      <c r="K1500" s="18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</row>
    <row r="1501" ht="14.25" customHeight="1">
      <c r="A1501" s="9"/>
      <c r="B1501" s="8"/>
      <c r="C1501" s="8"/>
      <c r="D1501" s="8"/>
      <c r="E1501" s="8"/>
      <c r="F1501" s="8"/>
      <c r="G1501" s="8"/>
      <c r="H1501" s="8"/>
      <c r="I1501" s="10"/>
      <c r="J1501" s="10"/>
      <c r="K1501" s="18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</row>
    <row r="1502" ht="14.25" customHeight="1">
      <c r="A1502" s="9"/>
      <c r="B1502" s="8"/>
      <c r="C1502" s="8"/>
      <c r="D1502" s="8"/>
      <c r="E1502" s="8"/>
      <c r="F1502" s="8"/>
      <c r="G1502" s="8"/>
      <c r="H1502" s="8"/>
      <c r="I1502" s="10"/>
      <c r="J1502" s="10"/>
      <c r="K1502" s="18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</row>
    <row r="1503" ht="14.25" customHeight="1">
      <c r="A1503" s="9"/>
      <c r="B1503" s="8"/>
      <c r="C1503" s="8"/>
      <c r="D1503" s="8"/>
      <c r="E1503" s="8"/>
      <c r="F1503" s="8"/>
      <c r="G1503" s="8"/>
      <c r="H1503" s="8"/>
      <c r="I1503" s="10"/>
      <c r="J1503" s="10"/>
      <c r="K1503" s="18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</row>
    <row r="1504" ht="14.25" customHeight="1">
      <c r="A1504" s="9"/>
      <c r="B1504" s="8"/>
      <c r="C1504" s="8"/>
      <c r="D1504" s="8"/>
      <c r="E1504" s="8"/>
      <c r="F1504" s="8"/>
      <c r="G1504" s="8"/>
      <c r="H1504" s="8"/>
      <c r="I1504" s="10"/>
      <c r="J1504" s="10"/>
      <c r="K1504" s="18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</row>
    <row r="1505" ht="14.25" customHeight="1">
      <c r="A1505" s="9"/>
      <c r="B1505" s="8"/>
      <c r="C1505" s="8"/>
      <c r="D1505" s="8"/>
      <c r="E1505" s="8"/>
      <c r="F1505" s="8"/>
      <c r="G1505" s="8"/>
      <c r="H1505" s="8"/>
      <c r="I1505" s="10"/>
      <c r="J1505" s="10"/>
      <c r="K1505" s="18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</row>
    <row r="1506" ht="14.25" customHeight="1">
      <c r="A1506" s="9"/>
      <c r="B1506" s="8"/>
      <c r="C1506" s="8"/>
      <c r="D1506" s="8"/>
      <c r="E1506" s="8"/>
      <c r="F1506" s="8"/>
      <c r="G1506" s="8"/>
      <c r="H1506" s="8"/>
      <c r="I1506" s="10"/>
      <c r="J1506" s="10"/>
      <c r="K1506" s="18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</row>
    <row r="1507" ht="14.25" customHeight="1">
      <c r="A1507" s="9"/>
      <c r="B1507" s="8"/>
      <c r="C1507" s="8"/>
      <c r="D1507" s="8"/>
      <c r="E1507" s="8"/>
      <c r="F1507" s="8"/>
      <c r="G1507" s="8"/>
      <c r="H1507" s="8"/>
      <c r="I1507" s="10"/>
      <c r="J1507" s="10"/>
      <c r="K1507" s="18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</row>
    <row r="1508" ht="14.25" customHeight="1">
      <c r="A1508" s="9"/>
      <c r="B1508" s="8"/>
      <c r="C1508" s="8"/>
      <c r="D1508" s="8"/>
      <c r="E1508" s="8"/>
      <c r="F1508" s="8"/>
      <c r="G1508" s="8"/>
      <c r="H1508" s="8"/>
      <c r="I1508" s="10"/>
      <c r="J1508" s="10"/>
      <c r="K1508" s="18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</row>
    <row r="1509" ht="14.25" customHeight="1">
      <c r="A1509" s="9"/>
      <c r="B1509" s="8"/>
      <c r="C1509" s="8"/>
      <c r="D1509" s="8"/>
      <c r="E1509" s="8"/>
      <c r="F1509" s="8"/>
      <c r="G1509" s="8"/>
      <c r="H1509" s="8"/>
      <c r="I1509" s="10"/>
      <c r="J1509" s="10"/>
      <c r="K1509" s="18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</row>
    <row r="1510" ht="14.25" customHeight="1">
      <c r="A1510" s="9"/>
      <c r="B1510" s="8"/>
      <c r="C1510" s="8"/>
      <c r="D1510" s="8"/>
      <c r="E1510" s="8"/>
      <c r="F1510" s="8"/>
      <c r="G1510" s="8"/>
      <c r="H1510" s="8"/>
      <c r="I1510" s="10"/>
      <c r="J1510" s="10"/>
      <c r="K1510" s="18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</row>
    <row r="1511" ht="14.25" customHeight="1">
      <c r="A1511" s="9"/>
      <c r="B1511" s="8"/>
      <c r="C1511" s="8"/>
      <c r="D1511" s="8"/>
      <c r="E1511" s="8"/>
      <c r="F1511" s="8"/>
      <c r="G1511" s="8"/>
      <c r="H1511" s="8"/>
      <c r="I1511" s="10"/>
      <c r="J1511" s="10"/>
      <c r="K1511" s="18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</row>
    <row r="1512" ht="14.25" customHeight="1">
      <c r="A1512" s="9"/>
      <c r="B1512" s="8"/>
      <c r="C1512" s="8"/>
      <c r="D1512" s="8"/>
      <c r="E1512" s="8"/>
      <c r="F1512" s="8"/>
      <c r="G1512" s="8"/>
      <c r="H1512" s="8"/>
      <c r="I1512" s="10"/>
      <c r="J1512" s="10"/>
      <c r="K1512" s="18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</row>
    <row r="1513" ht="14.25" customHeight="1">
      <c r="A1513" s="9"/>
      <c r="B1513" s="8"/>
      <c r="C1513" s="8"/>
      <c r="D1513" s="8"/>
      <c r="E1513" s="8"/>
      <c r="F1513" s="8"/>
      <c r="G1513" s="8"/>
      <c r="H1513" s="8"/>
      <c r="I1513" s="10"/>
      <c r="J1513" s="10"/>
      <c r="K1513" s="18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</row>
    <row r="1514" ht="14.25" customHeight="1">
      <c r="A1514" s="9"/>
      <c r="B1514" s="8"/>
      <c r="C1514" s="8"/>
      <c r="D1514" s="8"/>
      <c r="E1514" s="8"/>
      <c r="F1514" s="8"/>
      <c r="G1514" s="8"/>
      <c r="H1514" s="8"/>
      <c r="I1514" s="10"/>
      <c r="J1514" s="10"/>
      <c r="K1514" s="18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</row>
    <row r="1515" ht="14.25" customHeight="1">
      <c r="A1515" s="9"/>
      <c r="B1515" s="8"/>
      <c r="C1515" s="8"/>
      <c r="D1515" s="8"/>
      <c r="E1515" s="8"/>
      <c r="F1515" s="8"/>
      <c r="G1515" s="8"/>
      <c r="H1515" s="8"/>
      <c r="I1515" s="10"/>
      <c r="J1515" s="10"/>
      <c r="K1515" s="18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</row>
    <row r="1516" ht="14.25" customHeight="1">
      <c r="A1516" s="9"/>
      <c r="B1516" s="8"/>
      <c r="C1516" s="8"/>
      <c r="D1516" s="8"/>
      <c r="E1516" s="8"/>
      <c r="F1516" s="8"/>
      <c r="G1516" s="8"/>
      <c r="H1516" s="8"/>
      <c r="I1516" s="10"/>
      <c r="J1516" s="10"/>
      <c r="K1516" s="18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</row>
    <row r="1517" ht="14.25" customHeight="1">
      <c r="A1517" s="9"/>
      <c r="B1517" s="8"/>
      <c r="C1517" s="8"/>
      <c r="D1517" s="8"/>
      <c r="E1517" s="8"/>
      <c r="F1517" s="8"/>
      <c r="G1517" s="8"/>
      <c r="H1517" s="8"/>
      <c r="I1517" s="10"/>
      <c r="J1517" s="10"/>
      <c r="K1517" s="18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</row>
    <row r="1518" ht="14.25" customHeight="1">
      <c r="A1518" s="9"/>
      <c r="B1518" s="8"/>
      <c r="C1518" s="8"/>
      <c r="D1518" s="8"/>
      <c r="E1518" s="8"/>
      <c r="F1518" s="8"/>
      <c r="G1518" s="8"/>
      <c r="H1518" s="8"/>
      <c r="I1518" s="10"/>
      <c r="J1518" s="10"/>
      <c r="K1518" s="18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</row>
    <row r="1519" ht="14.25" customHeight="1">
      <c r="A1519" s="9"/>
      <c r="B1519" s="8"/>
      <c r="C1519" s="8"/>
      <c r="D1519" s="8"/>
      <c r="E1519" s="8"/>
      <c r="F1519" s="8"/>
      <c r="G1519" s="8"/>
      <c r="H1519" s="8"/>
      <c r="I1519" s="10"/>
      <c r="J1519" s="10"/>
      <c r="K1519" s="18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</row>
    <row r="1520" ht="14.25" customHeight="1">
      <c r="A1520" s="9"/>
      <c r="B1520" s="8"/>
      <c r="C1520" s="8"/>
      <c r="D1520" s="8"/>
      <c r="E1520" s="8"/>
      <c r="F1520" s="8"/>
      <c r="G1520" s="8"/>
      <c r="H1520" s="8"/>
      <c r="I1520" s="10"/>
      <c r="J1520" s="10"/>
      <c r="K1520" s="18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</row>
    <row r="1521" ht="14.25" customHeight="1">
      <c r="A1521" s="9"/>
      <c r="B1521" s="8"/>
      <c r="C1521" s="8"/>
      <c r="D1521" s="8"/>
      <c r="E1521" s="8"/>
      <c r="F1521" s="8"/>
      <c r="G1521" s="8"/>
      <c r="H1521" s="8"/>
      <c r="I1521" s="10"/>
      <c r="J1521" s="10"/>
      <c r="K1521" s="18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</row>
    <row r="1522" ht="14.25" customHeight="1">
      <c r="A1522" s="9"/>
      <c r="B1522" s="8"/>
      <c r="C1522" s="8"/>
      <c r="D1522" s="8"/>
      <c r="E1522" s="8"/>
      <c r="F1522" s="8"/>
      <c r="G1522" s="8"/>
      <c r="H1522" s="8"/>
      <c r="I1522" s="10"/>
      <c r="J1522" s="10"/>
      <c r="K1522" s="18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</row>
    <row r="1523" ht="14.25" customHeight="1">
      <c r="A1523" s="9"/>
      <c r="B1523" s="8"/>
      <c r="C1523" s="8"/>
      <c r="D1523" s="8"/>
      <c r="E1523" s="8"/>
      <c r="F1523" s="8"/>
      <c r="G1523" s="8"/>
      <c r="H1523" s="8"/>
      <c r="I1523" s="10"/>
      <c r="J1523" s="10"/>
      <c r="K1523" s="18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</row>
    <row r="1524" ht="14.25" customHeight="1">
      <c r="A1524" s="9"/>
      <c r="B1524" s="8"/>
      <c r="C1524" s="8"/>
      <c r="D1524" s="8"/>
      <c r="E1524" s="8"/>
      <c r="F1524" s="8"/>
      <c r="G1524" s="8"/>
      <c r="H1524" s="8"/>
      <c r="I1524" s="10"/>
      <c r="J1524" s="10"/>
      <c r="K1524" s="18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</row>
    <row r="1525" ht="14.25" customHeight="1">
      <c r="A1525" s="9"/>
      <c r="B1525" s="8"/>
      <c r="C1525" s="8"/>
      <c r="D1525" s="8"/>
      <c r="E1525" s="8"/>
      <c r="F1525" s="8"/>
      <c r="G1525" s="8"/>
      <c r="H1525" s="8"/>
      <c r="I1525" s="10"/>
      <c r="J1525" s="10"/>
      <c r="K1525" s="18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</row>
    <row r="1526" ht="14.25" customHeight="1">
      <c r="A1526" s="9"/>
      <c r="B1526" s="8"/>
      <c r="C1526" s="8"/>
      <c r="D1526" s="8"/>
      <c r="E1526" s="8"/>
      <c r="F1526" s="8"/>
      <c r="G1526" s="8"/>
      <c r="H1526" s="8"/>
      <c r="I1526" s="10"/>
      <c r="J1526" s="10"/>
      <c r="K1526" s="18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</row>
    <row r="1527" ht="14.25" customHeight="1">
      <c r="A1527" s="9"/>
      <c r="B1527" s="8"/>
      <c r="C1527" s="8"/>
      <c r="D1527" s="8"/>
      <c r="E1527" s="8"/>
      <c r="F1527" s="8"/>
      <c r="G1527" s="8"/>
      <c r="H1527" s="8"/>
      <c r="I1527" s="10"/>
      <c r="J1527" s="10"/>
      <c r="K1527" s="18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</row>
    <row r="1528" ht="14.25" customHeight="1">
      <c r="A1528" s="9"/>
      <c r="B1528" s="8"/>
      <c r="C1528" s="8"/>
      <c r="D1528" s="8"/>
      <c r="E1528" s="8"/>
      <c r="F1528" s="8"/>
      <c r="G1528" s="8"/>
      <c r="H1528" s="8"/>
      <c r="I1528" s="10"/>
      <c r="J1528" s="10"/>
      <c r="K1528" s="18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</row>
    <row r="1529" ht="14.25" customHeight="1">
      <c r="A1529" s="9"/>
      <c r="B1529" s="8"/>
      <c r="C1529" s="8"/>
      <c r="D1529" s="8"/>
      <c r="E1529" s="8"/>
      <c r="F1529" s="8"/>
      <c r="G1529" s="8"/>
      <c r="H1529" s="8"/>
      <c r="I1529" s="10"/>
      <c r="J1529" s="10"/>
      <c r="K1529" s="18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</row>
    <row r="1530" ht="14.25" customHeight="1">
      <c r="A1530" s="9"/>
      <c r="B1530" s="8"/>
      <c r="C1530" s="8"/>
      <c r="D1530" s="8"/>
      <c r="E1530" s="8"/>
      <c r="F1530" s="8"/>
      <c r="G1530" s="8"/>
      <c r="H1530" s="8"/>
      <c r="I1530" s="10"/>
      <c r="J1530" s="10"/>
      <c r="K1530" s="18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</row>
    <row r="1531" ht="14.25" customHeight="1">
      <c r="A1531" s="9"/>
      <c r="B1531" s="8"/>
      <c r="C1531" s="8"/>
      <c r="D1531" s="8"/>
      <c r="E1531" s="8"/>
      <c r="F1531" s="8"/>
      <c r="G1531" s="8"/>
      <c r="H1531" s="8"/>
      <c r="I1531" s="10"/>
      <c r="J1531" s="10"/>
      <c r="K1531" s="18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</row>
    <row r="1532" ht="14.25" customHeight="1">
      <c r="A1532" s="9"/>
      <c r="B1532" s="8"/>
      <c r="C1532" s="8"/>
      <c r="D1532" s="8"/>
      <c r="E1532" s="8"/>
      <c r="F1532" s="8"/>
      <c r="G1532" s="8"/>
      <c r="H1532" s="8"/>
      <c r="I1532" s="10"/>
      <c r="J1532" s="10"/>
      <c r="K1532" s="18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</row>
    <row r="1533" ht="14.25" customHeight="1">
      <c r="A1533" s="9"/>
      <c r="B1533" s="8"/>
      <c r="C1533" s="8"/>
      <c r="D1533" s="8"/>
      <c r="E1533" s="8"/>
      <c r="F1533" s="8"/>
      <c r="G1533" s="8"/>
      <c r="H1533" s="8"/>
      <c r="I1533" s="10"/>
      <c r="J1533" s="10"/>
      <c r="K1533" s="18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</row>
    <row r="1534" ht="14.25" customHeight="1">
      <c r="A1534" s="9"/>
      <c r="B1534" s="8"/>
      <c r="C1534" s="8"/>
      <c r="D1534" s="8"/>
      <c r="E1534" s="8"/>
      <c r="F1534" s="8"/>
      <c r="G1534" s="8"/>
      <c r="H1534" s="8"/>
      <c r="I1534" s="10"/>
      <c r="J1534" s="10"/>
      <c r="K1534" s="18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</row>
    <row r="1535" ht="14.25" customHeight="1">
      <c r="A1535" s="9"/>
      <c r="B1535" s="8"/>
      <c r="C1535" s="8"/>
      <c r="D1535" s="8"/>
      <c r="E1535" s="8"/>
      <c r="F1535" s="8"/>
      <c r="G1535" s="8"/>
      <c r="H1535" s="8"/>
      <c r="I1535" s="10"/>
      <c r="J1535" s="10"/>
      <c r="K1535" s="18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</row>
    <row r="1536" ht="14.25" customHeight="1">
      <c r="A1536" s="9"/>
      <c r="B1536" s="8"/>
      <c r="C1536" s="8"/>
      <c r="D1536" s="8"/>
      <c r="E1536" s="8"/>
      <c r="F1536" s="8"/>
      <c r="G1536" s="8"/>
      <c r="H1536" s="8"/>
      <c r="I1536" s="10"/>
      <c r="J1536" s="10"/>
      <c r="K1536" s="18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</row>
    <row r="1537" ht="14.25" customHeight="1">
      <c r="A1537" s="9"/>
      <c r="B1537" s="8"/>
      <c r="C1537" s="8"/>
      <c r="D1537" s="8"/>
      <c r="E1537" s="8"/>
      <c r="F1537" s="8"/>
      <c r="G1537" s="8"/>
      <c r="H1537" s="8"/>
      <c r="I1537" s="10"/>
      <c r="J1537" s="10"/>
      <c r="K1537" s="18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</row>
    <row r="1538" ht="14.25" customHeight="1">
      <c r="A1538" s="9"/>
      <c r="B1538" s="8"/>
      <c r="C1538" s="8"/>
      <c r="D1538" s="8"/>
      <c r="E1538" s="8"/>
      <c r="F1538" s="8"/>
      <c r="G1538" s="8"/>
      <c r="H1538" s="8"/>
      <c r="I1538" s="10"/>
      <c r="J1538" s="10"/>
      <c r="K1538" s="18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</row>
    <row r="1539" ht="14.25" customHeight="1">
      <c r="A1539" s="9"/>
      <c r="B1539" s="8"/>
      <c r="C1539" s="8"/>
      <c r="D1539" s="8"/>
      <c r="E1539" s="8"/>
      <c r="F1539" s="8"/>
      <c r="G1539" s="8"/>
      <c r="H1539" s="8"/>
      <c r="I1539" s="10"/>
      <c r="J1539" s="10"/>
      <c r="K1539" s="18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</row>
    <row r="1540" ht="14.25" customHeight="1">
      <c r="A1540" s="9"/>
      <c r="B1540" s="8"/>
      <c r="C1540" s="8"/>
      <c r="D1540" s="8"/>
      <c r="E1540" s="8"/>
      <c r="F1540" s="8"/>
      <c r="G1540" s="8"/>
      <c r="H1540" s="8"/>
      <c r="I1540" s="10"/>
      <c r="J1540" s="10"/>
      <c r="K1540" s="18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</row>
    <row r="1541" ht="14.25" customHeight="1">
      <c r="A1541" s="9"/>
      <c r="B1541" s="8"/>
      <c r="C1541" s="8"/>
      <c r="D1541" s="8"/>
      <c r="E1541" s="8"/>
      <c r="F1541" s="8"/>
      <c r="G1541" s="8"/>
      <c r="H1541" s="8"/>
      <c r="I1541" s="10"/>
      <c r="J1541" s="10"/>
      <c r="K1541" s="18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</row>
    <row r="1542" ht="14.25" customHeight="1">
      <c r="A1542" s="9"/>
      <c r="B1542" s="8"/>
      <c r="C1542" s="8"/>
      <c r="D1542" s="8"/>
      <c r="E1542" s="8"/>
      <c r="F1542" s="8"/>
      <c r="G1542" s="8"/>
      <c r="H1542" s="8"/>
      <c r="I1542" s="10"/>
      <c r="J1542" s="10"/>
      <c r="K1542" s="18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</row>
    <row r="1543" ht="14.25" customHeight="1">
      <c r="A1543" s="9"/>
      <c r="B1543" s="8"/>
      <c r="C1543" s="8"/>
      <c r="D1543" s="8"/>
      <c r="E1543" s="8"/>
      <c r="F1543" s="8"/>
      <c r="G1543" s="8"/>
      <c r="H1543" s="8"/>
      <c r="I1543" s="10"/>
      <c r="J1543" s="10"/>
      <c r="K1543" s="18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</row>
    <row r="1544" ht="14.25" customHeight="1">
      <c r="A1544" s="9"/>
      <c r="B1544" s="8"/>
      <c r="C1544" s="8"/>
      <c r="D1544" s="8"/>
      <c r="E1544" s="8"/>
      <c r="F1544" s="8"/>
      <c r="G1544" s="8"/>
      <c r="H1544" s="8"/>
      <c r="I1544" s="10"/>
      <c r="J1544" s="10"/>
      <c r="K1544" s="18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</row>
    <row r="1545" ht="14.25" customHeight="1">
      <c r="A1545" s="9"/>
      <c r="B1545" s="8"/>
      <c r="C1545" s="8"/>
      <c r="D1545" s="8"/>
      <c r="E1545" s="8"/>
      <c r="F1545" s="8"/>
      <c r="G1545" s="8"/>
      <c r="H1545" s="8"/>
      <c r="I1545" s="10"/>
      <c r="J1545" s="10"/>
      <c r="K1545" s="18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</row>
    <row r="1546" ht="14.25" customHeight="1">
      <c r="A1546" s="9"/>
      <c r="B1546" s="8"/>
      <c r="C1546" s="8"/>
      <c r="D1546" s="8"/>
      <c r="E1546" s="8"/>
      <c r="F1546" s="8"/>
      <c r="G1546" s="8"/>
      <c r="H1546" s="8"/>
      <c r="I1546" s="10"/>
      <c r="J1546" s="10"/>
      <c r="K1546" s="18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</row>
    <row r="1547" ht="14.25" customHeight="1">
      <c r="A1547" s="9"/>
      <c r="B1547" s="8"/>
      <c r="C1547" s="8"/>
      <c r="D1547" s="8"/>
      <c r="E1547" s="8"/>
      <c r="F1547" s="8"/>
      <c r="G1547" s="8"/>
      <c r="H1547" s="8"/>
      <c r="I1547" s="10"/>
      <c r="J1547" s="10"/>
      <c r="K1547" s="18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</row>
    <row r="1548" ht="14.25" customHeight="1">
      <c r="A1548" s="9"/>
      <c r="B1548" s="8"/>
      <c r="C1548" s="8"/>
      <c r="D1548" s="8"/>
      <c r="E1548" s="8"/>
      <c r="F1548" s="8"/>
      <c r="G1548" s="8"/>
      <c r="H1548" s="8"/>
      <c r="I1548" s="10"/>
      <c r="J1548" s="10"/>
      <c r="K1548" s="18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</row>
    <row r="1549" ht="14.25" customHeight="1">
      <c r="A1549" s="9"/>
      <c r="B1549" s="8"/>
      <c r="C1549" s="8"/>
      <c r="D1549" s="8"/>
      <c r="E1549" s="8"/>
      <c r="F1549" s="8"/>
      <c r="G1549" s="8"/>
      <c r="H1549" s="8"/>
      <c r="I1549" s="10"/>
      <c r="J1549" s="10"/>
      <c r="K1549" s="18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</row>
    <row r="1550" ht="14.25" customHeight="1">
      <c r="A1550" s="9"/>
      <c r="B1550" s="8"/>
      <c r="C1550" s="8"/>
      <c r="D1550" s="8"/>
      <c r="E1550" s="8"/>
      <c r="F1550" s="8"/>
      <c r="G1550" s="8"/>
      <c r="H1550" s="8"/>
      <c r="I1550" s="10"/>
      <c r="J1550" s="10"/>
      <c r="K1550" s="18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</row>
    <row r="1551" ht="14.25" customHeight="1">
      <c r="A1551" s="9"/>
      <c r="B1551" s="8"/>
      <c r="C1551" s="8"/>
      <c r="D1551" s="8"/>
      <c r="E1551" s="8"/>
      <c r="F1551" s="8"/>
      <c r="G1551" s="8"/>
      <c r="H1551" s="8"/>
      <c r="I1551" s="10"/>
      <c r="J1551" s="10"/>
      <c r="K1551" s="18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</row>
    <row r="1552" ht="14.25" customHeight="1">
      <c r="A1552" s="9"/>
      <c r="B1552" s="8"/>
      <c r="C1552" s="8"/>
      <c r="D1552" s="8"/>
      <c r="E1552" s="8"/>
      <c r="F1552" s="8"/>
      <c r="G1552" s="8"/>
      <c r="H1552" s="8"/>
      <c r="I1552" s="10"/>
      <c r="J1552" s="10"/>
      <c r="K1552" s="18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</row>
    <row r="1553" ht="14.25" customHeight="1">
      <c r="A1553" s="9"/>
      <c r="B1553" s="8"/>
      <c r="C1553" s="8"/>
      <c r="D1553" s="8"/>
      <c r="E1553" s="8"/>
      <c r="F1553" s="8"/>
      <c r="G1553" s="8"/>
      <c r="H1553" s="8"/>
      <c r="I1553" s="10"/>
      <c r="J1553" s="10"/>
      <c r="K1553" s="18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</row>
    <row r="1554" ht="14.25" customHeight="1">
      <c r="A1554" s="9"/>
      <c r="B1554" s="8"/>
      <c r="C1554" s="8"/>
      <c r="D1554" s="8"/>
      <c r="E1554" s="8"/>
      <c r="F1554" s="8"/>
      <c r="G1554" s="8"/>
      <c r="H1554" s="8"/>
      <c r="I1554" s="10"/>
      <c r="J1554" s="10"/>
      <c r="K1554" s="18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</row>
    <row r="1555" ht="14.25" customHeight="1">
      <c r="A1555" s="9"/>
      <c r="B1555" s="8"/>
      <c r="C1555" s="8"/>
      <c r="D1555" s="8"/>
      <c r="E1555" s="8"/>
      <c r="F1555" s="8"/>
      <c r="G1555" s="8"/>
      <c r="H1555" s="8"/>
      <c r="I1555" s="10"/>
      <c r="J1555" s="10"/>
      <c r="K1555" s="18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</row>
    <row r="1556" ht="14.25" customHeight="1">
      <c r="A1556" s="9"/>
      <c r="B1556" s="8"/>
      <c r="C1556" s="8"/>
      <c r="D1556" s="8"/>
      <c r="E1556" s="8"/>
      <c r="F1556" s="8"/>
      <c r="G1556" s="8"/>
      <c r="H1556" s="8"/>
      <c r="I1556" s="10"/>
      <c r="J1556" s="10"/>
      <c r="K1556" s="18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</row>
    <row r="1557" ht="14.25" customHeight="1">
      <c r="A1557" s="9"/>
      <c r="B1557" s="8"/>
      <c r="C1557" s="8"/>
      <c r="D1557" s="8"/>
      <c r="E1557" s="8"/>
      <c r="F1557" s="8"/>
      <c r="G1557" s="8"/>
      <c r="H1557" s="8"/>
      <c r="I1557" s="10"/>
      <c r="J1557" s="10"/>
      <c r="K1557" s="18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</row>
    <row r="1558" ht="14.25" customHeight="1">
      <c r="A1558" s="9"/>
      <c r="B1558" s="8"/>
      <c r="C1558" s="8"/>
      <c r="D1558" s="8"/>
      <c r="E1558" s="8"/>
      <c r="F1558" s="8"/>
      <c r="G1558" s="8"/>
      <c r="H1558" s="8"/>
      <c r="I1558" s="10"/>
      <c r="J1558" s="10"/>
      <c r="K1558" s="18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</row>
    <row r="1559" ht="14.25" customHeight="1">
      <c r="A1559" s="9"/>
      <c r="B1559" s="8"/>
      <c r="C1559" s="8"/>
      <c r="D1559" s="8"/>
      <c r="E1559" s="8"/>
      <c r="F1559" s="8"/>
      <c r="G1559" s="8"/>
      <c r="H1559" s="8"/>
      <c r="I1559" s="10"/>
      <c r="J1559" s="10"/>
      <c r="K1559" s="18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</row>
    <row r="1560" ht="14.25" customHeight="1">
      <c r="A1560" s="9"/>
      <c r="B1560" s="8"/>
      <c r="C1560" s="8"/>
      <c r="D1560" s="8"/>
      <c r="E1560" s="8"/>
      <c r="F1560" s="8"/>
      <c r="G1560" s="8"/>
      <c r="H1560" s="8"/>
      <c r="I1560" s="10"/>
      <c r="J1560" s="10"/>
      <c r="K1560" s="18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</row>
    <row r="1561" ht="14.25" customHeight="1">
      <c r="A1561" s="9"/>
      <c r="B1561" s="8"/>
      <c r="C1561" s="8"/>
      <c r="D1561" s="8"/>
      <c r="E1561" s="8"/>
      <c r="F1561" s="8"/>
      <c r="G1561" s="8"/>
      <c r="H1561" s="8"/>
      <c r="I1561" s="10"/>
      <c r="J1561" s="10"/>
      <c r="K1561" s="18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</row>
    <row r="1562" ht="14.25" customHeight="1">
      <c r="A1562" s="9"/>
      <c r="B1562" s="8"/>
      <c r="C1562" s="8"/>
      <c r="D1562" s="8"/>
      <c r="E1562" s="8"/>
      <c r="F1562" s="8"/>
      <c r="G1562" s="8"/>
      <c r="H1562" s="8"/>
      <c r="I1562" s="10"/>
      <c r="J1562" s="10"/>
      <c r="K1562" s="18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</row>
    <row r="1563" ht="14.25" customHeight="1">
      <c r="A1563" s="9"/>
      <c r="B1563" s="8"/>
      <c r="C1563" s="8"/>
      <c r="D1563" s="8"/>
      <c r="E1563" s="8"/>
      <c r="F1563" s="8"/>
      <c r="G1563" s="8"/>
      <c r="H1563" s="8"/>
      <c r="I1563" s="10"/>
      <c r="J1563" s="10"/>
      <c r="K1563" s="18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</row>
    <row r="1564" ht="14.25" customHeight="1">
      <c r="A1564" s="9"/>
      <c r="B1564" s="8"/>
      <c r="C1564" s="8"/>
      <c r="D1564" s="8"/>
      <c r="E1564" s="8"/>
      <c r="F1564" s="8"/>
      <c r="G1564" s="8"/>
      <c r="H1564" s="8"/>
      <c r="I1564" s="10"/>
      <c r="J1564" s="10"/>
      <c r="K1564" s="18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</row>
    <row r="1565" ht="14.25" customHeight="1">
      <c r="A1565" s="9"/>
      <c r="B1565" s="8"/>
      <c r="C1565" s="8"/>
      <c r="D1565" s="8"/>
      <c r="E1565" s="8"/>
      <c r="F1565" s="8"/>
      <c r="G1565" s="8"/>
      <c r="H1565" s="8"/>
      <c r="I1565" s="10"/>
      <c r="J1565" s="10"/>
      <c r="K1565" s="18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</row>
    <row r="1566" ht="14.25" customHeight="1">
      <c r="A1566" s="9"/>
      <c r="B1566" s="8"/>
      <c r="C1566" s="8"/>
      <c r="D1566" s="8"/>
      <c r="E1566" s="8"/>
      <c r="F1566" s="8"/>
      <c r="G1566" s="8"/>
      <c r="H1566" s="8"/>
      <c r="I1566" s="10"/>
      <c r="J1566" s="10"/>
      <c r="K1566" s="18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</row>
    <row r="1567" ht="14.25" customHeight="1">
      <c r="A1567" s="9"/>
      <c r="B1567" s="8"/>
      <c r="C1567" s="8"/>
      <c r="D1567" s="8"/>
      <c r="E1567" s="8"/>
      <c r="F1567" s="8"/>
      <c r="G1567" s="8"/>
      <c r="H1567" s="8"/>
      <c r="I1567" s="10"/>
      <c r="J1567" s="10"/>
      <c r="K1567" s="18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</row>
    <row r="1568" ht="14.25" customHeight="1">
      <c r="A1568" s="9"/>
      <c r="B1568" s="8"/>
      <c r="C1568" s="8"/>
      <c r="D1568" s="8"/>
      <c r="E1568" s="8"/>
      <c r="F1568" s="8"/>
      <c r="G1568" s="8"/>
      <c r="H1568" s="8"/>
      <c r="I1568" s="10"/>
      <c r="J1568" s="10"/>
      <c r="K1568" s="18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</row>
    <row r="1569" ht="14.25" customHeight="1">
      <c r="A1569" s="9"/>
      <c r="B1569" s="8"/>
      <c r="C1569" s="8"/>
      <c r="D1569" s="8"/>
      <c r="E1569" s="8"/>
      <c r="F1569" s="8"/>
      <c r="G1569" s="8"/>
      <c r="H1569" s="8"/>
      <c r="I1569" s="10"/>
      <c r="J1569" s="10"/>
      <c r="K1569" s="18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</row>
    <row r="1570" ht="14.25" customHeight="1">
      <c r="A1570" s="9"/>
      <c r="B1570" s="8"/>
      <c r="C1570" s="8"/>
      <c r="D1570" s="8"/>
      <c r="E1570" s="8"/>
      <c r="F1570" s="8"/>
      <c r="G1570" s="8"/>
      <c r="H1570" s="8"/>
      <c r="I1570" s="10"/>
      <c r="J1570" s="10"/>
      <c r="K1570" s="18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</row>
    <row r="1571" ht="14.25" customHeight="1">
      <c r="A1571" s="9"/>
      <c r="B1571" s="8"/>
      <c r="C1571" s="8"/>
      <c r="D1571" s="8"/>
      <c r="E1571" s="8"/>
      <c r="F1571" s="8"/>
      <c r="G1571" s="8"/>
      <c r="H1571" s="8"/>
      <c r="I1571" s="10"/>
      <c r="J1571" s="10"/>
      <c r="K1571" s="18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</row>
    <row r="1572" ht="14.25" customHeight="1">
      <c r="A1572" s="9"/>
      <c r="B1572" s="8"/>
      <c r="C1572" s="8"/>
      <c r="D1572" s="8"/>
      <c r="E1572" s="8"/>
      <c r="F1572" s="8"/>
      <c r="G1572" s="8"/>
      <c r="H1572" s="8"/>
      <c r="I1572" s="10"/>
      <c r="J1572" s="10"/>
      <c r="K1572" s="18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</row>
    <row r="1573" ht="14.25" customHeight="1">
      <c r="A1573" s="9"/>
      <c r="B1573" s="8"/>
      <c r="C1573" s="8"/>
      <c r="D1573" s="8"/>
      <c r="E1573" s="8"/>
      <c r="F1573" s="8"/>
      <c r="G1573" s="8"/>
      <c r="H1573" s="8"/>
      <c r="I1573" s="10"/>
      <c r="J1573" s="10"/>
      <c r="K1573" s="18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</row>
    <row r="1574" ht="14.25" customHeight="1">
      <c r="A1574" s="9"/>
      <c r="B1574" s="8"/>
      <c r="C1574" s="8"/>
      <c r="D1574" s="8"/>
      <c r="E1574" s="8"/>
      <c r="F1574" s="8"/>
      <c r="G1574" s="8"/>
      <c r="H1574" s="8"/>
      <c r="I1574" s="10"/>
      <c r="J1574" s="10"/>
      <c r="K1574" s="18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</row>
    <row r="1575" ht="14.25" customHeight="1">
      <c r="A1575" s="9"/>
      <c r="B1575" s="8"/>
      <c r="C1575" s="8"/>
      <c r="D1575" s="8"/>
      <c r="E1575" s="8"/>
      <c r="F1575" s="8"/>
      <c r="G1575" s="8"/>
      <c r="H1575" s="8"/>
      <c r="I1575" s="10"/>
      <c r="J1575" s="10"/>
      <c r="K1575" s="18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</row>
    <row r="1576" ht="14.25" customHeight="1">
      <c r="A1576" s="9"/>
      <c r="B1576" s="8"/>
      <c r="C1576" s="8"/>
      <c r="D1576" s="8"/>
      <c r="E1576" s="8"/>
      <c r="F1576" s="8"/>
      <c r="G1576" s="8"/>
      <c r="H1576" s="8"/>
      <c r="I1576" s="10"/>
      <c r="J1576" s="10"/>
      <c r="K1576" s="18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</row>
    <row r="1577" ht="14.25" customHeight="1">
      <c r="A1577" s="9"/>
      <c r="B1577" s="8"/>
      <c r="C1577" s="8"/>
      <c r="D1577" s="8"/>
      <c r="E1577" s="8"/>
      <c r="F1577" s="8"/>
      <c r="G1577" s="8"/>
      <c r="H1577" s="8"/>
      <c r="I1577" s="10"/>
      <c r="J1577" s="10"/>
      <c r="K1577" s="18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</row>
    <row r="1578" ht="14.25" customHeight="1">
      <c r="A1578" s="9"/>
      <c r="B1578" s="8"/>
      <c r="C1578" s="8"/>
      <c r="D1578" s="8"/>
      <c r="E1578" s="8"/>
      <c r="F1578" s="8"/>
      <c r="G1578" s="8"/>
      <c r="H1578" s="8"/>
      <c r="I1578" s="10"/>
      <c r="J1578" s="10"/>
      <c r="K1578" s="18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</row>
    <row r="1579" ht="14.25" customHeight="1">
      <c r="A1579" s="9"/>
      <c r="B1579" s="8"/>
      <c r="C1579" s="8"/>
      <c r="D1579" s="8"/>
      <c r="E1579" s="8"/>
      <c r="F1579" s="8"/>
      <c r="G1579" s="8"/>
      <c r="H1579" s="8"/>
      <c r="I1579" s="10"/>
      <c r="J1579" s="10"/>
      <c r="K1579" s="18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</row>
    <row r="1580" ht="14.25" customHeight="1">
      <c r="A1580" s="9"/>
      <c r="B1580" s="8"/>
      <c r="C1580" s="8"/>
      <c r="D1580" s="8"/>
      <c r="E1580" s="8"/>
      <c r="F1580" s="8"/>
      <c r="G1580" s="8"/>
      <c r="H1580" s="8"/>
      <c r="I1580" s="10"/>
      <c r="J1580" s="10"/>
      <c r="K1580" s="18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</row>
    <row r="1581" ht="14.25" customHeight="1">
      <c r="A1581" s="9"/>
      <c r="B1581" s="8"/>
      <c r="C1581" s="8"/>
      <c r="D1581" s="8"/>
      <c r="E1581" s="8"/>
      <c r="F1581" s="8"/>
      <c r="G1581" s="8"/>
      <c r="H1581" s="8"/>
      <c r="I1581" s="10"/>
      <c r="J1581" s="10"/>
      <c r="K1581" s="18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</row>
    <row r="1582" ht="14.25" customHeight="1">
      <c r="A1582" s="9"/>
      <c r="B1582" s="8"/>
      <c r="C1582" s="8"/>
      <c r="D1582" s="8"/>
      <c r="E1582" s="8"/>
      <c r="F1582" s="8"/>
      <c r="G1582" s="8"/>
      <c r="H1582" s="8"/>
      <c r="I1582" s="10"/>
      <c r="J1582" s="10"/>
      <c r="K1582" s="18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</row>
    <row r="1583" ht="14.25" customHeight="1">
      <c r="A1583" s="9"/>
      <c r="B1583" s="8"/>
      <c r="C1583" s="8"/>
      <c r="D1583" s="8"/>
      <c r="E1583" s="8"/>
      <c r="F1583" s="8"/>
      <c r="G1583" s="8"/>
      <c r="H1583" s="8"/>
      <c r="I1583" s="10"/>
      <c r="J1583" s="10"/>
      <c r="K1583" s="18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</row>
    <row r="1584" ht="14.25" customHeight="1">
      <c r="A1584" s="9"/>
      <c r="B1584" s="8"/>
      <c r="C1584" s="8"/>
      <c r="D1584" s="8"/>
      <c r="E1584" s="8"/>
      <c r="F1584" s="8"/>
      <c r="G1584" s="8"/>
      <c r="H1584" s="8"/>
      <c r="I1584" s="10"/>
      <c r="J1584" s="10"/>
      <c r="K1584" s="18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</row>
    <row r="1585" ht="14.25" customHeight="1">
      <c r="A1585" s="9"/>
      <c r="B1585" s="8"/>
      <c r="C1585" s="8"/>
      <c r="D1585" s="8"/>
      <c r="E1585" s="8"/>
      <c r="F1585" s="8"/>
      <c r="G1585" s="8"/>
      <c r="H1585" s="8"/>
      <c r="I1585" s="10"/>
      <c r="J1585" s="10"/>
      <c r="K1585" s="18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</row>
    <row r="1586" ht="14.25" customHeight="1">
      <c r="A1586" s="9"/>
      <c r="B1586" s="8"/>
      <c r="C1586" s="8"/>
      <c r="D1586" s="8"/>
      <c r="E1586" s="8"/>
      <c r="F1586" s="8"/>
      <c r="G1586" s="8"/>
      <c r="H1586" s="8"/>
      <c r="I1586" s="10"/>
      <c r="J1586" s="10"/>
      <c r="K1586" s="18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</row>
    <row r="1587" ht="14.25" customHeight="1">
      <c r="A1587" s="9"/>
      <c r="B1587" s="8"/>
      <c r="C1587" s="8"/>
      <c r="D1587" s="8"/>
      <c r="E1587" s="8"/>
      <c r="F1587" s="8"/>
      <c r="G1587" s="8"/>
      <c r="H1587" s="8"/>
      <c r="I1587" s="10"/>
      <c r="J1587" s="10"/>
      <c r="K1587" s="18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</row>
    <row r="1588" ht="14.25" customHeight="1">
      <c r="A1588" s="9"/>
      <c r="B1588" s="8"/>
      <c r="C1588" s="8"/>
      <c r="D1588" s="8"/>
      <c r="E1588" s="8"/>
      <c r="F1588" s="8"/>
      <c r="G1588" s="8"/>
      <c r="H1588" s="8"/>
      <c r="I1588" s="10"/>
      <c r="J1588" s="10"/>
      <c r="K1588" s="18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</row>
    <row r="1589" ht="14.25" customHeight="1">
      <c r="A1589" s="9"/>
      <c r="B1589" s="8"/>
      <c r="C1589" s="8"/>
      <c r="D1589" s="8"/>
      <c r="E1589" s="8"/>
      <c r="F1589" s="8"/>
      <c r="G1589" s="8"/>
      <c r="H1589" s="8"/>
      <c r="I1589" s="10"/>
      <c r="J1589" s="10"/>
      <c r="K1589" s="18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</row>
    <row r="1590" ht="14.25" customHeight="1">
      <c r="A1590" s="9"/>
      <c r="B1590" s="8"/>
      <c r="C1590" s="8"/>
      <c r="D1590" s="8"/>
      <c r="E1590" s="8"/>
      <c r="F1590" s="8"/>
      <c r="G1590" s="8"/>
      <c r="H1590" s="8"/>
      <c r="I1590" s="10"/>
      <c r="J1590" s="10"/>
      <c r="K1590" s="18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</row>
    <row r="1591" ht="14.25" customHeight="1">
      <c r="A1591" s="9"/>
      <c r="B1591" s="8"/>
      <c r="C1591" s="8"/>
      <c r="D1591" s="8"/>
      <c r="E1591" s="8"/>
      <c r="F1591" s="8"/>
      <c r="G1591" s="8"/>
      <c r="H1591" s="8"/>
      <c r="I1591" s="10"/>
      <c r="J1591" s="10"/>
      <c r="K1591" s="18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</row>
    <row r="1592" ht="14.25" customHeight="1">
      <c r="A1592" s="9"/>
      <c r="B1592" s="8"/>
      <c r="C1592" s="8"/>
      <c r="D1592" s="8"/>
      <c r="E1592" s="8"/>
      <c r="F1592" s="8"/>
      <c r="G1592" s="8"/>
      <c r="H1592" s="8"/>
      <c r="I1592" s="10"/>
      <c r="J1592" s="10"/>
      <c r="K1592" s="18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</row>
    <row r="1593" ht="14.25" customHeight="1">
      <c r="A1593" s="9"/>
      <c r="B1593" s="8"/>
      <c r="C1593" s="8"/>
      <c r="D1593" s="8"/>
      <c r="E1593" s="8"/>
      <c r="F1593" s="8"/>
      <c r="G1593" s="8"/>
      <c r="H1593" s="8"/>
      <c r="I1593" s="10"/>
      <c r="J1593" s="10"/>
      <c r="K1593" s="18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</row>
    <row r="1594" ht="14.25" customHeight="1">
      <c r="A1594" s="9"/>
      <c r="B1594" s="8"/>
      <c r="C1594" s="8"/>
      <c r="D1594" s="8"/>
      <c r="E1594" s="8"/>
      <c r="F1594" s="8"/>
      <c r="G1594" s="8"/>
      <c r="H1594" s="8"/>
      <c r="I1594" s="10"/>
      <c r="J1594" s="10"/>
      <c r="K1594" s="18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</row>
    <row r="1595" ht="14.25" customHeight="1">
      <c r="A1595" s="9"/>
      <c r="B1595" s="8"/>
      <c r="C1595" s="8"/>
      <c r="D1595" s="8"/>
      <c r="E1595" s="8"/>
      <c r="F1595" s="8"/>
      <c r="G1595" s="8"/>
      <c r="H1595" s="8"/>
      <c r="I1595" s="10"/>
      <c r="J1595" s="10"/>
      <c r="K1595" s="18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</row>
    <row r="1596" ht="14.25" customHeight="1">
      <c r="A1596" s="9"/>
      <c r="B1596" s="8"/>
      <c r="C1596" s="8"/>
      <c r="D1596" s="8"/>
      <c r="E1596" s="8"/>
      <c r="F1596" s="8"/>
      <c r="G1596" s="8"/>
      <c r="H1596" s="8"/>
      <c r="I1596" s="10"/>
      <c r="J1596" s="10"/>
      <c r="K1596" s="18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</row>
    <row r="1597" ht="14.25" customHeight="1">
      <c r="A1597" s="9"/>
      <c r="B1597" s="8"/>
      <c r="C1597" s="8"/>
      <c r="D1597" s="8"/>
      <c r="E1597" s="8"/>
      <c r="F1597" s="8"/>
      <c r="G1597" s="8"/>
      <c r="H1597" s="8"/>
      <c r="I1597" s="10"/>
      <c r="J1597" s="10"/>
      <c r="K1597" s="18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</row>
    <row r="1598" ht="14.25" customHeight="1">
      <c r="A1598" s="9"/>
      <c r="B1598" s="8"/>
      <c r="C1598" s="8"/>
      <c r="D1598" s="8"/>
      <c r="E1598" s="8"/>
      <c r="F1598" s="8"/>
      <c r="G1598" s="8"/>
      <c r="H1598" s="8"/>
      <c r="I1598" s="10"/>
      <c r="J1598" s="10"/>
      <c r="K1598" s="18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</row>
    <row r="1599" ht="14.25" customHeight="1">
      <c r="A1599" s="9"/>
      <c r="B1599" s="8"/>
      <c r="C1599" s="8"/>
      <c r="D1599" s="8"/>
      <c r="E1599" s="8"/>
      <c r="F1599" s="8"/>
      <c r="G1599" s="8"/>
      <c r="H1599" s="8"/>
      <c r="I1599" s="10"/>
      <c r="J1599" s="10"/>
      <c r="K1599" s="18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</row>
    <row r="1600" ht="14.25" customHeight="1">
      <c r="A1600" s="9"/>
      <c r="B1600" s="8"/>
      <c r="C1600" s="8"/>
      <c r="D1600" s="8"/>
      <c r="E1600" s="8"/>
      <c r="F1600" s="8"/>
      <c r="G1600" s="8"/>
      <c r="H1600" s="8"/>
      <c r="I1600" s="10"/>
      <c r="J1600" s="10"/>
      <c r="K1600" s="18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</row>
    <row r="1601" ht="14.25" customHeight="1">
      <c r="A1601" s="9"/>
      <c r="B1601" s="8"/>
      <c r="C1601" s="8"/>
      <c r="D1601" s="8"/>
      <c r="E1601" s="8"/>
      <c r="F1601" s="8"/>
      <c r="G1601" s="8"/>
      <c r="H1601" s="8"/>
      <c r="I1601" s="10"/>
      <c r="J1601" s="10"/>
      <c r="K1601" s="18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</row>
    <row r="1602" ht="14.25" customHeight="1">
      <c r="A1602" s="9"/>
      <c r="B1602" s="8"/>
      <c r="C1602" s="8"/>
      <c r="D1602" s="8"/>
      <c r="E1602" s="8"/>
      <c r="F1602" s="8"/>
      <c r="G1602" s="8"/>
      <c r="H1602" s="8"/>
      <c r="I1602" s="10"/>
      <c r="J1602" s="10"/>
      <c r="K1602" s="18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</row>
    <row r="1603" ht="14.25" customHeight="1">
      <c r="A1603" s="9"/>
      <c r="B1603" s="8"/>
      <c r="C1603" s="8"/>
      <c r="D1603" s="8"/>
      <c r="E1603" s="8"/>
      <c r="F1603" s="8"/>
      <c r="G1603" s="8"/>
      <c r="H1603" s="8"/>
      <c r="I1603" s="10"/>
      <c r="J1603" s="10"/>
      <c r="K1603" s="18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</row>
    <row r="1604" ht="14.25" customHeight="1">
      <c r="A1604" s="9"/>
      <c r="B1604" s="8"/>
      <c r="C1604" s="8"/>
      <c r="D1604" s="8"/>
      <c r="E1604" s="8"/>
      <c r="F1604" s="8"/>
      <c r="G1604" s="8"/>
      <c r="H1604" s="8"/>
      <c r="I1604" s="10"/>
      <c r="J1604" s="10"/>
      <c r="K1604" s="18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</row>
    <row r="1605" ht="14.25" customHeight="1">
      <c r="A1605" s="9"/>
      <c r="B1605" s="8"/>
      <c r="C1605" s="8"/>
      <c r="D1605" s="8"/>
      <c r="E1605" s="8"/>
      <c r="F1605" s="8"/>
      <c r="G1605" s="8"/>
      <c r="H1605" s="8"/>
      <c r="I1605" s="10"/>
      <c r="J1605" s="10"/>
      <c r="K1605" s="18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</row>
    <row r="1606" ht="14.25" customHeight="1">
      <c r="A1606" s="9"/>
      <c r="B1606" s="8"/>
      <c r="C1606" s="8"/>
      <c r="D1606" s="8"/>
      <c r="E1606" s="8"/>
      <c r="F1606" s="8"/>
      <c r="G1606" s="8"/>
      <c r="H1606" s="8"/>
      <c r="I1606" s="10"/>
      <c r="J1606" s="10"/>
      <c r="K1606" s="18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</row>
    <row r="1607" ht="14.25" customHeight="1">
      <c r="A1607" s="9"/>
      <c r="B1607" s="8"/>
      <c r="C1607" s="8"/>
      <c r="D1607" s="8"/>
      <c r="E1607" s="8"/>
      <c r="F1607" s="8"/>
      <c r="G1607" s="8"/>
      <c r="H1607" s="8"/>
      <c r="I1607" s="10"/>
      <c r="J1607" s="10"/>
      <c r="K1607" s="18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</row>
    <row r="1608" ht="14.25" customHeight="1">
      <c r="A1608" s="9"/>
      <c r="B1608" s="8"/>
      <c r="C1608" s="8"/>
      <c r="D1608" s="8"/>
      <c r="E1608" s="8"/>
      <c r="F1608" s="8"/>
      <c r="G1608" s="8"/>
      <c r="H1608" s="8"/>
      <c r="I1608" s="10"/>
      <c r="J1608" s="10"/>
      <c r="K1608" s="18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</row>
    <row r="1609" ht="14.25" customHeight="1">
      <c r="A1609" s="9"/>
      <c r="B1609" s="8"/>
      <c r="C1609" s="8"/>
      <c r="D1609" s="8"/>
      <c r="E1609" s="8"/>
      <c r="F1609" s="8"/>
      <c r="G1609" s="8"/>
      <c r="H1609" s="8"/>
      <c r="I1609" s="10"/>
      <c r="J1609" s="10"/>
      <c r="K1609" s="18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</row>
    <row r="1610" ht="14.25" customHeight="1">
      <c r="A1610" s="9"/>
      <c r="B1610" s="8"/>
      <c r="C1610" s="8"/>
      <c r="D1610" s="8"/>
      <c r="E1610" s="8"/>
      <c r="F1610" s="8"/>
      <c r="G1610" s="8"/>
      <c r="H1610" s="8"/>
      <c r="I1610" s="10"/>
      <c r="J1610" s="10"/>
      <c r="K1610" s="18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</row>
    <row r="1611" ht="14.25" customHeight="1">
      <c r="A1611" s="9"/>
      <c r="B1611" s="8"/>
      <c r="C1611" s="8"/>
      <c r="D1611" s="8"/>
      <c r="E1611" s="8"/>
      <c r="F1611" s="8"/>
      <c r="G1611" s="8"/>
      <c r="H1611" s="8"/>
      <c r="I1611" s="10"/>
      <c r="J1611" s="10"/>
      <c r="K1611" s="18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</row>
    <row r="1612" ht="14.25" customHeight="1">
      <c r="A1612" s="9"/>
      <c r="B1612" s="8"/>
      <c r="C1612" s="8"/>
      <c r="D1612" s="8"/>
      <c r="E1612" s="8"/>
      <c r="F1612" s="8"/>
      <c r="G1612" s="8"/>
      <c r="H1612" s="8"/>
      <c r="I1612" s="10"/>
      <c r="J1612" s="10"/>
      <c r="K1612" s="18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</row>
    <row r="1613" ht="14.25" customHeight="1">
      <c r="A1613" s="9"/>
      <c r="B1613" s="8"/>
      <c r="C1613" s="8"/>
      <c r="D1613" s="8"/>
      <c r="E1613" s="8"/>
      <c r="F1613" s="8"/>
      <c r="G1613" s="8"/>
      <c r="H1613" s="8"/>
      <c r="I1613" s="10"/>
      <c r="J1613" s="10"/>
      <c r="K1613" s="18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</row>
    <row r="1614" ht="14.25" customHeight="1">
      <c r="A1614" s="9"/>
      <c r="B1614" s="8"/>
      <c r="C1614" s="8"/>
      <c r="D1614" s="8"/>
      <c r="E1614" s="8"/>
      <c r="F1614" s="8"/>
      <c r="G1614" s="8"/>
      <c r="H1614" s="8"/>
      <c r="I1614" s="10"/>
      <c r="J1614" s="10"/>
      <c r="K1614" s="18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</row>
    <row r="1615" ht="14.25" customHeight="1">
      <c r="A1615" s="9"/>
      <c r="B1615" s="8"/>
      <c r="C1615" s="8"/>
      <c r="D1615" s="8"/>
      <c r="E1615" s="8"/>
      <c r="F1615" s="8"/>
      <c r="G1615" s="8"/>
      <c r="H1615" s="8"/>
      <c r="I1615" s="10"/>
      <c r="J1615" s="10"/>
      <c r="K1615" s="18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</row>
    <row r="1616" ht="14.25" customHeight="1">
      <c r="A1616" s="9"/>
      <c r="B1616" s="8"/>
      <c r="C1616" s="8"/>
      <c r="D1616" s="8"/>
      <c r="E1616" s="8"/>
      <c r="F1616" s="8"/>
      <c r="G1616" s="8"/>
      <c r="H1616" s="8"/>
      <c r="I1616" s="10"/>
      <c r="J1616" s="10"/>
      <c r="K1616" s="18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</row>
    <row r="1617" ht="14.25" customHeight="1">
      <c r="A1617" s="9"/>
      <c r="B1617" s="8"/>
      <c r="C1617" s="8"/>
      <c r="D1617" s="8"/>
      <c r="E1617" s="8"/>
      <c r="F1617" s="8"/>
      <c r="G1617" s="8"/>
      <c r="H1617" s="8"/>
      <c r="I1617" s="10"/>
      <c r="J1617" s="10"/>
      <c r="K1617" s="18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</row>
    <row r="1618" ht="14.25" customHeight="1">
      <c r="A1618" s="9"/>
      <c r="B1618" s="8"/>
      <c r="C1618" s="8"/>
      <c r="D1618" s="8"/>
      <c r="E1618" s="8"/>
      <c r="F1618" s="8"/>
      <c r="G1618" s="8"/>
      <c r="H1618" s="8"/>
      <c r="I1618" s="10"/>
      <c r="J1618" s="10"/>
      <c r="K1618" s="18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</row>
    <row r="1619" ht="14.25" customHeight="1">
      <c r="A1619" s="9"/>
      <c r="B1619" s="8"/>
      <c r="C1619" s="8"/>
      <c r="D1619" s="8"/>
      <c r="E1619" s="8"/>
      <c r="F1619" s="8"/>
      <c r="G1619" s="8"/>
      <c r="H1619" s="8"/>
      <c r="I1619" s="10"/>
      <c r="J1619" s="10"/>
      <c r="K1619" s="18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</row>
    <row r="1620" ht="14.25" customHeight="1">
      <c r="A1620" s="9"/>
      <c r="B1620" s="8"/>
      <c r="C1620" s="8"/>
      <c r="D1620" s="8"/>
      <c r="E1620" s="8"/>
      <c r="F1620" s="8"/>
      <c r="G1620" s="8"/>
      <c r="H1620" s="8"/>
      <c r="I1620" s="10"/>
      <c r="J1620" s="10"/>
      <c r="K1620" s="18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</row>
    <row r="1621" ht="14.25" customHeight="1">
      <c r="A1621" s="9"/>
      <c r="B1621" s="8"/>
      <c r="C1621" s="8"/>
      <c r="D1621" s="8"/>
      <c r="E1621" s="8"/>
      <c r="F1621" s="8"/>
      <c r="G1621" s="8"/>
      <c r="H1621" s="8"/>
      <c r="I1621" s="10"/>
      <c r="J1621" s="10"/>
      <c r="K1621" s="18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</row>
    <row r="1622" ht="14.25" customHeight="1">
      <c r="A1622" s="9"/>
      <c r="B1622" s="8"/>
      <c r="C1622" s="8"/>
      <c r="D1622" s="8"/>
      <c r="E1622" s="8"/>
      <c r="F1622" s="8"/>
      <c r="G1622" s="8"/>
      <c r="H1622" s="8"/>
      <c r="I1622" s="10"/>
      <c r="J1622" s="10"/>
      <c r="K1622" s="18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</row>
    <row r="1623" ht="14.25" customHeight="1">
      <c r="A1623" s="9"/>
      <c r="B1623" s="8"/>
      <c r="C1623" s="8"/>
      <c r="D1623" s="8"/>
      <c r="E1623" s="8"/>
      <c r="F1623" s="8"/>
      <c r="G1623" s="8"/>
      <c r="H1623" s="8"/>
      <c r="I1623" s="10"/>
      <c r="J1623" s="10"/>
      <c r="K1623" s="18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</row>
    <row r="1624" ht="14.25" customHeight="1">
      <c r="A1624" s="9"/>
      <c r="B1624" s="8"/>
      <c r="C1624" s="8"/>
      <c r="D1624" s="8"/>
      <c r="E1624" s="8"/>
      <c r="F1624" s="8"/>
      <c r="G1624" s="8"/>
      <c r="H1624" s="8"/>
      <c r="I1624" s="10"/>
      <c r="J1624" s="10"/>
      <c r="K1624" s="18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</row>
    <row r="1625" ht="14.25" customHeight="1">
      <c r="A1625" s="9"/>
      <c r="B1625" s="8"/>
      <c r="C1625" s="8"/>
      <c r="D1625" s="8"/>
      <c r="E1625" s="8"/>
      <c r="F1625" s="8"/>
      <c r="G1625" s="8"/>
      <c r="H1625" s="8"/>
      <c r="I1625" s="10"/>
      <c r="J1625" s="10"/>
      <c r="K1625" s="18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</row>
    <row r="1626" ht="14.25" customHeight="1">
      <c r="A1626" s="9"/>
      <c r="B1626" s="8"/>
      <c r="C1626" s="8"/>
      <c r="D1626" s="8"/>
      <c r="E1626" s="8"/>
      <c r="F1626" s="8"/>
      <c r="G1626" s="8"/>
      <c r="H1626" s="8"/>
      <c r="I1626" s="10"/>
      <c r="J1626" s="10"/>
      <c r="K1626" s="18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</row>
    <row r="1627" ht="14.25" customHeight="1">
      <c r="A1627" s="9"/>
      <c r="B1627" s="8"/>
      <c r="C1627" s="8"/>
      <c r="D1627" s="8"/>
      <c r="E1627" s="8"/>
      <c r="F1627" s="8"/>
      <c r="G1627" s="8"/>
      <c r="H1627" s="8"/>
      <c r="I1627" s="10"/>
      <c r="J1627" s="10"/>
      <c r="K1627" s="18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</row>
    <row r="1628" ht="14.25" customHeight="1">
      <c r="A1628" s="9"/>
      <c r="B1628" s="8"/>
      <c r="C1628" s="8"/>
      <c r="D1628" s="8"/>
      <c r="E1628" s="8"/>
      <c r="F1628" s="8"/>
      <c r="G1628" s="8"/>
      <c r="H1628" s="8"/>
      <c r="I1628" s="10"/>
      <c r="J1628" s="10"/>
      <c r="K1628" s="18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</row>
    <row r="1629" ht="14.25" customHeight="1">
      <c r="A1629" s="9"/>
      <c r="B1629" s="8"/>
      <c r="C1629" s="8"/>
      <c r="D1629" s="8"/>
      <c r="E1629" s="8"/>
      <c r="F1629" s="8"/>
      <c r="G1629" s="8"/>
      <c r="H1629" s="8"/>
      <c r="I1629" s="10"/>
      <c r="J1629" s="10"/>
      <c r="K1629" s="18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</row>
    <row r="1630" ht="14.25" customHeight="1">
      <c r="A1630" s="9"/>
      <c r="B1630" s="8"/>
      <c r="C1630" s="8"/>
      <c r="D1630" s="8"/>
      <c r="E1630" s="8"/>
      <c r="F1630" s="8"/>
      <c r="G1630" s="8"/>
      <c r="H1630" s="8"/>
      <c r="I1630" s="10"/>
      <c r="J1630" s="10"/>
      <c r="K1630" s="18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</row>
    <row r="1631" ht="14.25" customHeight="1">
      <c r="A1631" s="9"/>
      <c r="B1631" s="8"/>
      <c r="C1631" s="8"/>
      <c r="D1631" s="8"/>
      <c r="E1631" s="8"/>
      <c r="F1631" s="8"/>
      <c r="G1631" s="8"/>
      <c r="H1631" s="8"/>
      <c r="I1631" s="10"/>
      <c r="J1631" s="10"/>
      <c r="K1631" s="18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</row>
    <row r="1632" ht="14.25" customHeight="1">
      <c r="A1632" s="9"/>
      <c r="B1632" s="8"/>
      <c r="C1632" s="8"/>
      <c r="D1632" s="8"/>
      <c r="E1632" s="8"/>
      <c r="F1632" s="8"/>
      <c r="G1632" s="8"/>
      <c r="H1632" s="8"/>
      <c r="I1632" s="10"/>
      <c r="J1632" s="10"/>
      <c r="K1632" s="18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</row>
    <row r="1633" ht="14.25" customHeight="1">
      <c r="A1633" s="9"/>
      <c r="B1633" s="8"/>
      <c r="C1633" s="8"/>
      <c r="D1633" s="8"/>
      <c r="E1633" s="8"/>
      <c r="F1633" s="8"/>
      <c r="G1633" s="8"/>
      <c r="H1633" s="8"/>
      <c r="I1633" s="10"/>
      <c r="J1633" s="10"/>
      <c r="K1633" s="18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</row>
    <row r="1634" ht="14.25" customHeight="1">
      <c r="A1634" s="9"/>
      <c r="B1634" s="8"/>
      <c r="C1634" s="8"/>
      <c r="D1634" s="8"/>
      <c r="E1634" s="8"/>
      <c r="F1634" s="8"/>
      <c r="G1634" s="8"/>
      <c r="H1634" s="8"/>
      <c r="I1634" s="10"/>
      <c r="J1634" s="10"/>
      <c r="K1634" s="18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</row>
    <row r="1635" ht="14.25" customHeight="1">
      <c r="A1635" s="9"/>
      <c r="B1635" s="8"/>
      <c r="C1635" s="8"/>
      <c r="D1635" s="8"/>
      <c r="E1635" s="8"/>
      <c r="F1635" s="8"/>
      <c r="G1635" s="8"/>
      <c r="H1635" s="8"/>
      <c r="I1635" s="10"/>
      <c r="J1635" s="10"/>
      <c r="K1635" s="18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</row>
    <row r="1636" ht="14.25" customHeight="1">
      <c r="A1636" s="9"/>
      <c r="B1636" s="8"/>
      <c r="C1636" s="8"/>
      <c r="D1636" s="8"/>
      <c r="E1636" s="8"/>
      <c r="F1636" s="8"/>
      <c r="G1636" s="8"/>
      <c r="H1636" s="8"/>
      <c r="I1636" s="10"/>
      <c r="J1636" s="10"/>
      <c r="K1636" s="18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</row>
    <row r="1637" ht="14.25" customHeight="1">
      <c r="A1637" s="9"/>
      <c r="B1637" s="8"/>
      <c r="C1637" s="8"/>
      <c r="D1637" s="8"/>
      <c r="E1637" s="8"/>
      <c r="F1637" s="8"/>
      <c r="G1637" s="8"/>
      <c r="H1637" s="8"/>
      <c r="I1637" s="10"/>
      <c r="J1637" s="10"/>
      <c r="K1637" s="18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</row>
    <row r="1638" ht="14.25" customHeight="1">
      <c r="A1638" s="9"/>
      <c r="B1638" s="8"/>
      <c r="C1638" s="8"/>
      <c r="D1638" s="8"/>
      <c r="E1638" s="8"/>
      <c r="F1638" s="8"/>
      <c r="G1638" s="8"/>
      <c r="H1638" s="8"/>
      <c r="I1638" s="10"/>
      <c r="J1638" s="10"/>
      <c r="K1638" s="18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</row>
    <row r="1639" ht="14.25" customHeight="1">
      <c r="A1639" s="9"/>
      <c r="B1639" s="8"/>
      <c r="C1639" s="8"/>
      <c r="D1639" s="8"/>
      <c r="E1639" s="8"/>
      <c r="F1639" s="8"/>
      <c r="G1639" s="8"/>
      <c r="H1639" s="8"/>
      <c r="I1639" s="10"/>
      <c r="J1639" s="10"/>
      <c r="K1639" s="18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</row>
    <row r="1640" ht="14.25" customHeight="1">
      <c r="A1640" s="9"/>
      <c r="B1640" s="8"/>
      <c r="C1640" s="8"/>
      <c r="D1640" s="8"/>
      <c r="E1640" s="8"/>
      <c r="F1640" s="8"/>
      <c r="G1640" s="8"/>
      <c r="H1640" s="8"/>
      <c r="I1640" s="10"/>
      <c r="J1640" s="10"/>
      <c r="K1640" s="18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</row>
    <row r="1641" ht="14.25" customHeight="1">
      <c r="A1641" s="9"/>
      <c r="B1641" s="8"/>
      <c r="C1641" s="8"/>
      <c r="D1641" s="8"/>
      <c r="E1641" s="8"/>
      <c r="F1641" s="8"/>
      <c r="G1641" s="8"/>
      <c r="H1641" s="8"/>
      <c r="I1641" s="10"/>
      <c r="J1641" s="10"/>
      <c r="K1641" s="18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</row>
    <row r="1642" ht="14.25" customHeight="1">
      <c r="A1642" s="9"/>
      <c r="B1642" s="8"/>
      <c r="C1642" s="8"/>
      <c r="D1642" s="8"/>
      <c r="E1642" s="8"/>
      <c r="F1642" s="8"/>
      <c r="G1642" s="8"/>
      <c r="H1642" s="8"/>
      <c r="I1642" s="10"/>
      <c r="J1642" s="10"/>
      <c r="K1642" s="18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</row>
    <row r="1643" ht="14.25" customHeight="1">
      <c r="A1643" s="9"/>
      <c r="B1643" s="8"/>
      <c r="C1643" s="8"/>
      <c r="D1643" s="8"/>
      <c r="E1643" s="8"/>
      <c r="F1643" s="8"/>
      <c r="G1643" s="8"/>
      <c r="H1643" s="8"/>
      <c r="I1643" s="10"/>
      <c r="J1643" s="10"/>
      <c r="K1643" s="18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</row>
    <row r="1644" ht="14.25" customHeight="1">
      <c r="A1644" s="9"/>
      <c r="B1644" s="8"/>
      <c r="C1644" s="8"/>
      <c r="D1644" s="8"/>
      <c r="E1644" s="8"/>
      <c r="F1644" s="8"/>
      <c r="G1644" s="8"/>
      <c r="H1644" s="8"/>
      <c r="I1644" s="10"/>
      <c r="J1644" s="10"/>
      <c r="K1644" s="18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</row>
    <row r="1645" ht="14.25" customHeight="1">
      <c r="A1645" s="9"/>
      <c r="B1645" s="8"/>
      <c r="C1645" s="8"/>
      <c r="D1645" s="8"/>
      <c r="E1645" s="8"/>
      <c r="F1645" s="8"/>
      <c r="G1645" s="8"/>
      <c r="H1645" s="8"/>
      <c r="I1645" s="10"/>
      <c r="J1645" s="10"/>
      <c r="K1645" s="18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</row>
    <row r="1646" ht="14.25" customHeight="1">
      <c r="A1646" s="9"/>
      <c r="B1646" s="8"/>
      <c r="C1646" s="8"/>
      <c r="D1646" s="8"/>
      <c r="E1646" s="8"/>
      <c r="F1646" s="8"/>
      <c r="G1646" s="8"/>
      <c r="H1646" s="8"/>
      <c r="I1646" s="10"/>
      <c r="J1646" s="10"/>
      <c r="K1646" s="18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</row>
    <row r="1647" ht="14.25" customHeight="1">
      <c r="A1647" s="9"/>
      <c r="B1647" s="8"/>
      <c r="C1647" s="8"/>
      <c r="D1647" s="8"/>
      <c r="E1647" s="8"/>
      <c r="F1647" s="8"/>
      <c r="G1647" s="8"/>
      <c r="H1647" s="8"/>
      <c r="I1647" s="10"/>
      <c r="J1647" s="10"/>
      <c r="K1647" s="18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</row>
    <row r="1648" ht="14.25" customHeight="1">
      <c r="A1648" s="9"/>
      <c r="B1648" s="8"/>
      <c r="C1648" s="8"/>
      <c r="D1648" s="8"/>
      <c r="E1648" s="8"/>
      <c r="F1648" s="8"/>
      <c r="G1648" s="8"/>
      <c r="H1648" s="8"/>
      <c r="I1648" s="10"/>
      <c r="J1648" s="10"/>
      <c r="K1648" s="18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</row>
    <row r="1649" ht="14.25" customHeight="1">
      <c r="A1649" s="9"/>
      <c r="B1649" s="8"/>
      <c r="C1649" s="8"/>
      <c r="D1649" s="8"/>
      <c r="E1649" s="8"/>
      <c r="F1649" s="8"/>
      <c r="G1649" s="8"/>
      <c r="H1649" s="8"/>
      <c r="I1649" s="10"/>
      <c r="J1649" s="10"/>
      <c r="K1649" s="18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</row>
    <row r="1650" ht="14.25" customHeight="1">
      <c r="A1650" s="9"/>
      <c r="B1650" s="8"/>
      <c r="C1650" s="8"/>
      <c r="D1650" s="8"/>
      <c r="E1650" s="8"/>
      <c r="F1650" s="8"/>
      <c r="G1650" s="8"/>
      <c r="H1650" s="8"/>
      <c r="I1650" s="10"/>
      <c r="J1650" s="10"/>
      <c r="K1650" s="18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</row>
    <row r="1651" ht="14.25" customHeight="1">
      <c r="A1651" s="9"/>
      <c r="B1651" s="8"/>
      <c r="C1651" s="8"/>
      <c r="D1651" s="8"/>
      <c r="E1651" s="8"/>
      <c r="F1651" s="8"/>
      <c r="G1651" s="8"/>
      <c r="H1651" s="8"/>
      <c r="I1651" s="10"/>
      <c r="J1651" s="10"/>
      <c r="K1651" s="18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</row>
    <row r="1652" ht="14.25" customHeight="1">
      <c r="A1652" s="9"/>
      <c r="B1652" s="8"/>
      <c r="C1652" s="8"/>
      <c r="D1652" s="8"/>
      <c r="E1652" s="8"/>
      <c r="F1652" s="8"/>
      <c r="G1652" s="8"/>
      <c r="H1652" s="8"/>
      <c r="I1652" s="10"/>
      <c r="J1652" s="10"/>
      <c r="K1652" s="18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</row>
    <row r="1653" ht="14.25" customHeight="1">
      <c r="A1653" s="9"/>
      <c r="B1653" s="8"/>
      <c r="C1653" s="8"/>
      <c r="D1653" s="8"/>
      <c r="E1653" s="8"/>
      <c r="F1653" s="8"/>
      <c r="G1653" s="8"/>
      <c r="H1653" s="8"/>
      <c r="I1653" s="10"/>
      <c r="J1653" s="10"/>
      <c r="K1653" s="18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</row>
    <row r="1654" ht="14.25" customHeight="1">
      <c r="A1654" s="9"/>
      <c r="B1654" s="8"/>
      <c r="C1654" s="8"/>
      <c r="D1654" s="8"/>
      <c r="E1654" s="8"/>
      <c r="F1654" s="8"/>
      <c r="G1654" s="8"/>
      <c r="H1654" s="8"/>
      <c r="I1654" s="10"/>
      <c r="J1654" s="10"/>
      <c r="K1654" s="18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</row>
    <row r="1655" ht="14.25" customHeight="1">
      <c r="A1655" s="9"/>
      <c r="B1655" s="8"/>
      <c r="C1655" s="8"/>
      <c r="D1655" s="8"/>
      <c r="E1655" s="8"/>
      <c r="F1655" s="8"/>
      <c r="G1655" s="8"/>
      <c r="H1655" s="8"/>
      <c r="I1655" s="10"/>
      <c r="J1655" s="10"/>
      <c r="K1655" s="18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</row>
    <row r="1656" ht="14.25" customHeight="1">
      <c r="A1656" s="9"/>
      <c r="B1656" s="8"/>
      <c r="C1656" s="8"/>
      <c r="D1656" s="8"/>
      <c r="E1656" s="8"/>
      <c r="F1656" s="8"/>
      <c r="G1656" s="8"/>
      <c r="H1656" s="8"/>
      <c r="I1656" s="10"/>
      <c r="J1656" s="10"/>
      <c r="K1656" s="18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</row>
    <row r="1657" ht="14.25" customHeight="1">
      <c r="A1657" s="9"/>
      <c r="B1657" s="8"/>
      <c r="C1657" s="8"/>
      <c r="D1657" s="8"/>
      <c r="E1657" s="8"/>
      <c r="F1657" s="8"/>
      <c r="G1657" s="8"/>
      <c r="H1657" s="8"/>
      <c r="I1657" s="10"/>
      <c r="J1657" s="10"/>
      <c r="K1657" s="18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</row>
    <row r="1658" ht="14.25" customHeight="1">
      <c r="A1658" s="9"/>
      <c r="B1658" s="8"/>
      <c r="C1658" s="8"/>
      <c r="D1658" s="8"/>
      <c r="E1658" s="8"/>
      <c r="F1658" s="8"/>
      <c r="G1658" s="8"/>
      <c r="H1658" s="8"/>
      <c r="I1658" s="10"/>
      <c r="J1658" s="10"/>
      <c r="K1658" s="18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</row>
    <row r="1659" ht="14.25" customHeight="1">
      <c r="A1659" s="9"/>
      <c r="B1659" s="8"/>
      <c r="C1659" s="8"/>
      <c r="D1659" s="8"/>
      <c r="E1659" s="8"/>
      <c r="F1659" s="8"/>
      <c r="G1659" s="8"/>
      <c r="H1659" s="8"/>
      <c r="I1659" s="10"/>
      <c r="J1659" s="10"/>
      <c r="K1659" s="18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</row>
    <row r="1660" ht="14.25" customHeight="1">
      <c r="A1660" s="9"/>
      <c r="B1660" s="8"/>
      <c r="C1660" s="8"/>
      <c r="D1660" s="8"/>
      <c r="E1660" s="8"/>
      <c r="F1660" s="8"/>
      <c r="G1660" s="8"/>
      <c r="H1660" s="8"/>
      <c r="I1660" s="10"/>
      <c r="J1660" s="10"/>
      <c r="K1660" s="18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</row>
    <row r="1661" ht="14.25" customHeight="1">
      <c r="A1661" s="9"/>
      <c r="B1661" s="8"/>
      <c r="C1661" s="8"/>
      <c r="D1661" s="8"/>
      <c r="E1661" s="8"/>
      <c r="F1661" s="8"/>
      <c r="G1661" s="8"/>
      <c r="H1661" s="8"/>
      <c r="I1661" s="10"/>
      <c r="J1661" s="10"/>
      <c r="K1661" s="18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</row>
    <row r="1662" ht="14.25" customHeight="1">
      <c r="A1662" s="9"/>
      <c r="B1662" s="8"/>
      <c r="C1662" s="8"/>
      <c r="D1662" s="8"/>
      <c r="E1662" s="8"/>
      <c r="F1662" s="8"/>
      <c r="G1662" s="8"/>
      <c r="H1662" s="8"/>
      <c r="I1662" s="10"/>
      <c r="J1662" s="10"/>
      <c r="K1662" s="18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</row>
    <row r="1663" ht="14.25" customHeight="1">
      <c r="A1663" s="9"/>
      <c r="B1663" s="8"/>
      <c r="C1663" s="8"/>
      <c r="D1663" s="8"/>
      <c r="E1663" s="8"/>
      <c r="F1663" s="8"/>
      <c r="G1663" s="8"/>
      <c r="H1663" s="8"/>
      <c r="I1663" s="10"/>
      <c r="J1663" s="10"/>
      <c r="K1663" s="18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</row>
    <row r="1664" ht="14.25" customHeight="1">
      <c r="A1664" s="9"/>
      <c r="B1664" s="8"/>
      <c r="C1664" s="8"/>
      <c r="D1664" s="8"/>
      <c r="E1664" s="8"/>
      <c r="F1664" s="8"/>
      <c r="G1664" s="8"/>
      <c r="H1664" s="8"/>
      <c r="I1664" s="10"/>
      <c r="J1664" s="10"/>
      <c r="K1664" s="18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</row>
    <row r="1665" ht="14.25" customHeight="1">
      <c r="A1665" s="9"/>
      <c r="B1665" s="8"/>
      <c r="C1665" s="8"/>
      <c r="D1665" s="8"/>
      <c r="E1665" s="8"/>
      <c r="F1665" s="8"/>
      <c r="G1665" s="8"/>
      <c r="H1665" s="8"/>
      <c r="I1665" s="10"/>
      <c r="J1665" s="10"/>
      <c r="K1665" s="18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</row>
    <row r="1666" ht="14.25" customHeight="1">
      <c r="A1666" s="9"/>
      <c r="B1666" s="8"/>
      <c r="C1666" s="8"/>
      <c r="D1666" s="8"/>
      <c r="E1666" s="8"/>
      <c r="F1666" s="8"/>
      <c r="G1666" s="8"/>
      <c r="H1666" s="8"/>
      <c r="I1666" s="10"/>
      <c r="J1666" s="10"/>
      <c r="K1666" s="18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</row>
    <row r="1667" ht="14.25" customHeight="1">
      <c r="A1667" s="9"/>
      <c r="B1667" s="8"/>
      <c r="C1667" s="8"/>
      <c r="D1667" s="8"/>
      <c r="E1667" s="8"/>
      <c r="F1667" s="8"/>
      <c r="G1667" s="8"/>
      <c r="H1667" s="8"/>
      <c r="I1667" s="10"/>
      <c r="J1667" s="10"/>
      <c r="K1667" s="18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</row>
    <row r="1668" ht="14.25" customHeight="1">
      <c r="A1668" s="9"/>
      <c r="B1668" s="8"/>
      <c r="C1668" s="8"/>
      <c r="D1668" s="8"/>
      <c r="E1668" s="8"/>
      <c r="F1668" s="8"/>
      <c r="G1668" s="8"/>
      <c r="H1668" s="8"/>
      <c r="I1668" s="10"/>
      <c r="J1668" s="10"/>
      <c r="K1668" s="18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</row>
    <row r="1669" ht="14.25" customHeight="1">
      <c r="A1669" s="9"/>
      <c r="B1669" s="8"/>
      <c r="C1669" s="8"/>
      <c r="D1669" s="8"/>
      <c r="E1669" s="8"/>
      <c r="F1669" s="8"/>
      <c r="G1669" s="8"/>
      <c r="H1669" s="8"/>
      <c r="I1669" s="10"/>
      <c r="J1669" s="10"/>
      <c r="K1669" s="18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</row>
    <row r="1670" ht="14.25" customHeight="1">
      <c r="A1670" s="9"/>
      <c r="B1670" s="8"/>
      <c r="C1670" s="8"/>
      <c r="D1670" s="8"/>
      <c r="E1670" s="8"/>
      <c r="F1670" s="8"/>
      <c r="G1670" s="8"/>
      <c r="H1670" s="8"/>
      <c r="I1670" s="10"/>
      <c r="J1670" s="10"/>
      <c r="K1670" s="18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</row>
    <row r="1671" ht="14.25" customHeight="1">
      <c r="A1671" s="9"/>
      <c r="B1671" s="8"/>
      <c r="C1671" s="8"/>
      <c r="D1671" s="8"/>
      <c r="E1671" s="8"/>
      <c r="F1671" s="8"/>
      <c r="G1671" s="8"/>
      <c r="H1671" s="8"/>
      <c r="I1671" s="10"/>
      <c r="J1671" s="10"/>
      <c r="K1671" s="18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</row>
    <row r="1672" ht="14.25" customHeight="1">
      <c r="A1672" s="9"/>
      <c r="B1672" s="8"/>
      <c r="C1672" s="8"/>
      <c r="D1672" s="8"/>
      <c r="E1672" s="8"/>
      <c r="F1672" s="8"/>
      <c r="G1672" s="8"/>
      <c r="H1672" s="8"/>
      <c r="I1672" s="10"/>
      <c r="J1672" s="10"/>
      <c r="K1672" s="18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</row>
    <row r="1673" ht="14.25" customHeight="1">
      <c r="A1673" s="9"/>
      <c r="B1673" s="8"/>
      <c r="C1673" s="8"/>
      <c r="D1673" s="8"/>
      <c r="E1673" s="8"/>
      <c r="F1673" s="8"/>
      <c r="G1673" s="8"/>
      <c r="H1673" s="8"/>
      <c r="I1673" s="10"/>
      <c r="J1673" s="10"/>
      <c r="K1673" s="18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</row>
    <row r="1674" ht="14.25" customHeight="1">
      <c r="A1674" s="9"/>
      <c r="B1674" s="8"/>
      <c r="C1674" s="8"/>
      <c r="D1674" s="8"/>
      <c r="E1674" s="8"/>
      <c r="F1674" s="8"/>
      <c r="G1674" s="8"/>
      <c r="H1674" s="8"/>
      <c r="I1674" s="10"/>
      <c r="J1674" s="10"/>
      <c r="K1674" s="18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</row>
    <row r="1675" ht="14.25" customHeight="1">
      <c r="A1675" s="9"/>
      <c r="B1675" s="8"/>
      <c r="C1675" s="8"/>
      <c r="D1675" s="8"/>
      <c r="E1675" s="8"/>
      <c r="F1675" s="8"/>
      <c r="G1675" s="8"/>
      <c r="H1675" s="8"/>
      <c r="I1675" s="10"/>
      <c r="J1675" s="10"/>
      <c r="K1675" s="18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</row>
    <row r="1676" ht="14.25" customHeight="1">
      <c r="A1676" s="9"/>
      <c r="B1676" s="8"/>
      <c r="C1676" s="8"/>
      <c r="D1676" s="8"/>
      <c r="E1676" s="8"/>
      <c r="F1676" s="8"/>
      <c r="G1676" s="8"/>
      <c r="H1676" s="8"/>
      <c r="I1676" s="10"/>
      <c r="J1676" s="10"/>
      <c r="K1676" s="18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</row>
    <row r="1677" ht="14.25" customHeight="1">
      <c r="A1677" s="9"/>
      <c r="B1677" s="8"/>
      <c r="C1677" s="8"/>
      <c r="D1677" s="8"/>
      <c r="E1677" s="8"/>
      <c r="F1677" s="8"/>
      <c r="G1677" s="8"/>
      <c r="H1677" s="8"/>
      <c r="I1677" s="10"/>
      <c r="J1677" s="10"/>
      <c r="K1677" s="18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</row>
    <row r="1678" ht="14.25" customHeight="1">
      <c r="A1678" s="9"/>
      <c r="B1678" s="8"/>
      <c r="C1678" s="8"/>
      <c r="D1678" s="8"/>
      <c r="E1678" s="8"/>
      <c r="F1678" s="8"/>
      <c r="G1678" s="8"/>
      <c r="H1678" s="8"/>
      <c r="I1678" s="10"/>
      <c r="J1678" s="10"/>
      <c r="K1678" s="18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</row>
    <row r="1679" ht="14.25" customHeight="1">
      <c r="A1679" s="9"/>
      <c r="B1679" s="8"/>
      <c r="C1679" s="8"/>
      <c r="D1679" s="8"/>
      <c r="E1679" s="8"/>
      <c r="F1679" s="8"/>
      <c r="G1679" s="8"/>
      <c r="H1679" s="8"/>
      <c r="I1679" s="10"/>
      <c r="J1679" s="10"/>
      <c r="K1679" s="18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</row>
    <row r="1680" ht="14.25" customHeight="1">
      <c r="A1680" s="9"/>
      <c r="B1680" s="8"/>
      <c r="C1680" s="8"/>
      <c r="D1680" s="8"/>
      <c r="E1680" s="8"/>
      <c r="F1680" s="8"/>
      <c r="G1680" s="8"/>
      <c r="H1680" s="8"/>
      <c r="I1680" s="10"/>
      <c r="J1680" s="10"/>
      <c r="K1680" s="18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</row>
    <row r="1681" ht="14.25" customHeight="1">
      <c r="A1681" s="9"/>
      <c r="B1681" s="8"/>
      <c r="C1681" s="8"/>
      <c r="D1681" s="8"/>
      <c r="E1681" s="8"/>
      <c r="F1681" s="8"/>
      <c r="G1681" s="8"/>
      <c r="H1681" s="8"/>
      <c r="I1681" s="10"/>
      <c r="J1681" s="10"/>
      <c r="K1681" s="18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</row>
    <row r="1682" ht="14.25" customHeight="1">
      <c r="A1682" s="9"/>
      <c r="B1682" s="8"/>
      <c r="C1682" s="8"/>
      <c r="D1682" s="8"/>
      <c r="E1682" s="8"/>
      <c r="F1682" s="8"/>
      <c r="G1682" s="8"/>
      <c r="H1682" s="8"/>
      <c r="I1682" s="10"/>
      <c r="J1682" s="10"/>
      <c r="K1682" s="18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</row>
    <row r="1683" ht="14.25" customHeight="1">
      <c r="A1683" s="9"/>
      <c r="B1683" s="8"/>
      <c r="C1683" s="8"/>
      <c r="D1683" s="8"/>
      <c r="E1683" s="8"/>
      <c r="F1683" s="8"/>
      <c r="G1683" s="8"/>
      <c r="H1683" s="8"/>
      <c r="I1683" s="10"/>
      <c r="J1683" s="10"/>
      <c r="K1683" s="18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</row>
    <row r="1684" ht="14.25" customHeight="1">
      <c r="A1684" s="9"/>
      <c r="B1684" s="8"/>
      <c r="C1684" s="8"/>
      <c r="D1684" s="8"/>
      <c r="E1684" s="8"/>
      <c r="F1684" s="8"/>
      <c r="G1684" s="8"/>
      <c r="H1684" s="8"/>
      <c r="I1684" s="10"/>
      <c r="J1684" s="10"/>
      <c r="K1684" s="18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</row>
    <row r="1685" ht="14.25" customHeight="1">
      <c r="A1685" s="9"/>
      <c r="B1685" s="8"/>
      <c r="C1685" s="8"/>
      <c r="D1685" s="8"/>
      <c r="E1685" s="8"/>
      <c r="F1685" s="8"/>
      <c r="G1685" s="8"/>
      <c r="H1685" s="8"/>
      <c r="I1685" s="10"/>
      <c r="J1685" s="10"/>
      <c r="K1685" s="18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</row>
    <row r="1686" ht="14.25" customHeight="1">
      <c r="A1686" s="9"/>
      <c r="B1686" s="8"/>
      <c r="C1686" s="8"/>
      <c r="D1686" s="8"/>
      <c r="E1686" s="8"/>
      <c r="F1686" s="8"/>
      <c r="G1686" s="8"/>
      <c r="H1686" s="8"/>
      <c r="I1686" s="10"/>
      <c r="J1686" s="10"/>
      <c r="K1686" s="18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</row>
    <row r="1687" ht="14.25" customHeight="1">
      <c r="A1687" s="9"/>
      <c r="B1687" s="8"/>
      <c r="C1687" s="8"/>
      <c r="D1687" s="8"/>
      <c r="E1687" s="8"/>
      <c r="F1687" s="8"/>
      <c r="G1687" s="8"/>
      <c r="H1687" s="8"/>
      <c r="I1687" s="10"/>
      <c r="J1687" s="10"/>
      <c r="K1687" s="18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</row>
    <row r="1688" ht="14.25" customHeight="1">
      <c r="A1688" s="9"/>
      <c r="B1688" s="8"/>
      <c r="C1688" s="8"/>
      <c r="D1688" s="8"/>
      <c r="E1688" s="8"/>
      <c r="F1688" s="8"/>
      <c r="G1688" s="8"/>
      <c r="H1688" s="8"/>
      <c r="I1688" s="10"/>
      <c r="J1688" s="10"/>
      <c r="K1688" s="18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</row>
    <row r="1689" ht="14.25" customHeight="1">
      <c r="A1689" s="9"/>
      <c r="B1689" s="8"/>
      <c r="C1689" s="8"/>
      <c r="D1689" s="8"/>
      <c r="E1689" s="8"/>
      <c r="F1689" s="8"/>
      <c r="G1689" s="8"/>
      <c r="H1689" s="8"/>
      <c r="I1689" s="10"/>
      <c r="J1689" s="10"/>
      <c r="K1689" s="18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</row>
    <row r="1690" ht="14.25" customHeight="1">
      <c r="A1690" s="9"/>
      <c r="B1690" s="8"/>
      <c r="C1690" s="8"/>
      <c r="D1690" s="8"/>
      <c r="E1690" s="8"/>
      <c r="F1690" s="8"/>
      <c r="G1690" s="8"/>
      <c r="H1690" s="8"/>
      <c r="I1690" s="10"/>
      <c r="J1690" s="10"/>
      <c r="K1690" s="18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</row>
    <row r="1691" ht="14.25" customHeight="1">
      <c r="A1691" s="9"/>
      <c r="B1691" s="8"/>
      <c r="C1691" s="8"/>
      <c r="D1691" s="8"/>
      <c r="E1691" s="8"/>
      <c r="F1691" s="8"/>
      <c r="G1691" s="8"/>
      <c r="H1691" s="8"/>
      <c r="I1691" s="10"/>
      <c r="J1691" s="10"/>
      <c r="K1691" s="18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</row>
    <row r="1692" ht="14.25" customHeight="1">
      <c r="A1692" s="9"/>
      <c r="B1692" s="8"/>
      <c r="C1692" s="8"/>
      <c r="D1692" s="8"/>
      <c r="E1692" s="8"/>
      <c r="F1692" s="8"/>
      <c r="G1692" s="8"/>
      <c r="H1692" s="8"/>
      <c r="I1692" s="10"/>
      <c r="J1692" s="10"/>
      <c r="K1692" s="18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</row>
    <row r="1693" ht="14.25" customHeight="1">
      <c r="A1693" s="9"/>
      <c r="B1693" s="8"/>
      <c r="C1693" s="8"/>
      <c r="D1693" s="8"/>
      <c r="E1693" s="8"/>
      <c r="F1693" s="8"/>
      <c r="G1693" s="8"/>
      <c r="H1693" s="8"/>
      <c r="I1693" s="10"/>
      <c r="J1693" s="10"/>
      <c r="K1693" s="18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</row>
    <row r="1694" ht="14.25" customHeight="1">
      <c r="A1694" s="9"/>
      <c r="B1694" s="8"/>
      <c r="C1694" s="8"/>
      <c r="D1694" s="8"/>
      <c r="E1694" s="8"/>
      <c r="F1694" s="8"/>
      <c r="G1694" s="8"/>
      <c r="H1694" s="8"/>
      <c r="I1694" s="10"/>
      <c r="J1694" s="10"/>
      <c r="K1694" s="18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</row>
    <row r="1695" ht="14.25" customHeight="1">
      <c r="A1695" s="9"/>
      <c r="B1695" s="8"/>
      <c r="C1695" s="8"/>
      <c r="D1695" s="8"/>
      <c r="E1695" s="8"/>
      <c r="F1695" s="8"/>
      <c r="G1695" s="8"/>
      <c r="H1695" s="8"/>
      <c r="I1695" s="10"/>
      <c r="J1695" s="10"/>
      <c r="K1695" s="18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</row>
    <row r="1696" ht="14.25" customHeight="1">
      <c r="A1696" s="9"/>
      <c r="B1696" s="8"/>
      <c r="C1696" s="8"/>
      <c r="D1696" s="8"/>
      <c r="E1696" s="8"/>
      <c r="F1696" s="8"/>
      <c r="G1696" s="8"/>
      <c r="H1696" s="8"/>
      <c r="I1696" s="10"/>
      <c r="J1696" s="10"/>
      <c r="K1696" s="18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</row>
    <row r="1697" ht="14.25" customHeight="1">
      <c r="A1697" s="9"/>
      <c r="B1697" s="8"/>
      <c r="C1697" s="8"/>
      <c r="D1697" s="8"/>
      <c r="E1697" s="8"/>
      <c r="F1697" s="8"/>
      <c r="G1697" s="8"/>
      <c r="H1697" s="8"/>
      <c r="I1697" s="10"/>
      <c r="J1697" s="10"/>
      <c r="K1697" s="18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</row>
    <row r="1698" ht="14.25" customHeight="1">
      <c r="A1698" s="9"/>
      <c r="B1698" s="8"/>
      <c r="C1698" s="8"/>
      <c r="D1698" s="8"/>
      <c r="E1698" s="8"/>
      <c r="F1698" s="8"/>
      <c r="G1698" s="8"/>
      <c r="H1698" s="8"/>
      <c r="I1698" s="10"/>
      <c r="J1698" s="10"/>
      <c r="K1698" s="18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</row>
    <row r="1699" ht="14.25" customHeight="1">
      <c r="A1699" s="9"/>
      <c r="B1699" s="8"/>
      <c r="C1699" s="8"/>
      <c r="D1699" s="8"/>
      <c r="E1699" s="8"/>
      <c r="F1699" s="8"/>
      <c r="G1699" s="8"/>
      <c r="H1699" s="8"/>
      <c r="I1699" s="10"/>
      <c r="J1699" s="10"/>
      <c r="K1699" s="18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</row>
    <row r="1700" ht="14.25" customHeight="1">
      <c r="A1700" s="9"/>
      <c r="B1700" s="8"/>
      <c r="C1700" s="8"/>
      <c r="D1700" s="8"/>
      <c r="E1700" s="8"/>
      <c r="F1700" s="8"/>
      <c r="G1700" s="8"/>
      <c r="H1700" s="8"/>
      <c r="I1700" s="10"/>
      <c r="J1700" s="10"/>
      <c r="K1700" s="18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</row>
    <row r="1701" ht="14.25" customHeight="1">
      <c r="A1701" s="9"/>
      <c r="B1701" s="8"/>
      <c r="C1701" s="8"/>
      <c r="D1701" s="8"/>
      <c r="E1701" s="8"/>
      <c r="F1701" s="8"/>
      <c r="G1701" s="8"/>
      <c r="H1701" s="8"/>
      <c r="I1701" s="10"/>
      <c r="J1701" s="10"/>
      <c r="K1701" s="18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</row>
    <row r="1702" ht="14.25" customHeight="1">
      <c r="A1702" s="9"/>
      <c r="B1702" s="8"/>
      <c r="C1702" s="8"/>
      <c r="D1702" s="8"/>
      <c r="E1702" s="8"/>
      <c r="F1702" s="8"/>
      <c r="G1702" s="8"/>
      <c r="H1702" s="8"/>
      <c r="I1702" s="10"/>
      <c r="J1702" s="10"/>
      <c r="K1702" s="18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</row>
    <row r="1703" ht="14.25" customHeight="1">
      <c r="A1703" s="9"/>
      <c r="B1703" s="8"/>
      <c r="C1703" s="8"/>
      <c r="D1703" s="8"/>
      <c r="E1703" s="8"/>
      <c r="F1703" s="8"/>
      <c r="G1703" s="8"/>
      <c r="H1703" s="8"/>
      <c r="I1703" s="10"/>
      <c r="J1703" s="10"/>
      <c r="K1703" s="18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</row>
    <row r="1704" ht="14.25" customHeight="1">
      <c r="A1704" s="9"/>
      <c r="B1704" s="8"/>
      <c r="C1704" s="8"/>
      <c r="D1704" s="8"/>
      <c r="E1704" s="8"/>
      <c r="F1704" s="8"/>
      <c r="G1704" s="8"/>
      <c r="H1704" s="8"/>
      <c r="I1704" s="10"/>
      <c r="J1704" s="10"/>
      <c r="K1704" s="18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</row>
    <row r="1705" ht="14.25" customHeight="1">
      <c r="A1705" s="9"/>
      <c r="B1705" s="8"/>
      <c r="C1705" s="8"/>
      <c r="D1705" s="8"/>
      <c r="E1705" s="8"/>
      <c r="F1705" s="8"/>
      <c r="G1705" s="8"/>
      <c r="H1705" s="8"/>
      <c r="I1705" s="10"/>
      <c r="J1705" s="10"/>
      <c r="K1705" s="18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</row>
    <row r="1706" ht="14.25" customHeight="1">
      <c r="A1706" s="9"/>
      <c r="B1706" s="8"/>
      <c r="C1706" s="8"/>
      <c r="D1706" s="8"/>
      <c r="E1706" s="8"/>
      <c r="F1706" s="8"/>
      <c r="G1706" s="8"/>
      <c r="H1706" s="8"/>
      <c r="I1706" s="10"/>
      <c r="J1706" s="10"/>
      <c r="K1706" s="18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</row>
    <row r="1707" ht="14.25" customHeight="1">
      <c r="A1707" s="9"/>
      <c r="B1707" s="8"/>
      <c r="C1707" s="8"/>
      <c r="D1707" s="8"/>
      <c r="E1707" s="8"/>
      <c r="F1707" s="8"/>
      <c r="G1707" s="8"/>
      <c r="H1707" s="8"/>
      <c r="I1707" s="10"/>
      <c r="J1707" s="10"/>
      <c r="K1707" s="18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</row>
    <row r="1708" ht="14.25" customHeight="1">
      <c r="A1708" s="9"/>
      <c r="B1708" s="8"/>
      <c r="C1708" s="8"/>
      <c r="D1708" s="8"/>
      <c r="E1708" s="8"/>
      <c r="F1708" s="8"/>
      <c r="G1708" s="8"/>
      <c r="H1708" s="8"/>
      <c r="I1708" s="10"/>
      <c r="J1708" s="10"/>
      <c r="K1708" s="18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</row>
    <row r="1709" ht="14.25" customHeight="1">
      <c r="A1709" s="9"/>
      <c r="B1709" s="8"/>
      <c r="C1709" s="8"/>
      <c r="D1709" s="8"/>
      <c r="E1709" s="8"/>
      <c r="F1709" s="8"/>
      <c r="G1709" s="8"/>
      <c r="H1709" s="8"/>
      <c r="I1709" s="10"/>
      <c r="J1709" s="10"/>
      <c r="K1709" s="18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</row>
    <row r="1710" ht="14.25" customHeight="1">
      <c r="A1710" s="9"/>
      <c r="B1710" s="8"/>
      <c r="C1710" s="8"/>
      <c r="D1710" s="8"/>
      <c r="E1710" s="8"/>
      <c r="F1710" s="8"/>
      <c r="G1710" s="8"/>
      <c r="H1710" s="8"/>
      <c r="I1710" s="10"/>
      <c r="J1710" s="10"/>
      <c r="K1710" s="18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</row>
    <row r="1711" ht="14.25" customHeight="1">
      <c r="A1711" s="9"/>
      <c r="B1711" s="8"/>
      <c r="C1711" s="8"/>
      <c r="D1711" s="8"/>
      <c r="E1711" s="8"/>
      <c r="F1711" s="8"/>
      <c r="G1711" s="8"/>
      <c r="H1711" s="8"/>
      <c r="I1711" s="10"/>
      <c r="J1711" s="10"/>
      <c r="K1711" s="18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</row>
    <row r="1712" ht="14.25" customHeight="1">
      <c r="A1712" s="9"/>
      <c r="B1712" s="8"/>
      <c r="C1712" s="8"/>
      <c r="D1712" s="8"/>
      <c r="E1712" s="8"/>
      <c r="F1712" s="8"/>
      <c r="G1712" s="8"/>
      <c r="H1712" s="8"/>
      <c r="I1712" s="10"/>
      <c r="J1712" s="10"/>
      <c r="K1712" s="18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</row>
    <row r="1713" ht="14.25" customHeight="1">
      <c r="A1713" s="9"/>
      <c r="B1713" s="8"/>
      <c r="C1713" s="8"/>
      <c r="D1713" s="8"/>
      <c r="E1713" s="8"/>
      <c r="F1713" s="8"/>
      <c r="G1713" s="8"/>
      <c r="H1713" s="8"/>
      <c r="I1713" s="10"/>
      <c r="J1713" s="10"/>
      <c r="K1713" s="18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</row>
    <row r="1714" ht="14.25" customHeight="1">
      <c r="A1714" s="9"/>
      <c r="B1714" s="8"/>
      <c r="C1714" s="8"/>
      <c r="D1714" s="8"/>
      <c r="E1714" s="8"/>
      <c r="F1714" s="8"/>
      <c r="G1714" s="8"/>
      <c r="H1714" s="8"/>
      <c r="I1714" s="10"/>
      <c r="J1714" s="10"/>
      <c r="K1714" s="18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</row>
    <row r="1715" ht="14.25" customHeight="1">
      <c r="A1715" s="9"/>
      <c r="B1715" s="8"/>
      <c r="C1715" s="8"/>
      <c r="D1715" s="8"/>
      <c r="E1715" s="8"/>
      <c r="F1715" s="8"/>
      <c r="G1715" s="8"/>
      <c r="H1715" s="8"/>
      <c r="I1715" s="10"/>
      <c r="J1715" s="10"/>
      <c r="K1715" s="18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</row>
    <row r="1716" ht="14.25" customHeight="1">
      <c r="A1716" s="9"/>
      <c r="B1716" s="8"/>
      <c r="C1716" s="8"/>
      <c r="D1716" s="8"/>
      <c r="E1716" s="8"/>
      <c r="F1716" s="8"/>
      <c r="G1716" s="8"/>
      <c r="H1716" s="8"/>
      <c r="I1716" s="10"/>
      <c r="J1716" s="10"/>
      <c r="K1716" s="18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</row>
    <row r="1717" ht="14.25" customHeight="1">
      <c r="A1717" s="9"/>
      <c r="B1717" s="8"/>
      <c r="C1717" s="8"/>
      <c r="D1717" s="8"/>
      <c r="E1717" s="8"/>
      <c r="F1717" s="8"/>
      <c r="G1717" s="8"/>
      <c r="H1717" s="8"/>
      <c r="I1717" s="10"/>
      <c r="J1717" s="10"/>
      <c r="K1717" s="18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</row>
    <row r="1718" ht="14.25" customHeight="1">
      <c r="A1718" s="9"/>
      <c r="B1718" s="8"/>
      <c r="C1718" s="8"/>
      <c r="D1718" s="8"/>
      <c r="E1718" s="8"/>
      <c r="F1718" s="8"/>
      <c r="G1718" s="8"/>
      <c r="H1718" s="8"/>
      <c r="I1718" s="10"/>
      <c r="J1718" s="10"/>
      <c r="K1718" s="18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</row>
    <row r="1719" ht="14.25" customHeight="1">
      <c r="A1719" s="9"/>
      <c r="B1719" s="8"/>
      <c r="C1719" s="8"/>
      <c r="D1719" s="8"/>
      <c r="E1719" s="8"/>
      <c r="F1719" s="8"/>
      <c r="G1719" s="8"/>
      <c r="H1719" s="8"/>
      <c r="I1719" s="10"/>
      <c r="J1719" s="10"/>
      <c r="K1719" s="18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</row>
    <row r="1720" ht="14.25" customHeight="1">
      <c r="A1720" s="9"/>
      <c r="B1720" s="8"/>
      <c r="C1720" s="8"/>
      <c r="D1720" s="8"/>
      <c r="E1720" s="8"/>
      <c r="F1720" s="8"/>
      <c r="G1720" s="8"/>
      <c r="H1720" s="8"/>
      <c r="I1720" s="10"/>
      <c r="J1720" s="10"/>
      <c r="K1720" s="18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</row>
    <row r="1721" ht="14.25" customHeight="1">
      <c r="A1721" s="9"/>
      <c r="B1721" s="8"/>
      <c r="C1721" s="8"/>
      <c r="D1721" s="8"/>
      <c r="E1721" s="8"/>
      <c r="F1721" s="8"/>
      <c r="G1721" s="8"/>
      <c r="H1721" s="8"/>
      <c r="I1721" s="10"/>
      <c r="J1721" s="10"/>
      <c r="K1721" s="18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</row>
    <row r="1722" ht="14.25" customHeight="1">
      <c r="A1722" s="9"/>
      <c r="B1722" s="8"/>
      <c r="C1722" s="8"/>
      <c r="D1722" s="8"/>
      <c r="E1722" s="8"/>
      <c r="F1722" s="8"/>
      <c r="G1722" s="8"/>
      <c r="H1722" s="8"/>
      <c r="I1722" s="10"/>
      <c r="J1722" s="10"/>
      <c r="K1722" s="18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</row>
    <row r="1723" ht="14.25" customHeight="1">
      <c r="A1723" s="9"/>
      <c r="B1723" s="8"/>
      <c r="C1723" s="8"/>
      <c r="D1723" s="8"/>
      <c r="E1723" s="8"/>
      <c r="F1723" s="8"/>
      <c r="G1723" s="8"/>
      <c r="H1723" s="8"/>
      <c r="I1723" s="10"/>
      <c r="J1723" s="10"/>
      <c r="K1723" s="18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</row>
    <row r="1724" ht="14.25" customHeight="1">
      <c r="A1724" s="9"/>
      <c r="B1724" s="8"/>
      <c r="C1724" s="8"/>
      <c r="D1724" s="8"/>
      <c r="E1724" s="8"/>
      <c r="F1724" s="8"/>
      <c r="G1724" s="8"/>
      <c r="H1724" s="8"/>
      <c r="I1724" s="10"/>
      <c r="J1724" s="10"/>
      <c r="K1724" s="18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</row>
    <row r="1725" ht="14.25" customHeight="1">
      <c r="A1725" s="9"/>
      <c r="B1725" s="8"/>
      <c r="C1725" s="8"/>
      <c r="D1725" s="8"/>
      <c r="E1725" s="8"/>
      <c r="F1725" s="8"/>
      <c r="G1725" s="8"/>
      <c r="H1725" s="8"/>
      <c r="I1725" s="10"/>
      <c r="J1725" s="10"/>
      <c r="K1725" s="18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</row>
    <row r="1726" ht="14.25" customHeight="1">
      <c r="A1726" s="9"/>
      <c r="B1726" s="8"/>
      <c r="C1726" s="8"/>
      <c r="D1726" s="8"/>
      <c r="E1726" s="8"/>
      <c r="F1726" s="8"/>
      <c r="G1726" s="8"/>
      <c r="H1726" s="8"/>
      <c r="I1726" s="10"/>
      <c r="J1726" s="10"/>
      <c r="K1726" s="18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</row>
    <row r="1727" ht="14.25" customHeight="1">
      <c r="A1727" s="9"/>
      <c r="B1727" s="8"/>
      <c r="C1727" s="8"/>
      <c r="D1727" s="8"/>
      <c r="E1727" s="8"/>
      <c r="F1727" s="8"/>
      <c r="G1727" s="8"/>
      <c r="H1727" s="8"/>
      <c r="I1727" s="10"/>
      <c r="J1727" s="10"/>
      <c r="K1727" s="18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</row>
    <row r="1728" ht="14.25" customHeight="1">
      <c r="A1728" s="9"/>
      <c r="B1728" s="8"/>
      <c r="C1728" s="8"/>
      <c r="D1728" s="8"/>
      <c r="E1728" s="8"/>
      <c r="F1728" s="8"/>
      <c r="G1728" s="8"/>
      <c r="H1728" s="8"/>
      <c r="I1728" s="10"/>
      <c r="J1728" s="10"/>
      <c r="K1728" s="18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</row>
    <row r="1729" ht="14.25" customHeight="1">
      <c r="A1729" s="9"/>
      <c r="B1729" s="8"/>
      <c r="C1729" s="8"/>
      <c r="D1729" s="8"/>
      <c r="E1729" s="8"/>
      <c r="F1729" s="8"/>
      <c r="G1729" s="8"/>
      <c r="H1729" s="8"/>
      <c r="I1729" s="10"/>
      <c r="J1729" s="10"/>
      <c r="K1729" s="18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</row>
    <row r="1730" ht="14.25" customHeight="1">
      <c r="A1730" s="9"/>
      <c r="B1730" s="8"/>
      <c r="C1730" s="8"/>
      <c r="D1730" s="8"/>
      <c r="E1730" s="8"/>
      <c r="F1730" s="8"/>
      <c r="G1730" s="8"/>
      <c r="H1730" s="8"/>
      <c r="I1730" s="10"/>
      <c r="J1730" s="10"/>
      <c r="K1730" s="18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</row>
    <row r="1731" ht="14.25" customHeight="1">
      <c r="A1731" s="9"/>
      <c r="B1731" s="8"/>
      <c r="C1731" s="8"/>
      <c r="D1731" s="8"/>
      <c r="E1731" s="8"/>
      <c r="F1731" s="8"/>
      <c r="G1731" s="8"/>
      <c r="H1731" s="8"/>
      <c r="I1731" s="10"/>
      <c r="J1731" s="10"/>
      <c r="K1731" s="18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</row>
    <row r="1732" ht="14.25" customHeight="1">
      <c r="A1732" s="9"/>
      <c r="B1732" s="8"/>
      <c r="C1732" s="8"/>
      <c r="D1732" s="8"/>
      <c r="E1732" s="8"/>
      <c r="F1732" s="8"/>
      <c r="G1732" s="8"/>
      <c r="H1732" s="8"/>
      <c r="I1732" s="10"/>
      <c r="J1732" s="10"/>
      <c r="K1732" s="18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</row>
    <row r="1733" ht="14.25" customHeight="1">
      <c r="A1733" s="9"/>
      <c r="B1733" s="8"/>
      <c r="C1733" s="8"/>
      <c r="D1733" s="8"/>
      <c r="E1733" s="8"/>
      <c r="F1733" s="8"/>
      <c r="G1733" s="8"/>
      <c r="H1733" s="8"/>
      <c r="I1733" s="10"/>
      <c r="J1733" s="10"/>
      <c r="K1733" s="18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</row>
    <row r="1734" ht="14.25" customHeight="1">
      <c r="A1734" s="9"/>
      <c r="B1734" s="8"/>
      <c r="C1734" s="8"/>
      <c r="D1734" s="8"/>
      <c r="E1734" s="8"/>
      <c r="F1734" s="8"/>
      <c r="G1734" s="8"/>
      <c r="H1734" s="8"/>
      <c r="I1734" s="10"/>
      <c r="J1734" s="10"/>
      <c r="K1734" s="18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</row>
    <row r="1735" ht="14.25" customHeight="1">
      <c r="A1735" s="9"/>
      <c r="B1735" s="8"/>
      <c r="C1735" s="8"/>
      <c r="D1735" s="8"/>
      <c r="E1735" s="8"/>
      <c r="F1735" s="8"/>
      <c r="G1735" s="8"/>
      <c r="H1735" s="8"/>
      <c r="I1735" s="10"/>
      <c r="J1735" s="10"/>
      <c r="K1735" s="18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</row>
    <row r="1736" ht="14.25" customHeight="1">
      <c r="A1736" s="9"/>
      <c r="B1736" s="8"/>
      <c r="C1736" s="8"/>
      <c r="D1736" s="8"/>
      <c r="E1736" s="8"/>
      <c r="F1736" s="8"/>
      <c r="G1736" s="8"/>
      <c r="H1736" s="8"/>
      <c r="I1736" s="10"/>
      <c r="J1736" s="10"/>
      <c r="K1736" s="18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</row>
    <row r="1737" ht="14.25" customHeight="1">
      <c r="A1737" s="9"/>
      <c r="B1737" s="8"/>
      <c r="C1737" s="8"/>
      <c r="D1737" s="8"/>
      <c r="E1737" s="8"/>
      <c r="F1737" s="8"/>
      <c r="G1737" s="8"/>
      <c r="H1737" s="8"/>
      <c r="I1737" s="10"/>
      <c r="J1737" s="10"/>
      <c r="K1737" s="18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</row>
    <row r="1738" ht="14.25" customHeight="1">
      <c r="A1738" s="9"/>
      <c r="B1738" s="8"/>
      <c r="C1738" s="8"/>
      <c r="D1738" s="8"/>
      <c r="E1738" s="8"/>
      <c r="F1738" s="8"/>
      <c r="G1738" s="8"/>
      <c r="H1738" s="8"/>
      <c r="I1738" s="10"/>
      <c r="J1738" s="10"/>
      <c r="K1738" s="18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</row>
    <row r="1739" ht="14.25" customHeight="1">
      <c r="A1739" s="9"/>
      <c r="B1739" s="8"/>
      <c r="C1739" s="8"/>
      <c r="D1739" s="8"/>
      <c r="E1739" s="8"/>
      <c r="F1739" s="8"/>
      <c r="G1739" s="8"/>
      <c r="H1739" s="8"/>
      <c r="I1739" s="10"/>
      <c r="J1739" s="10"/>
      <c r="K1739" s="18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</row>
    <row r="1740" ht="14.25" customHeight="1">
      <c r="A1740" s="9"/>
      <c r="B1740" s="8"/>
      <c r="C1740" s="8"/>
      <c r="D1740" s="8"/>
      <c r="E1740" s="8"/>
      <c r="F1740" s="8"/>
      <c r="G1740" s="8"/>
      <c r="H1740" s="8"/>
      <c r="I1740" s="10"/>
      <c r="J1740" s="10"/>
      <c r="K1740" s="18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</row>
    <row r="1741" ht="14.25" customHeight="1">
      <c r="A1741" s="9"/>
      <c r="B1741" s="8"/>
      <c r="C1741" s="8"/>
      <c r="D1741" s="8"/>
      <c r="E1741" s="8"/>
      <c r="F1741" s="8"/>
      <c r="G1741" s="8"/>
      <c r="H1741" s="8"/>
      <c r="I1741" s="10"/>
      <c r="J1741" s="10"/>
      <c r="K1741" s="18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</row>
    <row r="1742" ht="14.25" customHeight="1">
      <c r="A1742" s="9"/>
      <c r="B1742" s="8"/>
      <c r="C1742" s="8"/>
      <c r="D1742" s="8"/>
      <c r="E1742" s="8"/>
      <c r="F1742" s="8"/>
      <c r="G1742" s="8"/>
      <c r="H1742" s="8"/>
      <c r="I1742" s="10"/>
      <c r="J1742" s="10"/>
      <c r="K1742" s="18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</row>
    <row r="1743" ht="14.25" customHeight="1">
      <c r="A1743" s="9"/>
      <c r="B1743" s="8"/>
      <c r="C1743" s="8"/>
      <c r="D1743" s="8"/>
      <c r="E1743" s="8"/>
      <c r="F1743" s="8"/>
      <c r="G1743" s="8"/>
      <c r="H1743" s="8"/>
      <c r="I1743" s="10"/>
      <c r="J1743" s="10"/>
      <c r="K1743" s="18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</row>
    <row r="1744" ht="14.25" customHeight="1">
      <c r="A1744" s="9"/>
      <c r="B1744" s="8"/>
      <c r="C1744" s="8"/>
      <c r="D1744" s="8"/>
      <c r="E1744" s="8"/>
      <c r="F1744" s="8"/>
      <c r="G1744" s="8"/>
      <c r="H1744" s="8"/>
      <c r="I1744" s="10"/>
      <c r="J1744" s="10"/>
      <c r="K1744" s="18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</row>
    <row r="1745" ht="14.25" customHeight="1">
      <c r="A1745" s="9"/>
      <c r="B1745" s="8"/>
      <c r="C1745" s="8"/>
      <c r="D1745" s="8"/>
      <c r="E1745" s="8"/>
      <c r="F1745" s="8"/>
      <c r="G1745" s="8"/>
      <c r="H1745" s="8"/>
      <c r="I1745" s="10"/>
      <c r="J1745" s="10"/>
      <c r="K1745" s="18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</row>
    <row r="1746" ht="14.25" customHeight="1">
      <c r="A1746" s="9"/>
      <c r="B1746" s="8"/>
      <c r="C1746" s="8"/>
      <c r="D1746" s="8"/>
      <c r="E1746" s="8"/>
      <c r="F1746" s="8"/>
      <c r="G1746" s="8"/>
      <c r="H1746" s="8"/>
      <c r="I1746" s="10"/>
      <c r="J1746" s="10"/>
      <c r="K1746" s="18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</row>
    <row r="1747" ht="14.25" customHeight="1">
      <c r="A1747" s="9"/>
      <c r="B1747" s="8"/>
      <c r="C1747" s="8"/>
      <c r="D1747" s="8"/>
      <c r="E1747" s="8"/>
      <c r="F1747" s="8"/>
      <c r="G1747" s="8"/>
      <c r="H1747" s="8"/>
      <c r="I1747" s="10"/>
      <c r="J1747" s="10"/>
      <c r="K1747" s="18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</row>
    <row r="1748" ht="14.25" customHeight="1">
      <c r="A1748" s="9"/>
      <c r="B1748" s="8"/>
      <c r="C1748" s="8"/>
      <c r="D1748" s="8"/>
      <c r="E1748" s="8"/>
      <c r="F1748" s="8"/>
      <c r="G1748" s="8"/>
      <c r="H1748" s="8"/>
      <c r="I1748" s="10"/>
      <c r="J1748" s="10"/>
      <c r="K1748" s="18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</row>
    <row r="1749" ht="14.25" customHeight="1">
      <c r="A1749" s="9"/>
      <c r="B1749" s="8"/>
      <c r="C1749" s="8"/>
      <c r="D1749" s="8"/>
      <c r="E1749" s="8"/>
      <c r="F1749" s="8"/>
      <c r="G1749" s="8"/>
      <c r="H1749" s="8"/>
      <c r="I1749" s="10"/>
      <c r="J1749" s="10"/>
      <c r="K1749" s="18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</row>
    <row r="1750" ht="14.25" customHeight="1">
      <c r="A1750" s="9"/>
      <c r="B1750" s="8"/>
      <c r="C1750" s="8"/>
      <c r="D1750" s="8"/>
      <c r="E1750" s="8"/>
      <c r="F1750" s="8"/>
      <c r="G1750" s="8"/>
      <c r="H1750" s="8"/>
      <c r="I1750" s="10"/>
      <c r="J1750" s="10"/>
      <c r="K1750" s="18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</row>
    <row r="1751" ht="14.25" customHeight="1">
      <c r="A1751" s="9"/>
      <c r="B1751" s="8"/>
      <c r="C1751" s="8"/>
      <c r="D1751" s="8"/>
      <c r="E1751" s="8"/>
      <c r="F1751" s="8"/>
      <c r="G1751" s="8"/>
      <c r="H1751" s="8"/>
      <c r="I1751" s="10"/>
      <c r="J1751" s="10"/>
      <c r="K1751" s="18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</row>
    <row r="1752" ht="14.25" customHeight="1">
      <c r="A1752" s="9"/>
      <c r="B1752" s="8"/>
      <c r="C1752" s="8"/>
      <c r="D1752" s="8"/>
      <c r="E1752" s="8"/>
      <c r="F1752" s="8"/>
      <c r="G1752" s="8"/>
      <c r="H1752" s="8"/>
      <c r="I1752" s="10"/>
      <c r="J1752" s="10"/>
      <c r="K1752" s="18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</row>
    <row r="1753" ht="14.25" customHeight="1">
      <c r="A1753" s="9"/>
      <c r="B1753" s="8"/>
      <c r="C1753" s="8"/>
      <c r="D1753" s="8"/>
      <c r="E1753" s="8"/>
      <c r="F1753" s="8"/>
      <c r="G1753" s="8"/>
      <c r="H1753" s="8"/>
      <c r="I1753" s="10"/>
      <c r="J1753" s="10"/>
      <c r="K1753" s="18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</row>
    <row r="1754" ht="14.25" customHeight="1">
      <c r="A1754" s="9"/>
      <c r="B1754" s="8"/>
      <c r="C1754" s="8"/>
      <c r="D1754" s="8"/>
      <c r="E1754" s="8"/>
      <c r="F1754" s="8"/>
      <c r="G1754" s="8"/>
      <c r="H1754" s="8"/>
      <c r="I1754" s="10"/>
      <c r="J1754" s="10"/>
      <c r="K1754" s="18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</row>
    <row r="1755" ht="14.25" customHeight="1">
      <c r="A1755" s="9"/>
      <c r="B1755" s="8"/>
      <c r="C1755" s="8"/>
      <c r="D1755" s="8"/>
      <c r="E1755" s="8"/>
      <c r="F1755" s="8"/>
      <c r="G1755" s="8"/>
      <c r="H1755" s="8"/>
      <c r="I1755" s="10"/>
      <c r="J1755" s="10"/>
      <c r="K1755" s="18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</row>
    <row r="1756" ht="14.25" customHeight="1">
      <c r="A1756" s="9"/>
      <c r="B1756" s="8"/>
      <c r="C1756" s="8"/>
      <c r="D1756" s="8"/>
      <c r="E1756" s="8"/>
      <c r="F1756" s="8"/>
      <c r="G1756" s="8"/>
      <c r="H1756" s="8"/>
      <c r="I1756" s="10"/>
      <c r="J1756" s="10"/>
      <c r="K1756" s="18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</row>
    <row r="1757" ht="14.25" customHeight="1">
      <c r="A1757" s="9"/>
      <c r="B1757" s="8"/>
      <c r="C1757" s="8"/>
      <c r="D1757" s="8"/>
      <c r="E1757" s="8"/>
      <c r="F1757" s="8"/>
      <c r="G1757" s="8"/>
      <c r="H1757" s="8"/>
      <c r="I1757" s="10"/>
      <c r="J1757" s="10"/>
      <c r="K1757" s="18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</row>
    <row r="1758" ht="14.25" customHeight="1">
      <c r="A1758" s="9"/>
      <c r="B1758" s="8"/>
      <c r="C1758" s="8"/>
      <c r="D1758" s="8"/>
      <c r="E1758" s="8"/>
      <c r="F1758" s="8"/>
      <c r="G1758" s="8"/>
      <c r="H1758" s="8"/>
      <c r="I1758" s="10"/>
      <c r="J1758" s="10"/>
      <c r="K1758" s="18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</row>
    <row r="1759" ht="14.25" customHeight="1">
      <c r="A1759" s="9"/>
      <c r="B1759" s="8"/>
      <c r="C1759" s="8"/>
      <c r="D1759" s="8"/>
      <c r="E1759" s="8"/>
      <c r="F1759" s="8"/>
      <c r="G1759" s="8"/>
      <c r="H1759" s="8"/>
      <c r="I1759" s="10"/>
      <c r="J1759" s="10"/>
      <c r="K1759" s="18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</row>
    <row r="1760" ht="14.25" customHeight="1">
      <c r="A1760" s="9"/>
      <c r="B1760" s="8"/>
      <c r="C1760" s="8"/>
      <c r="D1760" s="8"/>
      <c r="E1760" s="8"/>
      <c r="F1760" s="8"/>
      <c r="G1760" s="8"/>
      <c r="H1760" s="8"/>
      <c r="I1760" s="10"/>
      <c r="J1760" s="10"/>
      <c r="K1760" s="18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</row>
    <row r="1761" ht="14.25" customHeight="1">
      <c r="A1761" s="9"/>
      <c r="B1761" s="8"/>
      <c r="C1761" s="8"/>
      <c r="D1761" s="8"/>
      <c r="E1761" s="8"/>
      <c r="F1761" s="8"/>
      <c r="G1761" s="8"/>
      <c r="H1761" s="8"/>
      <c r="I1761" s="10"/>
      <c r="J1761" s="10"/>
      <c r="K1761" s="18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</row>
    <row r="1762" ht="14.25" customHeight="1">
      <c r="A1762" s="9"/>
      <c r="B1762" s="8"/>
      <c r="C1762" s="8"/>
      <c r="D1762" s="8"/>
      <c r="E1762" s="8"/>
      <c r="F1762" s="8"/>
      <c r="G1762" s="8"/>
      <c r="H1762" s="8"/>
      <c r="I1762" s="10"/>
      <c r="J1762" s="10"/>
      <c r="K1762" s="18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</row>
    <row r="1763" ht="14.25" customHeight="1">
      <c r="A1763" s="9"/>
      <c r="B1763" s="8"/>
      <c r="C1763" s="8"/>
      <c r="D1763" s="8"/>
      <c r="E1763" s="8"/>
      <c r="F1763" s="8"/>
      <c r="G1763" s="8"/>
      <c r="H1763" s="8"/>
      <c r="I1763" s="10"/>
      <c r="J1763" s="10"/>
      <c r="K1763" s="18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</row>
    <row r="1764" ht="14.25" customHeight="1">
      <c r="A1764" s="9"/>
      <c r="B1764" s="8"/>
      <c r="C1764" s="8"/>
      <c r="D1764" s="8"/>
      <c r="E1764" s="8"/>
      <c r="F1764" s="8"/>
      <c r="G1764" s="8"/>
      <c r="H1764" s="8"/>
      <c r="I1764" s="10"/>
      <c r="J1764" s="10"/>
      <c r="K1764" s="18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</row>
    <row r="1765" ht="14.25" customHeight="1">
      <c r="A1765" s="9"/>
      <c r="B1765" s="8"/>
      <c r="C1765" s="8"/>
      <c r="D1765" s="8"/>
      <c r="E1765" s="8"/>
      <c r="F1765" s="8"/>
      <c r="G1765" s="8"/>
      <c r="H1765" s="8"/>
      <c r="I1765" s="10"/>
      <c r="J1765" s="10"/>
      <c r="K1765" s="18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</row>
    <row r="1766" ht="14.25" customHeight="1">
      <c r="A1766" s="9"/>
      <c r="B1766" s="8"/>
      <c r="C1766" s="8"/>
      <c r="D1766" s="8"/>
      <c r="E1766" s="8"/>
      <c r="F1766" s="8"/>
      <c r="G1766" s="8"/>
      <c r="H1766" s="8"/>
      <c r="I1766" s="10"/>
      <c r="J1766" s="10"/>
      <c r="K1766" s="18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</row>
    <row r="1767" ht="14.25" customHeight="1">
      <c r="A1767" s="9"/>
      <c r="B1767" s="8"/>
      <c r="C1767" s="8"/>
      <c r="D1767" s="8"/>
      <c r="E1767" s="8"/>
      <c r="F1767" s="8"/>
      <c r="G1767" s="8"/>
      <c r="H1767" s="8"/>
      <c r="I1767" s="10"/>
      <c r="J1767" s="10"/>
      <c r="K1767" s="18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</row>
    <row r="1768" ht="14.25" customHeight="1">
      <c r="A1768" s="9"/>
      <c r="B1768" s="8"/>
      <c r="C1768" s="8"/>
      <c r="D1768" s="8"/>
      <c r="E1768" s="8"/>
      <c r="F1768" s="8"/>
      <c r="G1768" s="8"/>
      <c r="H1768" s="8"/>
      <c r="I1768" s="10"/>
      <c r="J1768" s="10"/>
      <c r="K1768" s="18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</row>
    <row r="1769" ht="14.25" customHeight="1">
      <c r="A1769" s="9"/>
      <c r="B1769" s="8"/>
      <c r="C1769" s="8"/>
      <c r="D1769" s="8"/>
      <c r="E1769" s="8"/>
      <c r="F1769" s="8"/>
      <c r="G1769" s="8"/>
      <c r="H1769" s="8"/>
      <c r="I1769" s="10"/>
      <c r="J1769" s="10"/>
      <c r="K1769" s="18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</row>
    <row r="1770" ht="14.25" customHeight="1">
      <c r="A1770" s="9"/>
      <c r="B1770" s="8"/>
      <c r="C1770" s="8"/>
      <c r="D1770" s="8"/>
      <c r="E1770" s="8"/>
      <c r="F1770" s="8"/>
      <c r="G1770" s="8"/>
      <c r="H1770" s="8"/>
      <c r="I1770" s="10"/>
      <c r="J1770" s="10"/>
      <c r="K1770" s="18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</row>
    <row r="1771" ht="14.25" customHeight="1">
      <c r="A1771" s="9"/>
      <c r="B1771" s="8"/>
      <c r="C1771" s="8"/>
      <c r="D1771" s="8"/>
      <c r="E1771" s="8"/>
      <c r="F1771" s="8"/>
      <c r="G1771" s="8"/>
      <c r="H1771" s="8"/>
      <c r="I1771" s="10"/>
      <c r="J1771" s="10"/>
      <c r="K1771" s="18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</row>
    <row r="1772" ht="14.25" customHeight="1">
      <c r="A1772" s="9"/>
      <c r="B1772" s="8"/>
      <c r="C1772" s="8"/>
      <c r="D1772" s="8"/>
      <c r="E1772" s="8"/>
      <c r="F1772" s="8"/>
      <c r="G1772" s="8"/>
      <c r="H1772" s="8"/>
      <c r="I1772" s="10"/>
      <c r="J1772" s="10"/>
      <c r="K1772" s="18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</row>
    <row r="1773" ht="14.25" customHeight="1">
      <c r="A1773" s="9"/>
      <c r="B1773" s="8"/>
      <c r="C1773" s="8"/>
      <c r="D1773" s="8"/>
      <c r="E1773" s="8"/>
      <c r="F1773" s="8"/>
      <c r="G1773" s="8"/>
      <c r="H1773" s="8"/>
      <c r="I1773" s="10"/>
      <c r="J1773" s="10"/>
      <c r="K1773" s="18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</row>
    <row r="1774" ht="14.25" customHeight="1">
      <c r="A1774" s="9"/>
      <c r="B1774" s="8"/>
      <c r="C1774" s="8"/>
      <c r="D1774" s="8"/>
      <c r="E1774" s="8"/>
      <c r="F1774" s="8"/>
      <c r="G1774" s="8"/>
      <c r="H1774" s="8"/>
      <c r="I1774" s="10"/>
      <c r="J1774" s="10"/>
      <c r="K1774" s="18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</row>
    <row r="1775" ht="14.25" customHeight="1">
      <c r="A1775" s="9"/>
      <c r="B1775" s="8"/>
      <c r="C1775" s="8"/>
      <c r="D1775" s="8"/>
      <c r="E1775" s="8"/>
      <c r="F1775" s="8"/>
      <c r="G1775" s="8"/>
      <c r="H1775" s="8"/>
      <c r="I1775" s="10"/>
      <c r="J1775" s="10"/>
      <c r="K1775" s="18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</row>
    <row r="1776" ht="14.25" customHeight="1">
      <c r="A1776" s="9"/>
      <c r="B1776" s="8"/>
      <c r="C1776" s="8"/>
      <c r="D1776" s="8"/>
      <c r="E1776" s="8"/>
      <c r="F1776" s="8"/>
      <c r="G1776" s="8"/>
      <c r="H1776" s="8"/>
      <c r="I1776" s="10"/>
      <c r="J1776" s="10"/>
      <c r="K1776" s="18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</row>
    <row r="1777" ht="14.25" customHeight="1">
      <c r="A1777" s="9"/>
      <c r="B1777" s="8"/>
      <c r="C1777" s="8"/>
      <c r="D1777" s="8"/>
      <c r="E1777" s="8"/>
      <c r="F1777" s="8"/>
      <c r="G1777" s="8"/>
      <c r="H1777" s="8"/>
      <c r="I1777" s="10"/>
      <c r="J1777" s="10"/>
      <c r="K1777" s="18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</row>
    <row r="1778" ht="14.25" customHeight="1">
      <c r="A1778" s="9"/>
      <c r="B1778" s="8"/>
      <c r="C1778" s="8"/>
      <c r="D1778" s="8"/>
      <c r="E1778" s="8"/>
      <c r="F1778" s="8"/>
      <c r="G1778" s="8"/>
      <c r="H1778" s="8"/>
      <c r="I1778" s="10"/>
      <c r="J1778" s="10"/>
      <c r="K1778" s="18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</row>
    <row r="1779" ht="14.25" customHeight="1">
      <c r="A1779" s="9"/>
      <c r="B1779" s="8"/>
      <c r="C1779" s="8"/>
      <c r="D1779" s="8"/>
      <c r="E1779" s="8"/>
      <c r="F1779" s="8"/>
      <c r="G1779" s="8"/>
      <c r="H1779" s="8"/>
      <c r="I1779" s="10"/>
      <c r="J1779" s="10"/>
      <c r="K1779" s="18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</row>
    <row r="1780" ht="14.25" customHeight="1">
      <c r="A1780" s="9"/>
      <c r="B1780" s="8"/>
      <c r="C1780" s="8"/>
      <c r="D1780" s="8"/>
      <c r="E1780" s="8"/>
      <c r="F1780" s="8"/>
      <c r="G1780" s="8"/>
      <c r="H1780" s="8"/>
      <c r="I1780" s="10"/>
      <c r="J1780" s="10"/>
      <c r="K1780" s="18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</row>
    <row r="1781" ht="14.25" customHeight="1">
      <c r="A1781" s="9"/>
      <c r="B1781" s="8"/>
      <c r="C1781" s="8"/>
      <c r="D1781" s="8"/>
      <c r="E1781" s="8"/>
      <c r="F1781" s="8"/>
      <c r="G1781" s="8"/>
      <c r="H1781" s="8"/>
      <c r="I1781" s="10"/>
      <c r="J1781" s="10"/>
      <c r="K1781" s="18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</row>
    <row r="1782" ht="14.25" customHeight="1">
      <c r="A1782" s="9"/>
      <c r="B1782" s="8"/>
      <c r="C1782" s="8"/>
      <c r="D1782" s="8"/>
      <c r="E1782" s="8"/>
      <c r="F1782" s="8"/>
      <c r="G1782" s="8"/>
      <c r="H1782" s="8"/>
      <c r="I1782" s="10"/>
      <c r="J1782" s="10"/>
      <c r="K1782" s="18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</row>
    <row r="1783" ht="14.25" customHeight="1">
      <c r="A1783" s="9"/>
      <c r="B1783" s="8"/>
      <c r="C1783" s="8"/>
      <c r="D1783" s="8"/>
      <c r="E1783" s="8"/>
      <c r="F1783" s="8"/>
      <c r="G1783" s="8"/>
      <c r="H1783" s="8"/>
      <c r="I1783" s="10"/>
      <c r="J1783" s="10"/>
      <c r="K1783" s="18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</row>
    <row r="1784" ht="14.25" customHeight="1">
      <c r="A1784" s="9"/>
      <c r="B1784" s="8"/>
      <c r="C1784" s="8"/>
      <c r="D1784" s="8"/>
      <c r="E1784" s="8"/>
      <c r="F1784" s="8"/>
      <c r="G1784" s="8"/>
      <c r="H1784" s="8"/>
      <c r="I1784" s="10"/>
      <c r="J1784" s="10"/>
      <c r="K1784" s="18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</row>
    <row r="1785" ht="14.25" customHeight="1">
      <c r="A1785" s="9"/>
      <c r="B1785" s="8"/>
      <c r="C1785" s="8"/>
      <c r="D1785" s="8"/>
      <c r="E1785" s="8"/>
      <c r="F1785" s="8"/>
      <c r="G1785" s="8"/>
      <c r="H1785" s="8"/>
      <c r="I1785" s="10"/>
      <c r="J1785" s="10"/>
      <c r="K1785" s="18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</row>
    <row r="1786" ht="14.25" customHeight="1">
      <c r="A1786" s="9"/>
      <c r="B1786" s="8"/>
      <c r="C1786" s="8"/>
      <c r="D1786" s="8"/>
      <c r="E1786" s="8"/>
      <c r="F1786" s="8"/>
      <c r="G1786" s="8"/>
      <c r="H1786" s="8"/>
      <c r="I1786" s="10"/>
      <c r="J1786" s="10"/>
      <c r="K1786" s="18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</row>
    <row r="1787" ht="14.25" customHeight="1">
      <c r="A1787" s="9"/>
      <c r="B1787" s="8"/>
      <c r="C1787" s="8"/>
      <c r="D1787" s="8"/>
      <c r="E1787" s="8"/>
      <c r="F1787" s="8"/>
      <c r="G1787" s="8"/>
      <c r="H1787" s="8"/>
      <c r="I1787" s="10"/>
      <c r="J1787" s="10"/>
      <c r="K1787" s="18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</row>
    <row r="1788" ht="14.25" customHeight="1">
      <c r="A1788" s="9"/>
      <c r="B1788" s="8"/>
      <c r="C1788" s="8"/>
      <c r="D1788" s="8"/>
      <c r="E1788" s="8"/>
      <c r="F1788" s="8"/>
      <c r="G1788" s="8"/>
      <c r="H1788" s="8"/>
      <c r="I1788" s="10"/>
      <c r="J1788" s="10"/>
      <c r="K1788" s="18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</row>
    <row r="1789" ht="14.25" customHeight="1">
      <c r="A1789" s="9"/>
      <c r="B1789" s="8"/>
      <c r="C1789" s="8"/>
      <c r="D1789" s="8"/>
      <c r="E1789" s="8"/>
      <c r="F1789" s="8"/>
      <c r="G1789" s="8"/>
      <c r="H1789" s="8"/>
      <c r="I1789" s="10"/>
      <c r="J1789" s="10"/>
      <c r="K1789" s="18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</row>
    <row r="1790" ht="14.25" customHeight="1">
      <c r="A1790" s="9"/>
      <c r="B1790" s="8"/>
      <c r="C1790" s="8"/>
      <c r="D1790" s="8"/>
      <c r="E1790" s="8"/>
      <c r="F1790" s="8"/>
      <c r="G1790" s="8"/>
      <c r="H1790" s="8"/>
      <c r="I1790" s="10"/>
      <c r="J1790" s="10"/>
      <c r="K1790" s="18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</row>
    <row r="1791" ht="14.25" customHeight="1">
      <c r="A1791" s="9"/>
      <c r="B1791" s="8"/>
      <c r="C1791" s="8"/>
      <c r="D1791" s="8"/>
      <c r="E1791" s="8"/>
      <c r="F1791" s="8"/>
      <c r="G1791" s="8"/>
      <c r="H1791" s="8"/>
      <c r="I1791" s="10"/>
      <c r="J1791" s="10"/>
      <c r="K1791" s="18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</row>
    <row r="1792" ht="14.25" customHeight="1">
      <c r="A1792" s="9"/>
      <c r="B1792" s="8"/>
      <c r="C1792" s="8"/>
      <c r="D1792" s="8"/>
      <c r="E1792" s="8"/>
      <c r="F1792" s="8"/>
      <c r="G1792" s="8"/>
      <c r="H1792" s="8"/>
      <c r="I1792" s="10"/>
      <c r="J1792" s="10"/>
      <c r="K1792" s="18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</row>
    <row r="1793" ht="14.25" customHeight="1">
      <c r="A1793" s="9"/>
      <c r="B1793" s="8"/>
      <c r="C1793" s="8"/>
      <c r="D1793" s="8"/>
      <c r="E1793" s="8"/>
      <c r="F1793" s="8"/>
      <c r="G1793" s="8"/>
      <c r="H1793" s="8"/>
      <c r="I1793" s="10"/>
      <c r="J1793" s="10"/>
      <c r="K1793" s="18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</row>
    <row r="1794" ht="14.25" customHeight="1">
      <c r="A1794" s="9"/>
      <c r="B1794" s="8"/>
      <c r="C1794" s="8"/>
      <c r="D1794" s="8"/>
      <c r="E1794" s="8"/>
      <c r="F1794" s="8"/>
      <c r="G1794" s="8"/>
      <c r="H1794" s="8"/>
      <c r="I1794" s="10"/>
      <c r="J1794" s="10"/>
      <c r="K1794" s="18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</row>
    <row r="1795" ht="14.25" customHeight="1">
      <c r="A1795" s="9"/>
      <c r="B1795" s="8"/>
      <c r="C1795" s="8"/>
      <c r="D1795" s="8"/>
      <c r="E1795" s="8"/>
      <c r="F1795" s="8"/>
      <c r="G1795" s="8"/>
      <c r="H1795" s="8"/>
      <c r="I1795" s="10"/>
      <c r="J1795" s="10"/>
      <c r="K1795" s="18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</row>
    <row r="1796" ht="14.25" customHeight="1">
      <c r="A1796" s="9"/>
      <c r="B1796" s="8"/>
      <c r="C1796" s="8"/>
      <c r="D1796" s="8"/>
      <c r="E1796" s="8"/>
      <c r="F1796" s="8"/>
      <c r="G1796" s="8"/>
      <c r="H1796" s="8"/>
      <c r="I1796" s="10"/>
      <c r="J1796" s="10"/>
      <c r="K1796" s="18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</row>
    <row r="1797" ht="14.25" customHeight="1">
      <c r="A1797" s="9"/>
      <c r="B1797" s="8"/>
      <c r="C1797" s="8"/>
      <c r="D1797" s="8"/>
      <c r="E1797" s="8"/>
      <c r="F1797" s="8"/>
      <c r="G1797" s="8"/>
      <c r="H1797" s="8"/>
      <c r="I1797" s="10"/>
      <c r="J1797" s="10"/>
      <c r="K1797" s="18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</row>
    <row r="1798" ht="14.25" customHeight="1">
      <c r="A1798" s="9"/>
      <c r="B1798" s="8"/>
      <c r="C1798" s="8"/>
      <c r="D1798" s="8"/>
      <c r="E1798" s="8"/>
      <c r="F1798" s="8"/>
      <c r="G1798" s="8"/>
      <c r="H1798" s="8"/>
      <c r="I1798" s="10"/>
      <c r="J1798" s="10"/>
      <c r="K1798" s="18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</row>
    <row r="1799" ht="14.25" customHeight="1">
      <c r="A1799" s="9"/>
      <c r="B1799" s="8"/>
      <c r="C1799" s="8"/>
      <c r="D1799" s="8"/>
      <c r="E1799" s="8"/>
      <c r="F1799" s="8"/>
      <c r="G1799" s="8"/>
      <c r="H1799" s="8"/>
      <c r="I1799" s="10"/>
      <c r="J1799" s="10"/>
      <c r="K1799" s="18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</row>
    <row r="1800" ht="14.25" customHeight="1">
      <c r="A1800" s="9"/>
      <c r="B1800" s="8"/>
      <c r="C1800" s="8"/>
      <c r="D1800" s="8"/>
      <c r="E1800" s="8"/>
      <c r="F1800" s="8"/>
      <c r="G1800" s="8"/>
      <c r="H1800" s="8"/>
      <c r="I1800" s="10"/>
      <c r="J1800" s="10"/>
      <c r="K1800" s="18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</row>
    <row r="1801" ht="14.25" customHeight="1">
      <c r="A1801" s="9"/>
      <c r="B1801" s="8"/>
      <c r="C1801" s="8"/>
      <c r="D1801" s="8"/>
      <c r="E1801" s="8"/>
      <c r="F1801" s="8"/>
      <c r="G1801" s="8"/>
      <c r="H1801" s="8"/>
      <c r="I1801" s="10"/>
      <c r="J1801" s="10"/>
      <c r="K1801" s="18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</row>
    <row r="1802" ht="14.25" customHeight="1">
      <c r="A1802" s="9"/>
      <c r="B1802" s="8"/>
      <c r="C1802" s="8"/>
      <c r="D1802" s="8"/>
      <c r="E1802" s="8"/>
      <c r="F1802" s="8"/>
      <c r="G1802" s="8"/>
      <c r="H1802" s="8"/>
      <c r="I1802" s="10"/>
      <c r="J1802" s="10"/>
      <c r="K1802" s="18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</row>
    <row r="1803" ht="14.25" customHeight="1">
      <c r="A1803" s="9"/>
      <c r="B1803" s="8"/>
      <c r="C1803" s="8"/>
      <c r="D1803" s="8"/>
      <c r="E1803" s="8"/>
      <c r="F1803" s="8"/>
      <c r="G1803" s="8"/>
      <c r="H1803" s="8"/>
      <c r="I1803" s="10"/>
      <c r="J1803" s="10"/>
      <c r="K1803" s="18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</row>
    <row r="1804" ht="14.25" customHeight="1">
      <c r="A1804" s="9"/>
      <c r="B1804" s="8"/>
      <c r="C1804" s="8"/>
      <c r="D1804" s="8"/>
      <c r="E1804" s="8"/>
      <c r="F1804" s="8"/>
      <c r="G1804" s="8"/>
      <c r="H1804" s="8"/>
      <c r="I1804" s="10"/>
      <c r="J1804" s="10"/>
      <c r="K1804" s="18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</row>
    <row r="1805" ht="14.25" customHeight="1">
      <c r="A1805" s="9"/>
      <c r="B1805" s="8"/>
      <c r="C1805" s="8"/>
      <c r="D1805" s="8"/>
      <c r="E1805" s="8"/>
      <c r="F1805" s="8"/>
      <c r="G1805" s="8"/>
      <c r="H1805" s="8"/>
      <c r="I1805" s="10"/>
      <c r="J1805" s="10"/>
      <c r="K1805" s="18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</row>
    <row r="1806" ht="14.25" customHeight="1">
      <c r="A1806" s="9"/>
      <c r="B1806" s="8"/>
      <c r="C1806" s="8"/>
      <c r="D1806" s="8"/>
      <c r="E1806" s="8"/>
      <c r="F1806" s="8"/>
      <c r="G1806" s="8"/>
      <c r="H1806" s="8"/>
      <c r="I1806" s="10"/>
      <c r="J1806" s="10"/>
      <c r="K1806" s="18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</row>
    <row r="1807" ht="14.25" customHeight="1">
      <c r="A1807" s="9"/>
      <c r="B1807" s="8"/>
      <c r="C1807" s="8"/>
      <c r="D1807" s="8"/>
      <c r="E1807" s="8"/>
      <c r="F1807" s="8"/>
      <c r="G1807" s="8"/>
      <c r="H1807" s="8"/>
      <c r="I1807" s="10"/>
      <c r="J1807" s="10"/>
      <c r="K1807" s="18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</row>
    <row r="1808" ht="14.25" customHeight="1">
      <c r="A1808" s="9"/>
      <c r="B1808" s="8"/>
      <c r="C1808" s="8"/>
      <c r="D1808" s="8"/>
      <c r="E1808" s="8"/>
      <c r="F1808" s="8"/>
      <c r="G1808" s="8"/>
      <c r="H1808" s="8"/>
      <c r="I1808" s="10"/>
      <c r="J1808" s="10"/>
      <c r="K1808" s="18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</row>
    <row r="1809" ht="14.25" customHeight="1">
      <c r="A1809" s="9"/>
      <c r="B1809" s="8"/>
      <c r="C1809" s="8"/>
      <c r="D1809" s="8"/>
      <c r="E1809" s="8"/>
      <c r="F1809" s="8"/>
      <c r="G1809" s="8"/>
      <c r="H1809" s="8"/>
      <c r="I1809" s="10"/>
      <c r="J1809" s="10"/>
      <c r="K1809" s="18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</row>
    <row r="1810" ht="14.25" customHeight="1">
      <c r="A1810" s="9"/>
      <c r="B1810" s="8"/>
      <c r="C1810" s="8"/>
      <c r="D1810" s="8"/>
      <c r="E1810" s="8"/>
      <c r="F1810" s="8"/>
      <c r="G1810" s="8"/>
      <c r="H1810" s="8"/>
      <c r="I1810" s="10"/>
      <c r="J1810" s="10"/>
      <c r="K1810" s="18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</row>
    <row r="1811" ht="14.25" customHeight="1">
      <c r="A1811" s="9"/>
      <c r="B1811" s="8"/>
      <c r="C1811" s="8"/>
      <c r="D1811" s="8"/>
      <c r="E1811" s="8"/>
      <c r="F1811" s="8"/>
      <c r="G1811" s="8"/>
      <c r="H1811" s="8"/>
      <c r="I1811" s="10"/>
      <c r="J1811" s="10"/>
      <c r="K1811" s="18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</row>
    <row r="1812" ht="14.25" customHeight="1">
      <c r="A1812" s="9"/>
      <c r="B1812" s="8"/>
      <c r="C1812" s="8"/>
      <c r="D1812" s="8"/>
      <c r="E1812" s="8"/>
      <c r="F1812" s="8"/>
      <c r="G1812" s="8"/>
      <c r="H1812" s="8"/>
      <c r="I1812" s="10"/>
      <c r="J1812" s="10"/>
      <c r="K1812" s="18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</row>
    <row r="1813" ht="14.25" customHeight="1">
      <c r="A1813" s="9"/>
      <c r="B1813" s="8"/>
      <c r="C1813" s="8"/>
      <c r="D1813" s="8"/>
      <c r="E1813" s="8"/>
      <c r="F1813" s="8"/>
      <c r="G1813" s="8"/>
      <c r="H1813" s="8"/>
      <c r="I1813" s="10"/>
      <c r="J1813" s="10"/>
      <c r="K1813" s="18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</row>
    <row r="1814" ht="14.25" customHeight="1">
      <c r="A1814" s="9"/>
      <c r="B1814" s="8"/>
      <c r="C1814" s="8"/>
      <c r="D1814" s="8"/>
      <c r="E1814" s="8"/>
      <c r="F1814" s="8"/>
      <c r="G1814" s="8"/>
      <c r="H1814" s="8"/>
      <c r="I1814" s="10"/>
      <c r="J1814" s="10"/>
      <c r="K1814" s="18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</row>
    <row r="1815" ht="14.25" customHeight="1">
      <c r="A1815" s="9"/>
      <c r="B1815" s="8"/>
      <c r="C1815" s="8"/>
      <c r="D1815" s="8"/>
      <c r="E1815" s="8"/>
      <c r="F1815" s="8"/>
      <c r="G1815" s="8"/>
      <c r="H1815" s="8"/>
      <c r="I1815" s="10"/>
      <c r="J1815" s="10"/>
      <c r="K1815" s="18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</row>
    <row r="1816" ht="14.25" customHeight="1">
      <c r="A1816" s="9"/>
      <c r="B1816" s="8"/>
      <c r="C1816" s="8"/>
      <c r="D1816" s="8"/>
      <c r="E1816" s="8"/>
      <c r="F1816" s="8"/>
      <c r="G1816" s="8"/>
      <c r="H1816" s="8"/>
      <c r="I1816" s="10"/>
      <c r="J1816" s="10"/>
      <c r="K1816" s="18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</row>
    <row r="1817" ht="14.25" customHeight="1">
      <c r="A1817" s="9"/>
      <c r="B1817" s="8"/>
      <c r="C1817" s="8"/>
      <c r="D1817" s="8"/>
      <c r="E1817" s="8"/>
      <c r="F1817" s="8"/>
      <c r="G1817" s="8"/>
      <c r="H1817" s="8"/>
      <c r="I1817" s="10"/>
      <c r="J1817" s="10"/>
      <c r="K1817" s="18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</row>
    <row r="1818" ht="14.25" customHeight="1">
      <c r="A1818" s="9"/>
      <c r="B1818" s="8"/>
      <c r="C1818" s="8"/>
      <c r="D1818" s="8"/>
      <c r="E1818" s="8"/>
      <c r="F1818" s="8"/>
      <c r="G1818" s="8"/>
      <c r="H1818" s="8"/>
      <c r="I1818" s="10"/>
      <c r="J1818" s="10"/>
      <c r="K1818" s="18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</row>
    <row r="1819" ht="14.25" customHeight="1">
      <c r="A1819" s="9"/>
      <c r="B1819" s="8"/>
      <c r="C1819" s="8"/>
      <c r="D1819" s="8"/>
      <c r="E1819" s="8"/>
      <c r="F1819" s="8"/>
      <c r="G1819" s="8"/>
      <c r="H1819" s="8"/>
      <c r="I1819" s="10"/>
      <c r="J1819" s="10"/>
      <c r="K1819" s="18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</row>
    <row r="1820" ht="14.25" customHeight="1">
      <c r="A1820" s="9"/>
      <c r="B1820" s="8"/>
      <c r="C1820" s="8"/>
      <c r="D1820" s="8"/>
      <c r="E1820" s="8"/>
      <c r="F1820" s="8"/>
      <c r="G1820" s="8"/>
      <c r="H1820" s="8"/>
      <c r="I1820" s="10"/>
      <c r="J1820" s="10"/>
      <c r="K1820" s="18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</row>
    <row r="1821" ht="14.25" customHeight="1">
      <c r="A1821" s="9"/>
      <c r="B1821" s="8"/>
      <c r="C1821" s="8"/>
      <c r="D1821" s="8"/>
      <c r="E1821" s="8"/>
      <c r="F1821" s="8"/>
      <c r="G1821" s="8"/>
      <c r="H1821" s="8"/>
      <c r="I1821" s="10"/>
      <c r="J1821" s="10"/>
      <c r="K1821" s="18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</row>
    <row r="1822" ht="14.25" customHeight="1">
      <c r="A1822" s="9"/>
      <c r="B1822" s="8"/>
      <c r="C1822" s="8"/>
      <c r="D1822" s="8"/>
      <c r="E1822" s="8"/>
      <c r="F1822" s="8"/>
      <c r="G1822" s="8"/>
      <c r="H1822" s="8"/>
      <c r="I1822" s="10"/>
      <c r="J1822" s="10"/>
      <c r="K1822" s="18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</row>
    <row r="1823" ht="14.25" customHeight="1">
      <c r="A1823" s="9"/>
      <c r="B1823" s="8"/>
      <c r="C1823" s="8"/>
      <c r="D1823" s="8"/>
      <c r="E1823" s="8"/>
      <c r="F1823" s="8"/>
      <c r="G1823" s="8"/>
      <c r="H1823" s="8"/>
      <c r="I1823" s="10"/>
      <c r="J1823" s="10"/>
      <c r="K1823" s="18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</row>
    <row r="1824" ht="14.25" customHeight="1">
      <c r="A1824" s="9"/>
      <c r="B1824" s="8"/>
      <c r="C1824" s="8"/>
      <c r="D1824" s="8"/>
      <c r="E1824" s="8"/>
      <c r="F1824" s="8"/>
      <c r="G1824" s="8"/>
      <c r="H1824" s="8"/>
      <c r="I1824" s="10"/>
      <c r="J1824" s="10"/>
      <c r="K1824" s="18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</row>
    <row r="1825" ht="14.25" customHeight="1">
      <c r="A1825" s="9"/>
      <c r="B1825" s="8"/>
      <c r="C1825" s="8"/>
      <c r="D1825" s="8"/>
      <c r="E1825" s="8"/>
      <c r="F1825" s="8"/>
      <c r="G1825" s="8"/>
      <c r="H1825" s="8"/>
      <c r="I1825" s="10"/>
      <c r="J1825" s="10"/>
      <c r="K1825" s="18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</row>
    <row r="1826" ht="14.25" customHeight="1">
      <c r="A1826" s="9"/>
      <c r="B1826" s="8"/>
      <c r="C1826" s="8"/>
      <c r="D1826" s="8"/>
      <c r="E1826" s="8"/>
      <c r="F1826" s="8"/>
      <c r="G1826" s="8"/>
      <c r="H1826" s="8"/>
      <c r="I1826" s="10"/>
      <c r="J1826" s="10"/>
      <c r="K1826" s="18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</row>
    <row r="1827" ht="14.25" customHeight="1">
      <c r="A1827" s="9"/>
      <c r="B1827" s="8"/>
      <c r="C1827" s="8"/>
      <c r="D1827" s="8"/>
      <c r="E1827" s="8"/>
      <c r="F1827" s="8"/>
      <c r="G1827" s="8"/>
      <c r="H1827" s="8"/>
      <c r="I1827" s="10"/>
      <c r="J1827" s="10"/>
      <c r="K1827" s="18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</row>
    <row r="1828" ht="14.25" customHeight="1">
      <c r="A1828" s="9"/>
      <c r="B1828" s="8"/>
      <c r="C1828" s="8"/>
      <c r="D1828" s="8"/>
      <c r="E1828" s="8"/>
      <c r="F1828" s="8"/>
      <c r="G1828" s="8"/>
      <c r="H1828" s="8"/>
      <c r="I1828" s="10"/>
      <c r="J1828" s="10"/>
      <c r="K1828" s="18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</row>
    <row r="1829" ht="14.25" customHeight="1">
      <c r="A1829" s="9"/>
      <c r="B1829" s="8"/>
      <c r="C1829" s="8"/>
      <c r="D1829" s="8"/>
      <c r="E1829" s="8"/>
      <c r="F1829" s="8"/>
      <c r="G1829" s="8"/>
      <c r="H1829" s="8"/>
      <c r="I1829" s="10"/>
      <c r="J1829" s="10"/>
      <c r="K1829" s="18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</row>
    <row r="1830" ht="14.25" customHeight="1">
      <c r="A1830" s="9"/>
      <c r="B1830" s="8"/>
      <c r="C1830" s="8"/>
      <c r="D1830" s="8"/>
      <c r="E1830" s="8"/>
      <c r="F1830" s="8"/>
      <c r="G1830" s="8"/>
      <c r="H1830" s="8"/>
      <c r="I1830" s="10"/>
      <c r="J1830" s="10"/>
      <c r="K1830" s="18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</row>
    <row r="1831" ht="14.25" customHeight="1">
      <c r="A1831" s="9"/>
      <c r="B1831" s="8"/>
      <c r="C1831" s="8"/>
      <c r="D1831" s="8"/>
      <c r="E1831" s="8"/>
      <c r="F1831" s="8"/>
      <c r="G1831" s="8"/>
      <c r="H1831" s="8"/>
      <c r="I1831" s="10"/>
      <c r="J1831" s="10"/>
      <c r="K1831" s="18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</row>
    <row r="1832" ht="14.25" customHeight="1">
      <c r="A1832" s="9"/>
      <c r="B1832" s="8"/>
      <c r="C1832" s="8"/>
      <c r="D1832" s="8"/>
      <c r="E1832" s="8"/>
      <c r="F1832" s="8"/>
      <c r="G1832" s="8"/>
      <c r="H1832" s="8"/>
      <c r="I1832" s="10"/>
      <c r="J1832" s="10"/>
      <c r="K1832" s="18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</row>
    <row r="1833" ht="14.25" customHeight="1">
      <c r="A1833" s="9"/>
      <c r="B1833" s="8"/>
      <c r="C1833" s="8"/>
      <c r="D1833" s="8"/>
      <c r="E1833" s="8"/>
      <c r="F1833" s="8"/>
      <c r="G1833" s="8"/>
      <c r="H1833" s="8"/>
      <c r="I1833" s="10"/>
      <c r="J1833" s="10"/>
      <c r="K1833" s="18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</row>
    <row r="1834" ht="14.25" customHeight="1">
      <c r="A1834" s="9"/>
      <c r="B1834" s="8"/>
      <c r="C1834" s="8"/>
      <c r="D1834" s="8"/>
      <c r="E1834" s="8"/>
      <c r="F1834" s="8"/>
      <c r="G1834" s="8"/>
      <c r="H1834" s="8"/>
      <c r="I1834" s="10"/>
      <c r="J1834" s="10"/>
      <c r="K1834" s="18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</row>
    <row r="1835" ht="14.25" customHeight="1">
      <c r="A1835" s="9"/>
      <c r="B1835" s="8"/>
      <c r="C1835" s="8"/>
      <c r="D1835" s="8"/>
      <c r="E1835" s="8"/>
      <c r="F1835" s="8"/>
      <c r="G1835" s="8"/>
      <c r="H1835" s="8"/>
      <c r="I1835" s="10"/>
      <c r="J1835" s="10"/>
      <c r="K1835" s="18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</row>
    <row r="1836" ht="14.25" customHeight="1">
      <c r="A1836" s="9"/>
      <c r="B1836" s="8"/>
      <c r="C1836" s="8"/>
      <c r="D1836" s="8"/>
      <c r="E1836" s="8"/>
      <c r="F1836" s="8"/>
      <c r="G1836" s="8"/>
      <c r="H1836" s="8"/>
      <c r="I1836" s="10"/>
      <c r="J1836" s="10"/>
      <c r="K1836" s="18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</row>
    <row r="1837" ht="14.25" customHeight="1">
      <c r="A1837" s="9"/>
      <c r="B1837" s="8"/>
      <c r="C1837" s="8"/>
      <c r="D1837" s="8"/>
      <c r="E1837" s="8"/>
      <c r="F1837" s="8"/>
      <c r="G1837" s="8"/>
      <c r="H1837" s="8"/>
      <c r="I1837" s="10"/>
      <c r="J1837" s="10"/>
      <c r="K1837" s="18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</row>
    <row r="1838" ht="14.25" customHeight="1">
      <c r="A1838" s="9"/>
      <c r="B1838" s="8"/>
      <c r="C1838" s="8"/>
      <c r="D1838" s="8"/>
      <c r="E1838" s="8"/>
      <c r="F1838" s="8"/>
      <c r="G1838" s="8"/>
      <c r="H1838" s="8"/>
      <c r="I1838" s="10"/>
      <c r="J1838" s="10"/>
      <c r="K1838" s="18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</row>
    <row r="1839" ht="14.25" customHeight="1">
      <c r="A1839" s="9"/>
      <c r="B1839" s="8"/>
      <c r="C1839" s="8"/>
      <c r="D1839" s="8"/>
      <c r="E1839" s="8"/>
      <c r="F1839" s="8"/>
      <c r="G1839" s="8"/>
      <c r="H1839" s="8"/>
      <c r="I1839" s="10"/>
      <c r="J1839" s="10"/>
      <c r="K1839" s="18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</row>
    <row r="1840" ht="14.25" customHeight="1">
      <c r="A1840" s="9"/>
      <c r="B1840" s="8"/>
      <c r="C1840" s="8"/>
      <c r="D1840" s="8"/>
      <c r="E1840" s="8"/>
      <c r="F1840" s="8"/>
      <c r="G1840" s="8"/>
      <c r="H1840" s="8"/>
      <c r="I1840" s="10"/>
      <c r="J1840" s="10"/>
      <c r="K1840" s="18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</row>
    <row r="1841" ht="14.25" customHeight="1">
      <c r="A1841" s="9"/>
      <c r="B1841" s="8"/>
      <c r="C1841" s="8"/>
      <c r="D1841" s="8"/>
      <c r="E1841" s="8"/>
      <c r="F1841" s="8"/>
      <c r="G1841" s="8"/>
      <c r="H1841" s="8"/>
      <c r="I1841" s="10"/>
      <c r="J1841" s="10"/>
      <c r="K1841" s="18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</row>
    <row r="1842" ht="14.25" customHeight="1">
      <c r="A1842" s="9"/>
      <c r="B1842" s="8"/>
      <c r="C1842" s="8"/>
      <c r="D1842" s="8"/>
      <c r="E1842" s="8"/>
      <c r="F1842" s="8"/>
      <c r="G1842" s="8"/>
      <c r="H1842" s="8"/>
      <c r="I1842" s="10"/>
      <c r="J1842" s="10"/>
      <c r="K1842" s="18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</row>
    <row r="1843" ht="14.25" customHeight="1">
      <c r="A1843" s="9"/>
      <c r="B1843" s="8"/>
      <c r="C1843" s="8"/>
      <c r="D1843" s="8"/>
      <c r="E1843" s="8"/>
      <c r="F1843" s="8"/>
      <c r="G1843" s="8"/>
      <c r="H1843" s="8"/>
      <c r="I1843" s="10"/>
      <c r="J1843" s="10"/>
      <c r="K1843" s="18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</row>
    <row r="1844" ht="14.25" customHeight="1">
      <c r="A1844" s="9"/>
      <c r="B1844" s="8"/>
      <c r="C1844" s="8"/>
      <c r="D1844" s="8"/>
      <c r="E1844" s="8"/>
      <c r="F1844" s="8"/>
      <c r="G1844" s="8"/>
      <c r="H1844" s="8"/>
      <c r="I1844" s="10"/>
      <c r="J1844" s="10"/>
      <c r="K1844" s="18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</row>
    <row r="1845" ht="14.25" customHeight="1">
      <c r="A1845" s="9"/>
      <c r="B1845" s="8"/>
      <c r="C1845" s="8"/>
      <c r="D1845" s="8"/>
      <c r="E1845" s="8"/>
      <c r="F1845" s="8"/>
      <c r="G1845" s="8"/>
      <c r="H1845" s="8"/>
      <c r="I1845" s="10"/>
      <c r="J1845" s="10"/>
      <c r="K1845" s="18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</row>
    <row r="1846" ht="14.25" customHeight="1">
      <c r="A1846" s="9"/>
      <c r="B1846" s="8"/>
      <c r="C1846" s="8"/>
      <c r="D1846" s="8"/>
      <c r="E1846" s="8"/>
      <c r="F1846" s="8"/>
      <c r="G1846" s="8"/>
      <c r="H1846" s="8"/>
      <c r="I1846" s="10"/>
      <c r="J1846" s="10"/>
      <c r="K1846" s="18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</row>
    <row r="1847" ht="14.25" customHeight="1">
      <c r="A1847" s="9"/>
      <c r="B1847" s="8"/>
      <c r="C1847" s="8"/>
      <c r="D1847" s="8"/>
      <c r="E1847" s="8"/>
      <c r="F1847" s="8"/>
      <c r="G1847" s="8"/>
      <c r="H1847" s="8"/>
      <c r="I1847" s="10"/>
      <c r="J1847" s="10"/>
      <c r="K1847" s="18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</row>
    <row r="1848" ht="14.25" customHeight="1">
      <c r="A1848" s="9"/>
      <c r="B1848" s="8"/>
      <c r="C1848" s="8"/>
      <c r="D1848" s="8"/>
      <c r="E1848" s="8"/>
      <c r="F1848" s="8"/>
      <c r="G1848" s="8"/>
      <c r="H1848" s="8"/>
      <c r="I1848" s="10"/>
      <c r="J1848" s="10"/>
      <c r="K1848" s="18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</row>
    <row r="1849" ht="14.25" customHeight="1">
      <c r="A1849" s="9"/>
      <c r="B1849" s="8"/>
      <c r="C1849" s="8"/>
      <c r="D1849" s="8"/>
      <c r="E1849" s="8"/>
      <c r="F1849" s="8"/>
      <c r="G1849" s="8"/>
      <c r="H1849" s="8"/>
      <c r="I1849" s="10"/>
      <c r="J1849" s="10"/>
      <c r="K1849" s="18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</row>
    <row r="1850" ht="14.25" customHeight="1">
      <c r="A1850" s="9"/>
      <c r="B1850" s="8"/>
      <c r="C1850" s="8"/>
      <c r="D1850" s="8"/>
      <c r="E1850" s="8"/>
      <c r="F1850" s="8"/>
      <c r="G1850" s="8"/>
      <c r="H1850" s="8"/>
      <c r="I1850" s="10"/>
      <c r="J1850" s="10"/>
      <c r="K1850" s="18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</row>
    <row r="1851" ht="14.25" customHeight="1">
      <c r="A1851" s="9"/>
      <c r="B1851" s="8"/>
      <c r="C1851" s="8"/>
      <c r="D1851" s="8"/>
      <c r="E1851" s="8"/>
      <c r="F1851" s="8"/>
      <c r="G1851" s="8"/>
      <c r="H1851" s="8"/>
      <c r="I1851" s="10"/>
      <c r="J1851" s="10"/>
      <c r="K1851" s="18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</row>
    <row r="1852" ht="14.25" customHeight="1">
      <c r="A1852" s="9"/>
      <c r="B1852" s="8"/>
      <c r="C1852" s="8"/>
      <c r="D1852" s="8"/>
      <c r="E1852" s="8"/>
      <c r="F1852" s="8"/>
      <c r="G1852" s="8"/>
      <c r="H1852" s="8"/>
      <c r="I1852" s="10"/>
      <c r="J1852" s="10"/>
      <c r="K1852" s="18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</row>
    <row r="1853" ht="14.25" customHeight="1">
      <c r="A1853" s="9"/>
      <c r="B1853" s="8"/>
      <c r="C1853" s="8"/>
      <c r="D1853" s="8"/>
      <c r="E1853" s="8"/>
      <c r="F1853" s="8"/>
      <c r="G1853" s="8"/>
      <c r="H1853" s="8"/>
      <c r="I1853" s="10"/>
      <c r="J1853" s="10"/>
      <c r="K1853" s="18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</row>
    <row r="1854" ht="14.25" customHeight="1">
      <c r="A1854" s="9"/>
      <c r="B1854" s="8"/>
      <c r="C1854" s="8"/>
      <c r="D1854" s="8"/>
      <c r="E1854" s="8"/>
      <c r="F1854" s="8"/>
      <c r="G1854" s="8"/>
      <c r="H1854" s="8"/>
      <c r="I1854" s="10"/>
      <c r="J1854" s="10"/>
      <c r="K1854" s="18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</row>
    <row r="1855" ht="14.25" customHeight="1">
      <c r="A1855" s="9"/>
      <c r="B1855" s="8"/>
      <c r="C1855" s="8"/>
      <c r="D1855" s="8"/>
      <c r="E1855" s="8"/>
      <c r="F1855" s="8"/>
      <c r="G1855" s="8"/>
      <c r="H1855" s="8"/>
      <c r="I1855" s="10"/>
      <c r="J1855" s="10"/>
      <c r="K1855" s="18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</row>
    <row r="1856" ht="14.25" customHeight="1">
      <c r="A1856" s="9"/>
      <c r="B1856" s="8"/>
      <c r="C1856" s="8"/>
      <c r="D1856" s="8"/>
      <c r="E1856" s="8"/>
      <c r="F1856" s="8"/>
      <c r="G1856" s="8"/>
      <c r="H1856" s="8"/>
      <c r="I1856" s="10"/>
      <c r="J1856" s="10"/>
      <c r="K1856" s="18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</row>
    <row r="1857" ht="14.25" customHeight="1">
      <c r="A1857" s="9"/>
      <c r="B1857" s="8"/>
      <c r="C1857" s="8"/>
      <c r="D1857" s="8"/>
      <c r="E1857" s="8"/>
      <c r="F1857" s="8"/>
      <c r="G1857" s="8"/>
      <c r="H1857" s="8"/>
      <c r="I1857" s="10"/>
      <c r="J1857" s="10"/>
      <c r="K1857" s="18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</row>
    <row r="1858" ht="14.25" customHeight="1">
      <c r="A1858" s="9"/>
      <c r="B1858" s="8"/>
      <c r="C1858" s="8"/>
      <c r="D1858" s="8"/>
      <c r="E1858" s="8"/>
      <c r="F1858" s="8"/>
      <c r="G1858" s="8"/>
      <c r="H1858" s="8"/>
      <c r="I1858" s="10"/>
      <c r="J1858" s="10"/>
      <c r="K1858" s="18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</row>
    <row r="1859" ht="14.25" customHeight="1">
      <c r="A1859" s="9"/>
      <c r="B1859" s="8"/>
      <c r="C1859" s="8"/>
      <c r="D1859" s="8"/>
      <c r="E1859" s="8"/>
      <c r="F1859" s="8"/>
      <c r="G1859" s="8"/>
      <c r="H1859" s="8"/>
      <c r="I1859" s="10"/>
      <c r="J1859" s="10"/>
      <c r="K1859" s="18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</row>
    <row r="1860" ht="14.25" customHeight="1">
      <c r="A1860" s="9"/>
      <c r="B1860" s="8"/>
      <c r="C1860" s="8"/>
      <c r="D1860" s="8"/>
      <c r="E1860" s="8"/>
      <c r="F1860" s="8"/>
      <c r="G1860" s="8"/>
      <c r="H1860" s="8"/>
      <c r="I1860" s="10"/>
      <c r="J1860" s="10"/>
      <c r="K1860" s="18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</row>
    <row r="1861" ht="14.25" customHeight="1">
      <c r="A1861" s="9"/>
      <c r="B1861" s="8"/>
      <c r="C1861" s="8"/>
      <c r="D1861" s="8"/>
      <c r="E1861" s="8"/>
      <c r="F1861" s="8"/>
      <c r="G1861" s="8"/>
      <c r="H1861" s="8"/>
      <c r="I1861" s="10"/>
      <c r="J1861" s="10"/>
      <c r="K1861" s="18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</row>
    <row r="1862" ht="14.25" customHeight="1">
      <c r="A1862" s="9"/>
      <c r="B1862" s="8"/>
      <c r="C1862" s="8"/>
      <c r="D1862" s="8"/>
      <c r="E1862" s="8"/>
      <c r="F1862" s="8"/>
      <c r="G1862" s="8"/>
      <c r="H1862" s="8"/>
      <c r="I1862" s="10"/>
      <c r="J1862" s="10"/>
      <c r="K1862" s="18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</row>
    <row r="1863" ht="14.25" customHeight="1">
      <c r="A1863" s="9"/>
      <c r="B1863" s="8"/>
      <c r="C1863" s="8"/>
      <c r="D1863" s="8"/>
      <c r="E1863" s="8"/>
      <c r="F1863" s="8"/>
      <c r="G1863" s="8"/>
      <c r="H1863" s="8"/>
      <c r="I1863" s="10"/>
      <c r="J1863" s="10"/>
      <c r="K1863" s="18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</row>
    <row r="1864" ht="14.25" customHeight="1">
      <c r="A1864" s="9"/>
      <c r="B1864" s="8"/>
      <c r="C1864" s="8"/>
      <c r="D1864" s="8"/>
      <c r="E1864" s="8"/>
      <c r="F1864" s="8"/>
      <c r="G1864" s="8"/>
      <c r="H1864" s="8"/>
      <c r="I1864" s="10"/>
      <c r="J1864" s="10"/>
      <c r="K1864" s="18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</row>
    <row r="1865" ht="14.25" customHeight="1">
      <c r="A1865" s="9"/>
      <c r="B1865" s="8"/>
      <c r="C1865" s="8"/>
      <c r="D1865" s="8"/>
      <c r="E1865" s="8"/>
      <c r="F1865" s="8"/>
      <c r="G1865" s="8"/>
      <c r="H1865" s="8"/>
      <c r="I1865" s="10"/>
      <c r="J1865" s="10"/>
      <c r="K1865" s="18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</row>
    <row r="1866" ht="14.25" customHeight="1">
      <c r="A1866" s="9"/>
      <c r="B1866" s="8"/>
      <c r="C1866" s="8"/>
      <c r="D1866" s="8"/>
      <c r="E1866" s="8"/>
      <c r="F1866" s="8"/>
      <c r="G1866" s="8"/>
      <c r="H1866" s="8"/>
      <c r="I1866" s="10"/>
      <c r="J1866" s="10"/>
      <c r="K1866" s="18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</row>
    <row r="1867" ht="14.25" customHeight="1">
      <c r="A1867" s="9"/>
      <c r="B1867" s="8"/>
      <c r="C1867" s="8"/>
      <c r="D1867" s="8"/>
      <c r="E1867" s="8"/>
      <c r="F1867" s="8"/>
      <c r="G1867" s="8"/>
      <c r="H1867" s="8"/>
      <c r="I1867" s="10"/>
      <c r="J1867" s="10"/>
      <c r="K1867" s="18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</row>
    <row r="1868" ht="14.25" customHeight="1">
      <c r="A1868" s="9"/>
      <c r="B1868" s="8"/>
      <c r="C1868" s="8"/>
      <c r="D1868" s="8"/>
      <c r="E1868" s="8"/>
      <c r="F1868" s="8"/>
      <c r="G1868" s="8"/>
      <c r="H1868" s="8"/>
      <c r="I1868" s="10"/>
      <c r="J1868" s="10"/>
      <c r="K1868" s="18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</row>
    <row r="1869" ht="14.25" customHeight="1">
      <c r="A1869" s="9"/>
      <c r="B1869" s="8"/>
      <c r="C1869" s="8"/>
      <c r="D1869" s="8"/>
      <c r="E1869" s="8"/>
      <c r="F1869" s="8"/>
      <c r="G1869" s="8"/>
      <c r="H1869" s="8"/>
      <c r="I1869" s="10"/>
      <c r="J1869" s="10"/>
      <c r="K1869" s="18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</row>
    <row r="1870" ht="14.25" customHeight="1">
      <c r="A1870" s="9"/>
      <c r="B1870" s="8"/>
      <c r="C1870" s="8"/>
      <c r="D1870" s="8"/>
      <c r="E1870" s="8"/>
      <c r="F1870" s="8"/>
      <c r="G1870" s="8"/>
      <c r="H1870" s="8"/>
      <c r="I1870" s="10"/>
      <c r="J1870" s="10"/>
      <c r="K1870" s="18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</row>
    <row r="1871" ht="14.25" customHeight="1">
      <c r="A1871" s="9"/>
      <c r="B1871" s="8"/>
      <c r="C1871" s="8"/>
      <c r="D1871" s="8"/>
      <c r="E1871" s="8"/>
      <c r="F1871" s="8"/>
      <c r="G1871" s="8"/>
      <c r="H1871" s="8"/>
      <c r="I1871" s="10"/>
      <c r="J1871" s="10"/>
      <c r="K1871" s="18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</row>
    <row r="1872" ht="14.25" customHeight="1">
      <c r="A1872" s="9"/>
      <c r="B1872" s="8"/>
      <c r="C1872" s="8"/>
      <c r="D1872" s="8"/>
      <c r="E1872" s="8"/>
      <c r="F1872" s="8"/>
      <c r="G1872" s="8"/>
      <c r="H1872" s="8"/>
      <c r="I1872" s="10"/>
      <c r="J1872" s="10"/>
      <c r="K1872" s="18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</row>
    <row r="1873" ht="14.25" customHeight="1">
      <c r="A1873" s="9"/>
      <c r="B1873" s="8"/>
      <c r="C1873" s="8"/>
      <c r="D1873" s="8"/>
      <c r="E1873" s="8"/>
      <c r="F1873" s="8"/>
      <c r="G1873" s="8"/>
      <c r="H1873" s="8"/>
      <c r="I1873" s="10"/>
      <c r="J1873" s="10"/>
      <c r="K1873" s="18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</row>
    <row r="1874" ht="14.25" customHeight="1">
      <c r="A1874" s="9"/>
      <c r="B1874" s="8"/>
      <c r="C1874" s="8"/>
      <c r="D1874" s="8"/>
      <c r="E1874" s="8"/>
      <c r="F1874" s="8"/>
      <c r="G1874" s="8"/>
      <c r="H1874" s="8"/>
      <c r="I1874" s="10"/>
      <c r="J1874" s="10"/>
      <c r="K1874" s="18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</row>
    <row r="1875" ht="14.25" customHeight="1">
      <c r="A1875" s="9"/>
      <c r="B1875" s="8"/>
      <c r="C1875" s="8"/>
      <c r="D1875" s="8"/>
      <c r="E1875" s="8"/>
      <c r="F1875" s="8"/>
      <c r="G1875" s="8"/>
      <c r="H1875" s="8"/>
      <c r="I1875" s="10"/>
      <c r="J1875" s="10"/>
      <c r="K1875" s="18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</row>
    <row r="1876" ht="14.25" customHeight="1">
      <c r="A1876" s="9"/>
      <c r="B1876" s="8"/>
      <c r="C1876" s="8"/>
      <c r="D1876" s="8"/>
      <c r="E1876" s="8"/>
      <c r="F1876" s="8"/>
      <c r="G1876" s="8"/>
      <c r="H1876" s="8"/>
      <c r="I1876" s="10"/>
      <c r="J1876" s="10"/>
      <c r="K1876" s="18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</row>
    <row r="1877" ht="14.25" customHeight="1">
      <c r="A1877" s="9"/>
      <c r="B1877" s="8"/>
      <c r="C1877" s="8"/>
      <c r="D1877" s="8"/>
      <c r="E1877" s="8"/>
      <c r="F1877" s="8"/>
      <c r="G1877" s="8"/>
      <c r="H1877" s="8"/>
      <c r="I1877" s="10"/>
      <c r="J1877" s="10"/>
      <c r="K1877" s="18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</row>
    <row r="1878" ht="14.25" customHeight="1">
      <c r="A1878" s="9"/>
      <c r="B1878" s="8"/>
      <c r="C1878" s="8"/>
      <c r="D1878" s="8"/>
      <c r="E1878" s="8"/>
      <c r="F1878" s="8"/>
      <c r="G1878" s="8"/>
      <c r="H1878" s="8"/>
      <c r="I1878" s="10"/>
      <c r="J1878" s="10"/>
      <c r="K1878" s="18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</row>
    <row r="1879" ht="14.25" customHeight="1">
      <c r="A1879" s="9"/>
      <c r="B1879" s="8"/>
      <c r="C1879" s="8"/>
      <c r="D1879" s="8"/>
      <c r="E1879" s="8"/>
      <c r="F1879" s="8"/>
      <c r="G1879" s="8"/>
      <c r="H1879" s="8"/>
      <c r="I1879" s="10"/>
      <c r="J1879" s="10"/>
      <c r="K1879" s="18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</row>
    <row r="1880" ht="14.25" customHeight="1">
      <c r="A1880" s="9"/>
      <c r="B1880" s="8"/>
      <c r="C1880" s="8"/>
      <c r="D1880" s="8"/>
      <c r="E1880" s="8"/>
      <c r="F1880" s="8"/>
      <c r="G1880" s="8"/>
      <c r="H1880" s="8"/>
      <c r="I1880" s="10"/>
      <c r="J1880" s="10"/>
      <c r="K1880" s="18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</row>
    <row r="1881" ht="14.25" customHeight="1">
      <c r="A1881" s="9"/>
      <c r="B1881" s="8"/>
      <c r="C1881" s="8"/>
      <c r="D1881" s="8"/>
      <c r="E1881" s="8"/>
      <c r="F1881" s="8"/>
      <c r="G1881" s="8"/>
      <c r="H1881" s="8"/>
      <c r="I1881" s="10"/>
      <c r="J1881" s="10"/>
      <c r="K1881" s="18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</row>
    <row r="1882" ht="14.25" customHeight="1">
      <c r="A1882" s="9"/>
      <c r="B1882" s="8"/>
      <c r="C1882" s="8"/>
      <c r="D1882" s="8"/>
      <c r="E1882" s="8"/>
      <c r="F1882" s="8"/>
      <c r="G1882" s="8"/>
      <c r="H1882" s="8"/>
      <c r="I1882" s="10"/>
      <c r="J1882" s="10"/>
      <c r="K1882" s="18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</row>
    <row r="1883" ht="14.25" customHeight="1">
      <c r="A1883" s="9"/>
      <c r="B1883" s="8"/>
      <c r="C1883" s="8"/>
      <c r="D1883" s="8"/>
      <c r="E1883" s="8"/>
      <c r="F1883" s="8"/>
      <c r="G1883" s="8"/>
      <c r="H1883" s="8"/>
      <c r="I1883" s="10"/>
      <c r="J1883" s="10"/>
      <c r="K1883" s="18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</row>
    <row r="1884" ht="14.25" customHeight="1">
      <c r="A1884" s="9"/>
      <c r="B1884" s="8"/>
      <c r="C1884" s="8"/>
      <c r="D1884" s="8"/>
      <c r="E1884" s="8"/>
      <c r="F1884" s="8"/>
      <c r="G1884" s="8"/>
      <c r="H1884" s="8"/>
      <c r="I1884" s="10"/>
      <c r="J1884" s="10"/>
      <c r="K1884" s="18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</row>
    <row r="1885" ht="14.25" customHeight="1">
      <c r="A1885" s="9"/>
      <c r="B1885" s="8"/>
      <c r="C1885" s="8"/>
      <c r="D1885" s="8"/>
      <c r="E1885" s="8"/>
      <c r="F1885" s="8"/>
      <c r="G1885" s="8"/>
      <c r="H1885" s="8"/>
      <c r="I1885" s="10"/>
      <c r="J1885" s="10"/>
      <c r="K1885" s="18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</row>
    <row r="1886" ht="14.25" customHeight="1">
      <c r="A1886" s="9"/>
      <c r="B1886" s="8"/>
      <c r="C1886" s="8"/>
      <c r="D1886" s="8"/>
      <c r="E1886" s="8"/>
      <c r="F1886" s="8"/>
      <c r="G1886" s="8"/>
      <c r="H1886" s="8"/>
      <c r="I1886" s="10"/>
      <c r="J1886" s="10"/>
      <c r="K1886" s="18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</row>
    <row r="1887" ht="14.25" customHeight="1">
      <c r="A1887" s="9"/>
      <c r="B1887" s="8"/>
      <c r="C1887" s="8"/>
      <c r="D1887" s="8"/>
      <c r="E1887" s="8"/>
      <c r="F1887" s="8"/>
      <c r="G1887" s="8"/>
      <c r="H1887" s="8"/>
      <c r="I1887" s="10"/>
      <c r="J1887" s="10"/>
      <c r="K1887" s="18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</row>
    <row r="1888" ht="14.25" customHeight="1">
      <c r="A1888" s="9"/>
      <c r="B1888" s="8"/>
      <c r="C1888" s="8"/>
      <c r="D1888" s="8"/>
      <c r="E1888" s="8"/>
      <c r="F1888" s="8"/>
      <c r="G1888" s="8"/>
      <c r="H1888" s="8"/>
      <c r="I1888" s="10"/>
      <c r="J1888" s="10"/>
      <c r="K1888" s="18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</row>
    <row r="1889" ht="14.25" customHeight="1">
      <c r="A1889" s="9"/>
      <c r="B1889" s="8"/>
      <c r="C1889" s="8"/>
      <c r="D1889" s="8"/>
      <c r="E1889" s="8"/>
      <c r="F1889" s="8"/>
      <c r="G1889" s="8"/>
      <c r="H1889" s="8"/>
      <c r="I1889" s="10"/>
      <c r="J1889" s="10"/>
      <c r="K1889" s="18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</row>
    <row r="1890" ht="14.25" customHeight="1">
      <c r="A1890" s="9"/>
      <c r="B1890" s="8"/>
      <c r="C1890" s="8"/>
      <c r="D1890" s="8"/>
      <c r="E1890" s="8"/>
      <c r="F1890" s="8"/>
      <c r="G1890" s="8"/>
      <c r="H1890" s="8"/>
      <c r="I1890" s="10"/>
      <c r="J1890" s="10"/>
      <c r="K1890" s="18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</row>
    <row r="1891" ht="14.25" customHeight="1">
      <c r="A1891" s="9"/>
      <c r="B1891" s="8"/>
      <c r="C1891" s="8"/>
      <c r="D1891" s="8"/>
      <c r="E1891" s="8"/>
      <c r="F1891" s="8"/>
      <c r="G1891" s="8"/>
      <c r="H1891" s="8"/>
      <c r="I1891" s="10"/>
      <c r="J1891" s="10"/>
      <c r="K1891" s="18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</row>
    <row r="1892" ht="14.25" customHeight="1">
      <c r="A1892" s="9"/>
      <c r="B1892" s="8"/>
      <c r="C1892" s="8"/>
      <c r="D1892" s="8"/>
      <c r="E1892" s="8"/>
      <c r="F1892" s="8"/>
      <c r="G1892" s="8"/>
      <c r="H1892" s="8"/>
      <c r="I1892" s="10"/>
      <c r="J1892" s="10"/>
      <c r="K1892" s="18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</row>
    <row r="1893" ht="14.25" customHeight="1">
      <c r="A1893" s="9"/>
      <c r="B1893" s="8"/>
      <c r="C1893" s="8"/>
      <c r="D1893" s="8"/>
      <c r="E1893" s="8"/>
      <c r="F1893" s="8"/>
      <c r="G1893" s="8"/>
      <c r="H1893" s="8"/>
      <c r="I1893" s="10"/>
      <c r="J1893" s="10"/>
      <c r="K1893" s="18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</row>
    <row r="1894" ht="14.25" customHeight="1">
      <c r="A1894" s="9"/>
      <c r="B1894" s="8"/>
      <c r="C1894" s="8"/>
      <c r="D1894" s="8"/>
      <c r="E1894" s="8"/>
      <c r="F1894" s="8"/>
      <c r="G1894" s="8"/>
      <c r="H1894" s="8"/>
      <c r="I1894" s="10"/>
      <c r="J1894" s="10"/>
      <c r="K1894" s="18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</row>
    <row r="1895" ht="14.25" customHeight="1">
      <c r="A1895" s="9"/>
      <c r="B1895" s="8"/>
      <c r="C1895" s="8"/>
      <c r="D1895" s="8"/>
      <c r="E1895" s="8"/>
      <c r="F1895" s="8"/>
      <c r="G1895" s="8"/>
      <c r="H1895" s="8"/>
      <c r="I1895" s="10"/>
      <c r="J1895" s="10"/>
      <c r="K1895" s="18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</row>
    <row r="1896" ht="14.25" customHeight="1">
      <c r="A1896" s="9"/>
      <c r="B1896" s="8"/>
      <c r="C1896" s="8"/>
      <c r="D1896" s="8"/>
      <c r="E1896" s="8"/>
      <c r="F1896" s="8"/>
      <c r="G1896" s="8"/>
      <c r="H1896" s="8"/>
      <c r="I1896" s="10"/>
      <c r="J1896" s="10"/>
      <c r="K1896" s="18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</row>
    <row r="1897" ht="14.25" customHeight="1">
      <c r="A1897" s="9"/>
      <c r="B1897" s="8"/>
      <c r="C1897" s="8"/>
      <c r="D1897" s="8"/>
      <c r="E1897" s="8"/>
      <c r="F1897" s="8"/>
      <c r="G1897" s="8"/>
      <c r="H1897" s="8"/>
      <c r="I1897" s="10"/>
      <c r="J1897" s="10"/>
      <c r="K1897" s="18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</row>
    <row r="1898" ht="14.25" customHeight="1">
      <c r="A1898" s="9"/>
      <c r="B1898" s="8"/>
      <c r="C1898" s="8"/>
      <c r="D1898" s="8"/>
      <c r="E1898" s="8"/>
      <c r="F1898" s="8"/>
      <c r="G1898" s="8"/>
      <c r="H1898" s="8"/>
      <c r="I1898" s="10"/>
      <c r="J1898" s="10"/>
      <c r="K1898" s="18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</row>
    <row r="1899" ht="14.25" customHeight="1">
      <c r="A1899" s="9"/>
      <c r="B1899" s="8"/>
      <c r="C1899" s="8"/>
      <c r="D1899" s="8"/>
      <c r="E1899" s="8"/>
      <c r="F1899" s="8"/>
      <c r="G1899" s="8"/>
      <c r="H1899" s="8"/>
      <c r="I1899" s="10"/>
      <c r="J1899" s="10"/>
      <c r="K1899" s="18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</row>
    <row r="1900" ht="14.25" customHeight="1">
      <c r="A1900" s="9"/>
      <c r="B1900" s="8"/>
      <c r="C1900" s="8"/>
      <c r="D1900" s="8"/>
      <c r="E1900" s="8"/>
      <c r="F1900" s="8"/>
      <c r="G1900" s="8"/>
      <c r="H1900" s="8"/>
      <c r="I1900" s="10"/>
      <c r="J1900" s="10"/>
      <c r="K1900" s="18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</row>
    <row r="1901" ht="14.25" customHeight="1">
      <c r="A1901" s="9"/>
      <c r="B1901" s="8"/>
      <c r="C1901" s="8"/>
      <c r="D1901" s="8"/>
      <c r="E1901" s="8"/>
      <c r="F1901" s="8"/>
      <c r="G1901" s="8"/>
      <c r="H1901" s="8"/>
      <c r="I1901" s="10"/>
      <c r="J1901" s="10"/>
      <c r="K1901" s="18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</row>
    <row r="1902" ht="14.25" customHeight="1">
      <c r="A1902" s="9"/>
      <c r="B1902" s="8"/>
      <c r="C1902" s="8"/>
      <c r="D1902" s="8"/>
      <c r="E1902" s="8"/>
      <c r="F1902" s="8"/>
      <c r="G1902" s="8"/>
      <c r="H1902" s="8"/>
      <c r="I1902" s="10"/>
      <c r="J1902" s="10"/>
      <c r="K1902" s="18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</row>
    <row r="1903" ht="14.25" customHeight="1">
      <c r="A1903" s="9"/>
      <c r="B1903" s="8"/>
      <c r="C1903" s="8"/>
      <c r="D1903" s="8"/>
      <c r="E1903" s="8"/>
      <c r="F1903" s="8"/>
      <c r="G1903" s="8"/>
      <c r="H1903" s="8"/>
      <c r="I1903" s="10"/>
      <c r="J1903" s="10"/>
      <c r="K1903" s="18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</row>
    <row r="1904" ht="14.25" customHeight="1">
      <c r="A1904" s="9"/>
      <c r="B1904" s="8"/>
      <c r="C1904" s="8"/>
      <c r="D1904" s="8"/>
      <c r="E1904" s="8"/>
      <c r="F1904" s="8"/>
      <c r="G1904" s="8"/>
      <c r="H1904" s="8"/>
      <c r="I1904" s="10"/>
      <c r="J1904" s="10"/>
      <c r="K1904" s="18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</row>
    <row r="1905" ht="14.25" customHeight="1">
      <c r="A1905" s="9"/>
      <c r="B1905" s="8"/>
      <c r="C1905" s="8"/>
      <c r="D1905" s="8"/>
      <c r="E1905" s="8"/>
      <c r="F1905" s="8"/>
      <c r="G1905" s="8"/>
      <c r="H1905" s="8"/>
      <c r="I1905" s="10"/>
      <c r="J1905" s="10"/>
      <c r="K1905" s="18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</row>
    <row r="1906" ht="14.25" customHeight="1">
      <c r="A1906" s="9"/>
      <c r="B1906" s="8"/>
      <c r="C1906" s="8"/>
      <c r="D1906" s="8"/>
      <c r="E1906" s="8"/>
      <c r="F1906" s="8"/>
      <c r="G1906" s="8"/>
      <c r="H1906" s="8"/>
      <c r="I1906" s="10"/>
      <c r="J1906" s="10"/>
      <c r="K1906" s="18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</row>
    <row r="1907" ht="14.25" customHeight="1">
      <c r="A1907" s="9"/>
      <c r="B1907" s="8"/>
      <c r="C1907" s="8"/>
      <c r="D1907" s="8"/>
      <c r="E1907" s="8"/>
      <c r="F1907" s="8"/>
      <c r="G1907" s="8"/>
      <c r="H1907" s="8"/>
      <c r="I1907" s="10"/>
      <c r="J1907" s="10"/>
      <c r="K1907" s="18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</row>
    <row r="1908" ht="14.25" customHeight="1">
      <c r="A1908" s="9"/>
      <c r="B1908" s="8"/>
      <c r="C1908" s="8"/>
      <c r="D1908" s="8"/>
      <c r="E1908" s="8"/>
      <c r="F1908" s="8"/>
      <c r="G1908" s="8"/>
      <c r="H1908" s="8"/>
      <c r="I1908" s="10"/>
      <c r="J1908" s="10"/>
      <c r="K1908" s="18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</row>
    <row r="1909" ht="14.25" customHeight="1">
      <c r="A1909" s="9"/>
      <c r="B1909" s="8"/>
      <c r="C1909" s="8"/>
      <c r="D1909" s="8"/>
      <c r="E1909" s="8"/>
      <c r="F1909" s="8"/>
      <c r="G1909" s="8"/>
      <c r="H1909" s="8"/>
      <c r="I1909" s="10"/>
      <c r="J1909" s="10"/>
      <c r="K1909" s="18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</row>
    <row r="1910" ht="14.25" customHeight="1">
      <c r="A1910" s="9"/>
      <c r="B1910" s="8"/>
      <c r="C1910" s="8"/>
      <c r="D1910" s="8"/>
      <c r="E1910" s="8"/>
      <c r="F1910" s="8"/>
      <c r="G1910" s="8"/>
      <c r="H1910" s="8"/>
      <c r="I1910" s="10"/>
      <c r="J1910" s="10"/>
      <c r="K1910" s="18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</row>
    <row r="1911" ht="14.25" customHeight="1">
      <c r="A1911" s="9"/>
      <c r="B1911" s="8"/>
      <c r="C1911" s="8"/>
      <c r="D1911" s="8"/>
      <c r="E1911" s="8"/>
      <c r="F1911" s="8"/>
      <c r="G1911" s="8"/>
      <c r="H1911" s="8"/>
      <c r="I1911" s="10"/>
      <c r="J1911" s="10"/>
      <c r="K1911" s="18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</row>
    <row r="1912" ht="14.25" customHeight="1">
      <c r="A1912" s="9"/>
      <c r="B1912" s="8"/>
      <c r="C1912" s="8"/>
      <c r="D1912" s="8"/>
      <c r="E1912" s="8"/>
      <c r="F1912" s="8"/>
      <c r="G1912" s="8"/>
      <c r="H1912" s="8"/>
      <c r="I1912" s="10"/>
      <c r="J1912" s="10"/>
      <c r="K1912" s="18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</row>
    <row r="1913" ht="14.25" customHeight="1">
      <c r="A1913" s="9"/>
      <c r="B1913" s="8"/>
      <c r="C1913" s="8"/>
      <c r="D1913" s="8"/>
      <c r="E1913" s="8"/>
      <c r="F1913" s="8"/>
      <c r="G1913" s="8"/>
      <c r="H1913" s="8"/>
      <c r="I1913" s="10"/>
      <c r="J1913" s="10"/>
      <c r="K1913" s="18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</row>
    <row r="1914" ht="14.25" customHeight="1">
      <c r="A1914" s="9"/>
      <c r="B1914" s="8"/>
      <c r="C1914" s="8"/>
      <c r="D1914" s="8"/>
      <c r="E1914" s="8"/>
      <c r="F1914" s="8"/>
      <c r="G1914" s="8"/>
      <c r="H1914" s="8"/>
      <c r="I1914" s="10"/>
      <c r="J1914" s="10"/>
      <c r="K1914" s="18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</row>
    <row r="1915" ht="14.25" customHeight="1">
      <c r="A1915" s="9"/>
      <c r="B1915" s="8"/>
      <c r="C1915" s="8"/>
      <c r="D1915" s="8"/>
      <c r="E1915" s="8"/>
      <c r="F1915" s="8"/>
      <c r="G1915" s="8"/>
      <c r="H1915" s="8"/>
      <c r="I1915" s="10"/>
      <c r="J1915" s="10"/>
      <c r="K1915" s="18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</row>
    <row r="1916" ht="14.25" customHeight="1">
      <c r="A1916" s="9"/>
      <c r="B1916" s="8"/>
      <c r="C1916" s="8"/>
      <c r="D1916" s="8"/>
      <c r="E1916" s="8"/>
      <c r="F1916" s="8"/>
      <c r="G1916" s="8"/>
      <c r="H1916" s="8"/>
      <c r="I1916" s="10"/>
      <c r="J1916" s="10"/>
      <c r="K1916" s="18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</row>
    <row r="1917" ht="14.25" customHeight="1">
      <c r="A1917" s="9"/>
      <c r="B1917" s="8"/>
      <c r="C1917" s="8"/>
      <c r="D1917" s="8"/>
      <c r="E1917" s="8"/>
      <c r="F1917" s="8"/>
      <c r="G1917" s="8"/>
      <c r="H1917" s="8"/>
      <c r="I1917" s="10"/>
      <c r="J1917" s="10"/>
      <c r="K1917" s="18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</row>
    <row r="1918" ht="14.25" customHeight="1">
      <c r="A1918" s="9"/>
      <c r="B1918" s="8"/>
      <c r="C1918" s="8"/>
      <c r="D1918" s="8"/>
      <c r="E1918" s="8"/>
      <c r="F1918" s="8"/>
      <c r="G1918" s="8"/>
      <c r="H1918" s="8"/>
      <c r="I1918" s="10"/>
      <c r="J1918" s="10"/>
      <c r="K1918" s="18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</row>
    <row r="1919" ht="14.25" customHeight="1">
      <c r="A1919" s="9"/>
      <c r="B1919" s="8"/>
      <c r="C1919" s="8"/>
      <c r="D1919" s="8"/>
      <c r="E1919" s="8"/>
      <c r="F1919" s="8"/>
      <c r="G1919" s="8"/>
      <c r="H1919" s="8"/>
      <c r="I1919" s="10"/>
      <c r="J1919" s="10"/>
      <c r="K1919" s="18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</row>
    <row r="1920" ht="14.25" customHeight="1">
      <c r="A1920" s="9"/>
      <c r="B1920" s="8"/>
      <c r="C1920" s="8"/>
      <c r="D1920" s="8"/>
      <c r="E1920" s="8"/>
      <c r="F1920" s="8"/>
      <c r="G1920" s="8"/>
      <c r="H1920" s="8"/>
      <c r="I1920" s="10"/>
      <c r="J1920" s="10"/>
      <c r="K1920" s="18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</row>
    <row r="1921" ht="14.25" customHeight="1">
      <c r="A1921" s="9"/>
      <c r="B1921" s="8"/>
      <c r="C1921" s="8"/>
      <c r="D1921" s="8"/>
      <c r="E1921" s="8"/>
      <c r="F1921" s="8"/>
      <c r="G1921" s="8"/>
      <c r="H1921" s="8"/>
      <c r="I1921" s="10"/>
      <c r="J1921" s="10"/>
      <c r="K1921" s="18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</row>
    <row r="1922" ht="14.25" customHeight="1">
      <c r="A1922" s="9"/>
      <c r="B1922" s="8"/>
      <c r="C1922" s="8"/>
      <c r="D1922" s="8"/>
      <c r="E1922" s="8"/>
      <c r="F1922" s="8"/>
      <c r="G1922" s="8"/>
      <c r="H1922" s="8"/>
      <c r="I1922" s="10"/>
      <c r="J1922" s="10"/>
      <c r="K1922" s="18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</row>
    <row r="1923" ht="14.25" customHeight="1">
      <c r="A1923" s="9"/>
      <c r="B1923" s="8"/>
      <c r="C1923" s="8"/>
      <c r="D1923" s="8"/>
      <c r="E1923" s="8"/>
      <c r="F1923" s="8"/>
      <c r="G1923" s="8"/>
      <c r="H1923" s="8"/>
      <c r="I1923" s="10"/>
      <c r="J1923" s="10"/>
      <c r="K1923" s="18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</row>
    <row r="1924" ht="14.25" customHeight="1">
      <c r="A1924" s="9"/>
      <c r="B1924" s="8"/>
      <c r="C1924" s="8"/>
      <c r="D1924" s="8"/>
      <c r="E1924" s="8"/>
      <c r="F1924" s="8"/>
      <c r="G1924" s="8"/>
      <c r="H1924" s="8"/>
      <c r="I1924" s="10"/>
      <c r="J1924" s="10"/>
      <c r="K1924" s="18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</row>
    <row r="1925" ht="14.25" customHeight="1">
      <c r="A1925" s="9"/>
      <c r="B1925" s="8"/>
      <c r="C1925" s="8"/>
      <c r="D1925" s="8"/>
      <c r="E1925" s="8"/>
      <c r="F1925" s="8"/>
      <c r="G1925" s="8"/>
      <c r="H1925" s="8"/>
      <c r="I1925" s="10"/>
      <c r="J1925" s="10"/>
      <c r="K1925" s="18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</row>
    <row r="1926" ht="14.25" customHeight="1">
      <c r="A1926" s="9"/>
      <c r="B1926" s="8"/>
      <c r="C1926" s="8"/>
      <c r="D1926" s="8"/>
      <c r="E1926" s="8"/>
      <c r="F1926" s="8"/>
      <c r="G1926" s="8"/>
      <c r="H1926" s="8"/>
      <c r="I1926" s="10"/>
      <c r="J1926" s="10"/>
      <c r="K1926" s="18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</row>
    <row r="1927" ht="14.25" customHeight="1">
      <c r="A1927" s="9"/>
      <c r="B1927" s="8"/>
      <c r="C1927" s="8"/>
      <c r="D1927" s="8"/>
      <c r="E1927" s="8"/>
      <c r="F1927" s="8"/>
      <c r="G1927" s="8"/>
      <c r="H1927" s="8"/>
      <c r="I1927" s="10"/>
      <c r="J1927" s="10"/>
      <c r="K1927" s="18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</row>
    <row r="1928" ht="14.25" customHeight="1">
      <c r="A1928" s="9"/>
      <c r="B1928" s="8"/>
      <c r="C1928" s="8"/>
      <c r="D1928" s="8"/>
      <c r="E1928" s="8"/>
      <c r="F1928" s="8"/>
      <c r="G1928" s="8"/>
      <c r="H1928" s="8"/>
      <c r="I1928" s="10"/>
      <c r="J1928" s="10"/>
      <c r="K1928" s="18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</row>
    <row r="1929" ht="14.25" customHeight="1">
      <c r="A1929" s="9"/>
      <c r="B1929" s="8"/>
      <c r="C1929" s="8"/>
      <c r="D1929" s="8"/>
      <c r="E1929" s="8"/>
      <c r="F1929" s="8"/>
      <c r="G1929" s="8"/>
      <c r="H1929" s="8"/>
      <c r="I1929" s="10"/>
      <c r="J1929" s="10"/>
      <c r="K1929" s="18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</row>
    <row r="1930" ht="14.25" customHeight="1">
      <c r="A1930" s="9"/>
      <c r="B1930" s="8"/>
      <c r="C1930" s="8"/>
      <c r="D1930" s="8"/>
      <c r="E1930" s="8"/>
      <c r="F1930" s="8"/>
      <c r="G1930" s="8"/>
      <c r="H1930" s="8"/>
      <c r="I1930" s="10"/>
      <c r="J1930" s="10"/>
      <c r="K1930" s="18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</row>
    <row r="1931" ht="14.25" customHeight="1">
      <c r="A1931" s="9"/>
      <c r="B1931" s="8"/>
      <c r="C1931" s="8"/>
      <c r="D1931" s="8"/>
      <c r="E1931" s="8"/>
      <c r="F1931" s="8"/>
      <c r="G1931" s="8"/>
      <c r="H1931" s="8"/>
      <c r="I1931" s="10"/>
      <c r="J1931" s="10"/>
      <c r="K1931" s="18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</row>
    <row r="1932" ht="14.25" customHeight="1">
      <c r="A1932" s="9"/>
      <c r="B1932" s="8"/>
      <c r="C1932" s="8"/>
      <c r="D1932" s="8"/>
      <c r="E1932" s="8"/>
      <c r="F1932" s="8"/>
      <c r="G1932" s="8"/>
      <c r="H1932" s="8"/>
      <c r="I1932" s="10"/>
      <c r="J1932" s="10"/>
      <c r="K1932" s="18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</row>
    <row r="1933" ht="14.25" customHeight="1">
      <c r="A1933" s="9"/>
      <c r="B1933" s="8"/>
      <c r="C1933" s="8"/>
      <c r="D1933" s="8"/>
      <c r="E1933" s="8"/>
      <c r="F1933" s="8"/>
      <c r="G1933" s="8"/>
      <c r="H1933" s="8"/>
      <c r="I1933" s="10"/>
      <c r="J1933" s="10"/>
      <c r="K1933" s="18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</row>
    <row r="1934" ht="14.25" customHeight="1">
      <c r="A1934" s="9"/>
      <c r="B1934" s="8"/>
      <c r="C1934" s="8"/>
      <c r="D1934" s="8"/>
      <c r="E1934" s="8"/>
      <c r="F1934" s="8"/>
      <c r="G1934" s="8"/>
      <c r="H1934" s="8"/>
      <c r="I1934" s="10"/>
      <c r="J1934" s="10"/>
      <c r="K1934" s="18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</row>
    <row r="1935" ht="14.25" customHeight="1">
      <c r="A1935" s="9"/>
      <c r="B1935" s="8"/>
      <c r="C1935" s="8"/>
      <c r="D1935" s="8"/>
      <c r="E1935" s="8"/>
      <c r="F1935" s="8"/>
      <c r="G1935" s="8"/>
      <c r="H1935" s="8"/>
      <c r="I1935" s="10"/>
      <c r="J1935" s="10"/>
      <c r="K1935" s="18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</row>
    <row r="1936" ht="14.25" customHeight="1">
      <c r="A1936" s="9"/>
      <c r="B1936" s="8"/>
      <c r="C1936" s="8"/>
      <c r="D1936" s="8"/>
      <c r="E1936" s="8"/>
      <c r="F1936" s="8"/>
      <c r="G1936" s="8"/>
      <c r="H1936" s="8"/>
      <c r="I1936" s="10"/>
      <c r="J1936" s="10"/>
      <c r="K1936" s="18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</row>
    <row r="1937" ht="14.25" customHeight="1">
      <c r="A1937" s="9"/>
      <c r="B1937" s="8"/>
      <c r="C1937" s="8"/>
      <c r="D1937" s="8"/>
      <c r="E1937" s="8"/>
      <c r="F1937" s="8"/>
      <c r="G1937" s="8"/>
      <c r="H1937" s="8"/>
      <c r="I1937" s="10"/>
      <c r="J1937" s="10"/>
      <c r="K1937" s="18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</row>
    <row r="1938" ht="14.25" customHeight="1">
      <c r="A1938" s="9"/>
      <c r="B1938" s="8"/>
      <c r="C1938" s="8"/>
      <c r="D1938" s="8"/>
      <c r="E1938" s="8"/>
      <c r="F1938" s="8"/>
      <c r="G1938" s="8"/>
      <c r="H1938" s="8"/>
      <c r="I1938" s="10"/>
      <c r="J1938" s="10"/>
      <c r="K1938" s="18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</row>
    <row r="1939" ht="14.25" customHeight="1">
      <c r="A1939" s="9"/>
      <c r="B1939" s="8"/>
      <c r="C1939" s="8"/>
      <c r="D1939" s="8"/>
      <c r="E1939" s="8"/>
      <c r="F1939" s="8"/>
      <c r="G1939" s="8"/>
      <c r="H1939" s="8"/>
      <c r="I1939" s="10"/>
      <c r="J1939" s="10"/>
      <c r="K1939" s="18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</row>
    <row r="1940" ht="14.25" customHeight="1">
      <c r="A1940" s="9"/>
      <c r="B1940" s="8"/>
      <c r="C1940" s="8"/>
      <c r="D1940" s="8"/>
      <c r="E1940" s="8"/>
      <c r="F1940" s="8"/>
      <c r="G1940" s="8"/>
      <c r="H1940" s="8"/>
      <c r="I1940" s="10"/>
      <c r="J1940" s="10"/>
      <c r="K1940" s="18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</row>
    <row r="1941" ht="14.25" customHeight="1">
      <c r="A1941" s="9"/>
      <c r="B1941" s="8"/>
      <c r="C1941" s="8"/>
      <c r="D1941" s="8"/>
      <c r="E1941" s="8"/>
      <c r="F1941" s="8"/>
      <c r="G1941" s="8"/>
      <c r="H1941" s="8"/>
      <c r="I1941" s="10"/>
      <c r="J1941" s="10"/>
      <c r="K1941" s="18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</row>
    <row r="1942" ht="14.25" customHeight="1">
      <c r="A1942" s="9"/>
      <c r="B1942" s="8"/>
      <c r="C1942" s="8"/>
      <c r="D1942" s="8"/>
      <c r="E1942" s="8"/>
      <c r="F1942" s="8"/>
      <c r="G1942" s="8"/>
      <c r="H1942" s="8"/>
      <c r="I1942" s="10"/>
      <c r="J1942" s="10"/>
      <c r="K1942" s="18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</row>
    <row r="1943" ht="14.25" customHeight="1">
      <c r="A1943" s="9"/>
      <c r="B1943" s="8"/>
      <c r="C1943" s="8"/>
      <c r="D1943" s="8"/>
      <c r="E1943" s="8"/>
      <c r="F1943" s="8"/>
      <c r="G1943" s="8"/>
      <c r="H1943" s="8"/>
      <c r="I1943" s="10"/>
      <c r="J1943" s="10"/>
      <c r="K1943" s="18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</row>
    <row r="1944" ht="14.25" customHeight="1">
      <c r="A1944" s="9"/>
      <c r="B1944" s="8"/>
      <c r="C1944" s="8"/>
      <c r="D1944" s="8"/>
      <c r="E1944" s="8"/>
      <c r="F1944" s="8"/>
      <c r="G1944" s="8"/>
      <c r="H1944" s="8"/>
      <c r="I1944" s="10"/>
      <c r="J1944" s="10"/>
      <c r="K1944" s="18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</row>
    <row r="1945" ht="14.25" customHeight="1">
      <c r="A1945" s="9"/>
      <c r="B1945" s="8"/>
      <c r="C1945" s="8"/>
      <c r="D1945" s="8"/>
      <c r="E1945" s="8"/>
      <c r="F1945" s="8"/>
      <c r="G1945" s="8"/>
      <c r="H1945" s="8"/>
      <c r="I1945" s="10"/>
      <c r="J1945" s="10"/>
      <c r="K1945" s="18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</row>
    <row r="1946" ht="14.25" customHeight="1">
      <c r="A1946" s="9"/>
      <c r="B1946" s="8"/>
      <c r="C1946" s="8"/>
      <c r="D1946" s="8"/>
      <c r="E1946" s="8"/>
      <c r="F1946" s="8"/>
      <c r="G1946" s="8"/>
      <c r="H1946" s="8"/>
      <c r="I1946" s="10"/>
      <c r="J1946" s="10"/>
      <c r="K1946" s="18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</row>
    <row r="1947" ht="14.25" customHeight="1">
      <c r="A1947" s="9"/>
      <c r="B1947" s="8"/>
      <c r="C1947" s="8"/>
      <c r="D1947" s="8"/>
      <c r="E1947" s="8"/>
      <c r="F1947" s="8"/>
      <c r="G1947" s="8"/>
      <c r="H1947" s="8"/>
      <c r="I1947" s="10"/>
      <c r="J1947" s="10"/>
      <c r="K1947" s="18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</row>
    <row r="1948" ht="14.25" customHeight="1">
      <c r="A1948" s="9"/>
      <c r="B1948" s="8"/>
      <c r="C1948" s="8"/>
      <c r="D1948" s="8"/>
      <c r="E1948" s="8"/>
      <c r="F1948" s="8"/>
      <c r="G1948" s="8"/>
      <c r="H1948" s="8"/>
      <c r="I1948" s="10"/>
      <c r="J1948" s="10"/>
      <c r="K1948" s="18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</row>
    <row r="1949" ht="14.25" customHeight="1">
      <c r="A1949" s="9"/>
      <c r="B1949" s="8"/>
      <c r="C1949" s="8"/>
      <c r="D1949" s="8"/>
      <c r="E1949" s="8"/>
      <c r="F1949" s="8"/>
      <c r="G1949" s="8"/>
      <c r="H1949" s="8"/>
      <c r="I1949" s="10"/>
      <c r="J1949" s="10"/>
      <c r="K1949" s="18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</row>
    <row r="1950" ht="14.25" customHeight="1">
      <c r="A1950" s="9"/>
      <c r="B1950" s="8"/>
      <c r="C1950" s="8"/>
      <c r="D1950" s="8"/>
      <c r="E1950" s="8"/>
      <c r="F1950" s="8"/>
      <c r="G1950" s="8"/>
      <c r="H1950" s="8"/>
      <c r="I1950" s="10"/>
      <c r="J1950" s="10"/>
      <c r="K1950" s="18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</row>
    <row r="1951" ht="14.25" customHeight="1">
      <c r="A1951" s="9"/>
      <c r="B1951" s="8"/>
      <c r="C1951" s="8"/>
      <c r="D1951" s="8"/>
      <c r="E1951" s="8"/>
      <c r="F1951" s="8"/>
      <c r="G1951" s="8"/>
      <c r="H1951" s="8"/>
      <c r="I1951" s="10"/>
      <c r="J1951" s="10"/>
      <c r="K1951" s="18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</row>
    <row r="1952" ht="14.25" customHeight="1">
      <c r="A1952" s="9"/>
      <c r="B1952" s="8"/>
      <c r="C1952" s="8"/>
      <c r="D1952" s="8"/>
      <c r="E1952" s="8"/>
      <c r="F1952" s="8"/>
      <c r="G1952" s="8"/>
      <c r="H1952" s="8"/>
      <c r="I1952" s="10"/>
      <c r="J1952" s="10"/>
      <c r="K1952" s="18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</row>
    <row r="1953" ht="14.25" customHeight="1">
      <c r="A1953" s="9"/>
      <c r="B1953" s="8"/>
      <c r="C1953" s="8"/>
      <c r="D1953" s="8"/>
      <c r="E1953" s="8"/>
      <c r="F1953" s="8"/>
      <c r="G1953" s="8"/>
      <c r="H1953" s="8"/>
      <c r="I1953" s="10"/>
      <c r="J1953" s="10"/>
      <c r="K1953" s="18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</row>
    <row r="1954" ht="14.25" customHeight="1">
      <c r="A1954" s="9"/>
      <c r="B1954" s="8"/>
      <c r="C1954" s="8"/>
      <c r="D1954" s="8"/>
      <c r="E1954" s="8"/>
      <c r="F1954" s="8"/>
      <c r="G1954" s="8"/>
      <c r="H1954" s="8"/>
      <c r="I1954" s="10"/>
      <c r="J1954" s="10"/>
      <c r="K1954" s="18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</row>
    <row r="1955" ht="14.25" customHeight="1">
      <c r="A1955" s="9"/>
      <c r="B1955" s="8"/>
      <c r="C1955" s="8"/>
      <c r="D1955" s="8"/>
      <c r="E1955" s="8"/>
      <c r="F1955" s="8"/>
      <c r="G1955" s="8"/>
      <c r="H1955" s="8"/>
      <c r="I1955" s="10"/>
      <c r="J1955" s="10"/>
      <c r="K1955" s="18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</row>
    <row r="1956" ht="14.25" customHeight="1">
      <c r="A1956" s="9"/>
      <c r="B1956" s="8"/>
      <c r="C1956" s="8"/>
      <c r="D1956" s="8"/>
      <c r="E1956" s="8"/>
      <c r="F1956" s="8"/>
      <c r="G1956" s="8"/>
      <c r="H1956" s="8"/>
      <c r="I1956" s="10"/>
      <c r="J1956" s="10"/>
      <c r="K1956" s="18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</row>
    <row r="1957" ht="14.25" customHeight="1">
      <c r="A1957" s="9"/>
      <c r="B1957" s="8"/>
      <c r="C1957" s="8"/>
      <c r="D1957" s="8"/>
      <c r="E1957" s="8"/>
      <c r="F1957" s="8"/>
      <c r="G1957" s="8"/>
      <c r="H1957" s="8"/>
      <c r="I1957" s="10"/>
      <c r="J1957" s="10"/>
      <c r="K1957" s="18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</row>
    <row r="1958" ht="14.25" customHeight="1">
      <c r="A1958" s="9"/>
      <c r="B1958" s="8"/>
      <c r="C1958" s="8"/>
      <c r="D1958" s="8"/>
      <c r="E1958" s="8"/>
      <c r="F1958" s="8"/>
      <c r="G1958" s="8"/>
      <c r="H1958" s="8"/>
      <c r="I1958" s="10"/>
      <c r="J1958" s="10"/>
      <c r="K1958" s="18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</row>
    <row r="1959" ht="14.25" customHeight="1">
      <c r="A1959" s="9"/>
      <c r="B1959" s="8"/>
      <c r="C1959" s="8"/>
      <c r="D1959" s="8"/>
      <c r="E1959" s="8"/>
      <c r="F1959" s="8"/>
      <c r="G1959" s="8"/>
      <c r="H1959" s="8"/>
      <c r="I1959" s="10"/>
      <c r="J1959" s="10"/>
      <c r="K1959" s="18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</row>
    <row r="1960" ht="14.25" customHeight="1">
      <c r="A1960" s="9"/>
      <c r="B1960" s="8"/>
      <c r="C1960" s="8"/>
      <c r="D1960" s="8"/>
      <c r="E1960" s="8"/>
      <c r="F1960" s="8"/>
      <c r="G1960" s="8"/>
      <c r="H1960" s="8"/>
      <c r="I1960" s="10"/>
      <c r="J1960" s="10"/>
      <c r="K1960" s="18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</row>
    <row r="1961" ht="14.25" customHeight="1">
      <c r="A1961" s="9"/>
      <c r="B1961" s="8"/>
      <c r="C1961" s="8"/>
      <c r="D1961" s="8"/>
      <c r="E1961" s="8"/>
      <c r="F1961" s="8"/>
      <c r="G1961" s="8"/>
      <c r="H1961" s="8"/>
      <c r="I1961" s="10"/>
      <c r="J1961" s="10"/>
      <c r="K1961" s="18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</row>
    <row r="1962" ht="14.25" customHeight="1">
      <c r="A1962" s="9"/>
      <c r="B1962" s="8"/>
      <c r="C1962" s="8"/>
      <c r="D1962" s="8"/>
      <c r="E1962" s="8"/>
      <c r="F1962" s="8"/>
      <c r="G1962" s="8"/>
      <c r="H1962" s="8"/>
      <c r="I1962" s="10"/>
      <c r="J1962" s="10"/>
      <c r="K1962" s="18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</row>
    <row r="1963" ht="14.25" customHeight="1">
      <c r="A1963" s="9"/>
      <c r="B1963" s="8"/>
      <c r="C1963" s="8"/>
      <c r="D1963" s="8"/>
      <c r="E1963" s="8"/>
      <c r="F1963" s="8"/>
      <c r="G1963" s="8"/>
      <c r="H1963" s="8"/>
      <c r="I1963" s="10"/>
      <c r="J1963" s="10"/>
      <c r="K1963" s="18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</row>
    <row r="1964" ht="14.25" customHeight="1">
      <c r="A1964" s="9"/>
      <c r="B1964" s="8"/>
      <c r="C1964" s="8"/>
      <c r="D1964" s="8"/>
      <c r="E1964" s="8"/>
      <c r="F1964" s="8"/>
      <c r="G1964" s="8"/>
      <c r="H1964" s="8"/>
      <c r="I1964" s="10"/>
      <c r="J1964" s="10"/>
      <c r="K1964" s="18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</row>
    <row r="1965" ht="14.25" customHeight="1">
      <c r="A1965" s="9"/>
      <c r="B1965" s="8"/>
      <c r="C1965" s="8"/>
      <c r="D1965" s="8"/>
      <c r="E1965" s="8"/>
      <c r="F1965" s="8"/>
      <c r="G1965" s="8"/>
      <c r="H1965" s="8"/>
      <c r="I1965" s="10"/>
      <c r="J1965" s="10"/>
      <c r="K1965" s="18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</row>
    <row r="1966" ht="14.25" customHeight="1">
      <c r="A1966" s="9"/>
      <c r="B1966" s="8"/>
      <c r="C1966" s="8"/>
      <c r="D1966" s="8"/>
      <c r="E1966" s="8"/>
      <c r="F1966" s="8"/>
      <c r="G1966" s="8"/>
      <c r="H1966" s="8"/>
      <c r="I1966" s="10"/>
      <c r="J1966" s="10"/>
      <c r="K1966" s="18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</row>
    <row r="1967" ht="14.25" customHeight="1">
      <c r="A1967" s="9"/>
      <c r="B1967" s="8"/>
      <c r="C1967" s="8"/>
      <c r="D1967" s="8"/>
      <c r="E1967" s="8"/>
      <c r="F1967" s="8"/>
      <c r="G1967" s="8"/>
      <c r="H1967" s="8"/>
      <c r="I1967" s="10"/>
      <c r="J1967" s="10"/>
      <c r="K1967" s="18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</row>
    <row r="1968" ht="14.25" customHeight="1">
      <c r="A1968" s="9"/>
      <c r="B1968" s="8"/>
      <c r="C1968" s="8"/>
      <c r="D1968" s="8"/>
      <c r="E1968" s="8"/>
      <c r="F1968" s="8"/>
      <c r="G1968" s="8"/>
      <c r="H1968" s="8"/>
      <c r="I1968" s="10"/>
      <c r="J1968" s="10"/>
      <c r="K1968" s="18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</row>
    <row r="1969" ht="14.25" customHeight="1">
      <c r="A1969" s="9"/>
      <c r="B1969" s="8"/>
      <c r="C1969" s="8"/>
      <c r="D1969" s="8"/>
      <c r="E1969" s="8"/>
      <c r="F1969" s="8"/>
      <c r="G1969" s="8"/>
      <c r="H1969" s="8"/>
      <c r="I1969" s="10"/>
      <c r="J1969" s="10"/>
      <c r="K1969" s="18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</row>
    <row r="1970" ht="14.25" customHeight="1">
      <c r="A1970" s="9"/>
      <c r="B1970" s="8"/>
      <c r="C1970" s="8"/>
      <c r="D1970" s="8"/>
      <c r="E1970" s="8"/>
      <c r="F1970" s="8"/>
      <c r="G1970" s="8"/>
      <c r="H1970" s="8"/>
      <c r="I1970" s="10"/>
      <c r="J1970" s="10"/>
      <c r="K1970" s="18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</row>
    <row r="1971" ht="14.25" customHeight="1">
      <c r="A1971" s="9"/>
      <c r="B1971" s="8"/>
      <c r="C1971" s="8"/>
      <c r="D1971" s="8"/>
      <c r="E1971" s="8"/>
      <c r="F1971" s="8"/>
      <c r="G1971" s="8"/>
      <c r="H1971" s="8"/>
      <c r="I1971" s="10"/>
      <c r="J1971" s="10"/>
      <c r="K1971" s="18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</row>
    <row r="1972" ht="14.25" customHeight="1">
      <c r="A1972" s="9"/>
      <c r="B1972" s="8"/>
      <c r="C1972" s="8"/>
      <c r="D1972" s="8"/>
      <c r="E1972" s="8"/>
      <c r="F1972" s="8"/>
      <c r="G1972" s="8"/>
      <c r="H1972" s="8"/>
      <c r="I1972" s="10"/>
      <c r="J1972" s="10"/>
      <c r="K1972" s="18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</row>
    <row r="1973" ht="14.25" customHeight="1">
      <c r="A1973" s="9"/>
      <c r="B1973" s="8"/>
      <c r="C1973" s="8"/>
      <c r="D1973" s="8"/>
      <c r="E1973" s="8"/>
      <c r="F1973" s="8"/>
      <c r="G1973" s="8"/>
      <c r="H1973" s="8"/>
      <c r="I1973" s="10"/>
      <c r="J1973" s="10"/>
      <c r="K1973" s="18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</row>
    <row r="1974" ht="14.25" customHeight="1">
      <c r="A1974" s="9"/>
      <c r="B1974" s="8"/>
      <c r="C1974" s="8"/>
      <c r="D1974" s="8"/>
      <c r="E1974" s="8"/>
      <c r="F1974" s="8"/>
      <c r="G1974" s="8"/>
      <c r="H1974" s="8"/>
      <c r="I1974" s="10"/>
      <c r="J1974" s="10"/>
      <c r="K1974" s="18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</row>
    <row r="1975" ht="14.25" customHeight="1">
      <c r="A1975" s="9"/>
      <c r="B1975" s="8"/>
      <c r="C1975" s="8"/>
      <c r="D1975" s="8"/>
      <c r="E1975" s="8"/>
      <c r="F1975" s="8"/>
      <c r="G1975" s="8"/>
      <c r="H1975" s="8"/>
      <c r="I1975" s="10"/>
      <c r="J1975" s="10"/>
      <c r="K1975" s="18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</row>
    <row r="1976" ht="14.25" customHeight="1">
      <c r="A1976" s="9"/>
      <c r="B1976" s="8"/>
      <c r="C1976" s="8"/>
      <c r="D1976" s="8"/>
      <c r="E1976" s="8"/>
      <c r="F1976" s="8"/>
      <c r="G1976" s="8"/>
      <c r="H1976" s="8"/>
      <c r="I1976" s="10"/>
      <c r="J1976" s="10"/>
      <c r="K1976" s="18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</row>
    <row r="1977" ht="14.25" customHeight="1">
      <c r="A1977" s="9"/>
      <c r="B1977" s="8"/>
      <c r="C1977" s="8"/>
      <c r="D1977" s="8"/>
      <c r="E1977" s="8"/>
      <c r="F1977" s="8"/>
      <c r="G1977" s="8"/>
      <c r="H1977" s="8"/>
      <c r="I1977" s="10"/>
      <c r="J1977" s="10"/>
      <c r="K1977" s="18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</row>
    <row r="1978" ht="14.25" customHeight="1">
      <c r="A1978" s="9"/>
      <c r="B1978" s="8"/>
      <c r="C1978" s="8"/>
      <c r="D1978" s="8"/>
      <c r="E1978" s="8"/>
      <c r="F1978" s="8"/>
      <c r="G1978" s="8"/>
      <c r="H1978" s="8"/>
      <c r="I1978" s="10"/>
      <c r="J1978" s="10"/>
      <c r="K1978" s="18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</row>
    <row r="1979" ht="14.25" customHeight="1">
      <c r="A1979" s="9"/>
      <c r="B1979" s="8"/>
      <c r="C1979" s="8"/>
      <c r="D1979" s="8"/>
      <c r="E1979" s="8"/>
      <c r="F1979" s="8"/>
      <c r="G1979" s="8"/>
      <c r="H1979" s="8"/>
      <c r="I1979" s="10"/>
      <c r="J1979" s="10"/>
      <c r="K1979" s="18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</row>
    <row r="1980" ht="14.25" customHeight="1">
      <c r="A1980" s="9"/>
      <c r="B1980" s="8"/>
      <c r="C1980" s="8"/>
      <c r="D1980" s="8"/>
      <c r="E1980" s="8"/>
      <c r="F1980" s="8"/>
      <c r="G1980" s="8"/>
      <c r="H1980" s="8"/>
      <c r="I1980" s="10"/>
      <c r="J1980" s="10"/>
      <c r="K1980" s="18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</row>
    <row r="1981" ht="14.25" customHeight="1">
      <c r="A1981" s="9"/>
      <c r="B1981" s="8"/>
      <c r="C1981" s="8"/>
      <c r="D1981" s="8"/>
      <c r="E1981" s="8"/>
      <c r="F1981" s="8"/>
      <c r="G1981" s="8"/>
      <c r="H1981" s="8"/>
      <c r="I1981" s="10"/>
      <c r="J1981" s="10"/>
      <c r="K1981" s="18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</row>
    <row r="1982" ht="14.25" customHeight="1">
      <c r="A1982" s="9"/>
      <c r="B1982" s="8"/>
      <c r="C1982" s="8"/>
      <c r="D1982" s="8"/>
      <c r="E1982" s="8"/>
      <c r="F1982" s="8"/>
      <c r="G1982" s="8"/>
      <c r="H1982" s="8"/>
      <c r="I1982" s="10"/>
      <c r="J1982" s="10"/>
      <c r="K1982" s="18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</row>
    <row r="1983" ht="14.25" customHeight="1">
      <c r="A1983" s="9"/>
      <c r="B1983" s="8"/>
      <c r="C1983" s="8"/>
      <c r="D1983" s="8"/>
      <c r="E1983" s="8"/>
      <c r="F1983" s="8"/>
      <c r="G1983" s="8"/>
      <c r="H1983" s="8"/>
      <c r="I1983" s="10"/>
      <c r="J1983" s="10"/>
      <c r="K1983" s="18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</row>
    <row r="1984" ht="14.25" customHeight="1">
      <c r="A1984" s="9"/>
      <c r="B1984" s="8"/>
      <c r="C1984" s="8"/>
      <c r="D1984" s="8"/>
      <c r="E1984" s="8"/>
      <c r="F1984" s="8"/>
      <c r="G1984" s="8"/>
      <c r="H1984" s="8"/>
      <c r="I1984" s="10"/>
      <c r="J1984" s="10"/>
      <c r="K1984" s="18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</row>
    <row r="1985" ht="14.25" customHeight="1">
      <c r="A1985" s="9"/>
      <c r="B1985" s="8"/>
      <c r="C1985" s="8"/>
      <c r="D1985" s="8"/>
      <c r="E1985" s="8"/>
      <c r="F1985" s="8"/>
      <c r="G1985" s="8"/>
      <c r="H1985" s="8"/>
      <c r="I1985" s="10"/>
      <c r="J1985" s="10"/>
      <c r="K1985" s="18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</row>
    <row r="1986" ht="14.25" customHeight="1">
      <c r="A1986" s="9"/>
      <c r="B1986" s="8"/>
      <c r="C1986" s="8"/>
      <c r="D1986" s="8"/>
      <c r="E1986" s="8"/>
      <c r="F1986" s="8"/>
      <c r="G1986" s="8"/>
      <c r="H1986" s="8"/>
      <c r="I1986" s="10"/>
      <c r="J1986" s="10"/>
      <c r="K1986" s="18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</row>
    <row r="1987" ht="14.25" customHeight="1">
      <c r="A1987" s="9"/>
      <c r="B1987" s="8"/>
      <c r="C1987" s="8"/>
      <c r="D1987" s="8"/>
      <c r="E1987" s="8"/>
      <c r="F1987" s="8"/>
      <c r="G1987" s="8"/>
      <c r="H1987" s="8"/>
      <c r="I1987" s="10"/>
      <c r="J1987" s="10"/>
      <c r="K1987" s="18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</row>
    <row r="1988" ht="14.25" customHeight="1">
      <c r="A1988" s="9"/>
      <c r="B1988" s="8"/>
      <c r="C1988" s="8"/>
      <c r="D1988" s="8"/>
      <c r="E1988" s="8"/>
      <c r="F1988" s="8"/>
      <c r="G1988" s="8"/>
      <c r="H1988" s="8"/>
      <c r="I1988" s="10"/>
      <c r="J1988" s="10"/>
      <c r="K1988" s="18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</row>
    <row r="1989" ht="14.25" customHeight="1">
      <c r="A1989" s="9"/>
      <c r="B1989" s="8"/>
      <c r="C1989" s="8"/>
      <c r="D1989" s="8"/>
      <c r="E1989" s="8"/>
      <c r="F1989" s="8"/>
      <c r="G1989" s="8"/>
      <c r="H1989" s="8"/>
      <c r="I1989" s="10"/>
      <c r="J1989" s="10"/>
      <c r="K1989" s="18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</row>
    <row r="1990" ht="14.25" customHeight="1">
      <c r="A1990" s="9"/>
      <c r="B1990" s="8"/>
      <c r="C1990" s="8"/>
      <c r="D1990" s="8"/>
      <c r="E1990" s="8"/>
      <c r="F1990" s="8"/>
      <c r="G1990" s="8"/>
      <c r="H1990" s="8"/>
      <c r="I1990" s="10"/>
      <c r="J1990" s="10"/>
      <c r="K1990" s="18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</row>
    <row r="1991" ht="14.25" customHeight="1">
      <c r="A1991" s="9"/>
      <c r="B1991" s="8"/>
      <c r="C1991" s="8"/>
      <c r="D1991" s="8"/>
      <c r="E1991" s="8"/>
      <c r="F1991" s="8"/>
      <c r="G1991" s="8"/>
      <c r="H1991" s="8"/>
      <c r="I1991" s="10"/>
      <c r="J1991" s="10"/>
      <c r="K1991" s="18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</row>
    <row r="1992" ht="14.25" customHeight="1">
      <c r="A1992" s="9"/>
      <c r="B1992" s="8"/>
      <c r="C1992" s="8"/>
      <c r="D1992" s="8"/>
      <c r="E1992" s="8"/>
      <c r="F1992" s="8"/>
      <c r="G1992" s="8"/>
      <c r="H1992" s="8"/>
      <c r="I1992" s="10"/>
      <c r="J1992" s="10"/>
      <c r="K1992" s="18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</row>
    <row r="1993" ht="14.25" customHeight="1">
      <c r="A1993" s="9"/>
      <c r="B1993" s="8"/>
      <c r="C1993" s="8"/>
      <c r="D1993" s="8"/>
      <c r="E1993" s="8"/>
      <c r="F1993" s="8"/>
      <c r="G1993" s="8"/>
      <c r="H1993" s="8"/>
      <c r="I1993" s="10"/>
      <c r="J1993" s="10"/>
      <c r="K1993" s="18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</row>
    <row r="1994" ht="14.25" customHeight="1">
      <c r="A1994" s="9"/>
      <c r="B1994" s="8"/>
      <c r="C1994" s="8"/>
      <c r="D1994" s="8"/>
      <c r="E1994" s="8"/>
      <c r="F1994" s="8"/>
      <c r="G1994" s="8"/>
      <c r="H1994" s="8"/>
      <c r="I1994" s="10"/>
      <c r="J1994" s="10"/>
      <c r="K1994" s="18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</row>
    <row r="1995" ht="14.25" customHeight="1">
      <c r="A1995" s="9"/>
      <c r="B1995" s="8"/>
      <c r="C1995" s="8"/>
      <c r="D1995" s="8"/>
      <c r="E1995" s="8"/>
      <c r="F1995" s="8"/>
      <c r="G1995" s="8"/>
      <c r="H1995" s="8"/>
      <c r="I1995" s="10"/>
      <c r="J1995" s="10"/>
      <c r="K1995" s="18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</row>
    <row r="1996" ht="14.25" customHeight="1">
      <c r="A1996" s="9"/>
      <c r="B1996" s="8"/>
      <c r="C1996" s="8"/>
      <c r="D1996" s="8"/>
      <c r="E1996" s="8"/>
      <c r="F1996" s="8"/>
      <c r="G1996" s="8"/>
      <c r="H1996" s="8"/>
      <c r="I1996" s="10"/>
      <c r="J1996" s="10"/>
      <c r="K1996" s="18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</row>
    <row r="1997" ht="14.25" customHeight="1">
      <c r="A1997" s="9"/>
      <c r="B1997" s="8"/>
      <c r="C1997" s="8"/>
      <c r="D1997" s="8"/>
      <c r="E1997" s="8"/>
      <c r="F1997" s="8"/>
      <c r="G1997" s="8"/>
      <c r="H1997" s="8"/>
      <c r="I1997" s="10"/>
      <c r="J1997" s="10"/>
      <c r="K1997" s="18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</row>
    <row r="1998" ht="14.25" customHeight="1">
      <c r="A1998" s="9"/>
      <c r="B1998" s="8"/>
      <c r="C1998" s="8"/>
      <c r="D1998" s="8"/>
      <c r="E1998" s="8"/>
      <c r="F1998" s="8"/>
      <c r="G1998" s="8"/>
      <c r="H1998" s="8"/>
      <c r="I1998" s="10"/>
      <c r="J1998" s="10"/>
      <c r="K1998" s="18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</row>
    <row r="1999" ht="14.25" customHeight="1">
      <c r="A1999" s="9"/>
      <c r="B1999" s="8"/>
      <c r="C1999" s="8"/>
      <c r="D1999" s="8"/>
      <c r="E1999" s="8"/>
      <c r="F1999" s="8"/>
      <c r="G1999" s="8"/>
      <c r="H1999" s="8"/>
      <c r="I1999" s="10"/>
      <c r="J1999" s="10"/>
      <c r="K1999" s="18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</row>
    <row r="2000" ht="14.25" customHeight="1">
      <c r="A2000" s="9"/>
      <c r="B2000" s="8"/>
      <c r="C2000" s="8"/>
      <c r="D2000" s="8"/>
      <c r="E2000" s="8"/>
      <c r="F2000" s="8"/>
      <c r="G2000" s="8"/>
      <c r="H2000" s="8"/>
      <c r="I2000" s="10"/>
      <c r="J2000" s="10"/>
      <c r="K2000" s="18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</row>
    <row r="2001" ht="14.25" customHeight="1">
      <c r="A2001" s="9"/>
      <c r="B2001" s="8"/>
      <c r="C2001" s="8"/>
      <c r="D2001" s="8"/>
      <c r="E2001" s="8"/>
      <c r="F2001" s="8"/>
      <c r="G2001" s="8"/>
      <c r="H2001" s="8"/>
      <c r="I2001" s="10"/>
      <c r="J2001" s="10"/>
      <c r="K2001" s="18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</row>
    <row r="2002" ht="14.25" customHeight="1">
      <c r="A2002" s="9"/>
      <c r="B2002" s="8"/>
      <c r="C2002" s="8"/>
      <c r="D2002" s="8"/>
      <c r="E2002" s="8"/>
      <c r="F2002" s="8"/>
      <c r="G2002" s="8"/>
      <c r="H2002" s="8"/>
      <c r="I2002" s="10"/>
      <c r="J2002" s="10"/>
      <c r="K2002" s="18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</row>
    <row r="2003" ht="14.25" customHeight="1">
      <c r="A2003" s="9"/>
      <c r="B2003" s="8"/>
      <c r="C2003" s="8"/>
      <c r="D2003" s="8"/>
      <c r="E2003" s="8"/>
      <c r="F2003" s="8"/>
      <c r="G2003" s="8"/>
      <c r="H2003" s="8"/>
      <c r="I2003" s="10"/>
      <c r="J2003" s="10"/>
      <c r="K2003" s="18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</row>
    <row r="2004" ht="14.25" customHeight="1">
      <c r="A2004" s="9"/>
      <c r="B2004" s="8"/>
      <c r="C2004" s="8"/>
      <c r="D2004" s="8"/>
      <c r="E2004" s="8"/>
      <c r="F2004" s="8"/>
      <c r="G2004" s="8"/>
      <c r="H2004" s="8"/>
      <c r="I2004" s="10"/>
      <c r="J2004" s="10"/>
      <c r="K2004" s="18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</row>
    <row r="2005" ht="14.25" customHeight="1">
      <c r="A2005" s="9"/>
      <c r="B2005" s="8"/>
      <c r="C2005" s="8"/>
      <c r="D2005" s="8"/>
      <c r="E2005" s="8"/>
      <c r="F2005" s="8"/>
      <c r="G2005" s="8"/>
      <c r="H2005" s="8"/>
      <c r="I2005" s="10"/>
      <c r="J2005" s="10"/>
      <c r="K2005" s="18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</row>
    <row r="2006" ht="14.25" customHeight="1">
      <c r="A2006" s="9"/>
      <c r="B2006" s="8"/>
      <c r="C2006" s="8"/>
      <c r="D2006" s="8"/>
      <c r="E2006" s="8"/>
      <c r="F2006" s="8"/>
      <c r="G2006" s="8"/>
      <c r="H2006" s="8"/>
      <c r="I2006" s="10"/>
      <c r="J2006" s="10"/>
      <c r="K2006" s="18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</row>
    <row r="2007" ht="14.25" customHeight="1">
      <c r="A2007" s="9"/>
      <c r="B2007" s="8"/>
      <c r="C2007" s="8"/>
      <c r="D2007" s="8"/>
      <c r="E2007" s="8"/>
      <c r="F2007" s="8"/>
      <c r="G2007" s="8"/>
      <c r="H2007" s="8"/>
      <c r="I2007" s="10"/>
      <c r="J2007" s="10"/>
      <c r="K2007" s="18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</row>
    <row r="2008" ht="14.25" customHeight="1">
      <c r="A2008" s="9"/>
      <c r="B2008" s="8"/>
      <c r="C2008" s="8"/>
      <c r="D2008" s="8"/>
      <c r="E2008" s="8"/>
      <c r="F2008" s="8"/>
      <c r="G2008" s="8"/>
      <c r="H2008" s="8"/>
      <c r="I2008" s="10"/>
      <c r="J2008" s="10"/>
      <c r="K2008" s="18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</row>
    <row r="2009" ht="14.25" customHeight="1">
      <c r="A2009" s="9"/>
      <c r="B2009" s="8"/>
      <c r="C2009" s="8"/>
      <c r="D2009" s="8"/>
      <c r="E2009" s="8"/>
      <c r="F2009" s="8"/>
      <c r="G2009" s="8"/>
      <c r="H2009" s="8"/>
      <c r="I2009" s="10"/>
      <c r="J2009" s="10"/>
      <c r="K2009" s="18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</row>
    <row r="2010" ht="14.25" customHeight="1">
      <c r="A2010" s="9"/>
      <c r="B2010" s="8"/>
      <c r="C2010" s="8"/>
      <c r="D2010" s="8"/>
      <c r="E2010" s="8"/>
      <c r="F2010" s="8"/>
      <c r="G2010" s="8"/>
      <c r="H2010" s="8"/>
      <c r="I2010" s="10"/>
      <c r="J2010" s="10"/>
      <c r="K2010" s="18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</row>
    <row r="2011" ht="14.25" customHeight="1">
      <c r="A2011" s="9"/>
      <c r="B2011" s="8"/>
      <c r="C2011" s="8"/>
      <c r="D2011" s="8"/>
      <c r="E2011" s="8"/>
      <c r="F2011" s="8"/>
      <c r="G2011" s="8"/>
      <c r="H2011" s="8"/>
      <c r="I2011" s="10"/>
      <c r="J2011" s="10"/>
      <c r="K2011" s="18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</row>
    <row r="2012" ht="14.25" customHeight="1">
      <c r="A2012" s="9"/>
      <c r="B2012" s="8"/>
      <c r="C2012" s="8"/>
      <c r="D2012" s="8"/>
      <c r="E2012" s="8"/>
      <c r="F2012" s="8"/>
      <c r="G2012" s="8"/>
      <c r="H2012" s="8"/>
      <c r="I2012" s="10"/>
      <c r="J2012" s="10"/>
      <c r="K2012" s="18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</row>
    <row r="2013" ht="14.25" customHeight="1">
      <c r="A2013" s="9"/>
      <c r="B2013" s="8"/>
      <c r="C2013" s="8"/>
      <c r="D2013" s="8"/>
      <c r="E2013" s="8"/>
      <c r="F2013" s="8"/>
      <c r="G2013" s="8"/>
      <c r="H2013" s="8"/>
      <c r="I2013" s="10"/>
      <c r="J2013" s="10"/>
      <c r="K2013" s="18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</row>
    <row r="2014" ht="14.25" customHeight="1">
      <c r="A2014" s="9"/>
      <c r="B2014" s="8"/>
      <c r="C2014" s="8"/>
      <c r="D2014" s="8"/>
      <c r="E2014" s="8"/>
      <c r="F2014" s="8"/>
      <c r="G2014" s="8"/>
      <c r="H2014" s="8"/>
      <c r="I2014" s="10"/>
      <c r="J2014" s="10"/>
      <c r="K2014" s="18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</row>
    <row r="2015" ht="14.25" customHeight="1">
      <c r="A2015" s="9"/>
      <c r="B2015" s="8"/>
      <c r="C2015" s="8"/>
      <c r="D2015" s="8"/>
      <c r="E2015" s="8"/>
      <c r="F2015" s="8"/>
      <c r="G2015" s="8"/>
      <c r="H2015" s="8"/>
      <c r="I2015" s="10"/>
      <c r="J2015" s="10"/>
      <c r="K2015" s="18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</row>
    <row r="2016" ht="14.25" customHeight="1">
      <c r="A2016" s="9"/>
      <c r="B2016" s="8"/>
      <c r="C2016" s="8"/>
      <c r="D2016" s="8"/>
      <c r="E2016" s="8"/>
      <c r="F2016" s="8"/>
      <c r="G2016" s="8"/>
      <c r="H2016" s="8"/>
      <c r="I2016" s="10"/>
      <c r="J2016" s="10"/>
      <c r="K2016" s="18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</row>
    <row r="2017" ht="14.25" customHeight="1">
      <c r="A2017" s="9"/>
      <c r="B2017" s="8"/>
      <c r="C2017" s="8"/>
      <c r="D2017" s="8"/>
      <c r="E2017" s="8"/>
      <c r="F2017" s="8"/>
      <c r="G2017" s="8"/>
      <c r="H2017" s="8"/>
      <c r="I2017" s="10"/>
      <c r="J2017" s="10"/>
      <c r="K2017" s="18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</row>
    <row r="2018" ht="14.25" customHeight="1">
      <c r="A2018" s="9"/>
      <c r="B2018" s="8"/>
      <c r="C2018" s="8"/>
      <c r="D2018" s="8"/>
      <c r="E2018" s="8"/>
      <c r="F2018" s="8"/>
      <c r="G2018" s="8"/>
      <c r="H2018" s="8"/>
      <c r="I2018" s="10"/>
      <c r="J2018" s="10"/>
      <c r="K2018" s="18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</row>
    <row r="2019" ht="14.25" customHeight="1">
      <c r="A2019" s="9"/>
      <c r="B2019" s="8"/>
      <c r="C2019" s="8"/>
      <c r="D2019" s="8"/>
      <c r="E2019" s="8"/>
      <c r="F2019" s="8"/>
      <c r="G2019" s="8"/>
      <c r="H2019" s="8"/>
      <c r="I2019" s="10"/>
      <c r="J2019" s="10"/>
      <c r="K2019" s="18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</row>
    <row r="2020" ht="14.25" customHeight="1">
      <c r="A2020" s="9"/>
      <c r="B2020" s="8"/>
      <c r="C2020" s="8"/>
      <c r="D2020" s="8"/>
      <c r="E2020" s="8"/>
      <c r="F2020" s="8"/>
      <c r="G2020" s="8"/>
      <c r="H2020" s="8"/>
      <c r="I2020" s="10"/>
      <c r="J2020" s="10"/>
      <c r="K2020" s="18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</row>
    <row r="2021" ht="14.25" customHeight="1">
      <c r="A2021" s="9"/>
      <c r="B2021" s="8"/>
      <c r="C2021" s="8"/>
      <c r="D2021" s="8"/>
      <c r="E2021" s="8"/>
      <c r="F2021" s="8"/>
      <c r="G2021" s="8"/>
      <c r="H2021" s="8"/>
      <c r="I2021" s="10"/>
      <c r="J2021" s="10"/>
      <c r="K2021" s="18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</row>
    <row r="2022" ht="14.25" customHeight="1">
      <c r="A2022" s="9"/>
      <c r="B2022" s="8"/>
      <c r="C2022" s="8"/>
      <c r="D2022" s="8"/>
      <c r="E2022" s="8"/>
      <c r="F2022" s="8"/>
      <c r="G2022" s="8"/>
      <c r="H2022" s="8"/>
      <c r="I2022" s="10"/>
      <c r="J2022" s="10"/>
      <c r="K2022" s="18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</row>
    <row r="2023" ht="14.25" customHeight="1">
      <c r="A2023" s="9"/>
      <c r="B2023" s="8"/>
      <c r="C2023" s="8"/>
      <c r="D2023" s="8"/>
      <c r="E2023" s="8"/>
      <c r="F2023" s="8"/>
      <c r="G2023" s="8"/>
      <c r="H2023" s="8"/>
      <c r="I2023" s="10"/>
      <c r="J2023" s="10"/>
      <c r="K2023" s="18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</row>
    <row r="2024" ht="14.25" customHeight="1">
      <c r="A2024" s="9"/>
      <c r="B2024" s="8"/>
      <c r="C2024" s="8"/>
      <c r="D2024" s="8"/>
      <c r="E2024" s="8"/>
      <c r="F2024" s="8"/>
      <c r="G2024" s="8"/>
      <c r="H2024" s="8"/>
      <c r="I2024" s="10"/>
      <c r="J2024" s="10"/>
      <c r="K2024" s="18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</row>
    <row r="2025" ht="14.25" customHeight="1">
      <c r="A2025" s="9"/>
      <c r="B2025" s="8"/>
      <c r="C2025" s="8"/>
      <c r="D2025" s="8"/>
      <c r="E2025" s="8"/>
      <c r="F2025" s="8"/>
      <c r="G2025" s="8"/>
      <c r="H2025" s="8"/>
      <c r="I2025" s="10"/>
      <c r="J2025" s="10"/>
      <c r="K2025" s="18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</row>
    <row r="2026" ht="14.25" customHeight="1">
      <c r="A2026" s="9"/>
      <c r="B2026" s="8"/>
      <c r="C2026" s="8"/>
      <c r="D2026" s="8"/>
      <c r="E2026" s="8"/>
      <c r="F2026" s="8"/>
      <c r="G2026" s="8"/>
      <c r="H2026" s="8"/>
      <c r="I2026" s="10"/>
      <c r="J2026" s="10"/>
      <c r="K2026" s="18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</row>
    <row r="2027" ht="14.25" customHeight="1">
      <c r="A2027" s="9"/>
      <c r="B2027" s="8"/>
      <c r="C2027" s="8"/>
      <c r="D2027" s="8"/>
      <c r="E2027" s="8"/>
      <c r="F2027" s="8"/>
      <c r="G2027" s="8"/>
      <c r="H2027" s="8"/>
      <c r="I2027" s="10"/>
      <c r="J2027" s="10"/>
      <c r="K2027" s="18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</row>
    <row r="2028" ht="14.25" customHeight="1">
      <c r="A2028" s="9"/>
      <c r="B2028" s="8"/>
      <c r="C2028" s="8"/>
      <c r="D2028" s="8"/>
      <c r="E2028" s="8"/>
      <c r="F2028" s="8"/>
      <c r="G2028" s="8"/>
      <c r="H2028" s="8"/>
      <c r="I2028" s="10"/>
      <c r="J2028" s="10"/>
      <c r="K2028" s="18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</row>
    <row r="2029" ht="14.25" customHeight="1">
      <c r="A2029" s="9"/>
      <c r="B2029" s="8"/>
      <c r="C2029" s="8"/>
      <c r="D2029" s="8"/>
      <c r="E2029" s="8"/>
      <c r="F2029" s="8"/>
      <c r="G2029" s="8"/>
      <c r="H2029" s="8"/>
      <c r="I2029" s="10"/>
      <c r="J2029" s="10"/>
      <c r="K2029" s="18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</row>
    <row r="2030" ht="14.25" customHeight="1">
      <c r="A2030" s="9"/>
      <c r="B2030" s="8"/>
      <c r="C2030" s="8"/>
      <c r="D2030" s="8"/>
      <c r="E2030" s="8"/>
      <c r="F2030" s="8"/>
      <c r="G2030" s="8"/>
      <c r="H2030" s="8"/>
      <c r="I2030" s="10"/>
      <c r="J2030" s="10"/>
      <c r="K2030" s="18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</row>
    <row r="2031" ht="14.25" customHeight="1">
      <c r="A2031" s="9"/>
      <c r="B2031" s="8"/>
      <c r="C2031" s="8"/>
      <c r="D2031" s="8"/>
      <c r="E2031" s="8"/>
      <c r="F2031" s="8"/>
      <c r="G2031" s="8"/>
      <c r="H2031" s="8"/>
      <c r="I2031" s="10"/>
      <c r="J2031" s="10"/>
      <c r="K2031" s="18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</row>
    <row r="2032" ht="14.25" customHeight="1">
      <c r="A2032" s="9"/>
      <c r="B2032" s="8"/>
      <c r="C2032" s="8"/>
      <c r="D2032" s="8"/>
      <c r="E2032" s="8"/>
      <c r="F2032" s="8"/>
      <c r="G2032" s="8"/>
      <c r="H2032" s="8"/>
      <c r="I2032" s="10"/>
      <c r="J2032" s="10"/>
      <c r="K2032" s="18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</row>
    <row r="2033" ht="14.25" customHeight="1">
      <c r="A2033" s="9"/>
      <c r="B2033" s="8"/>
      <c r="C2033" s="8"/>
      <c r="D2033" s="8"/>
      <c r="E2033" s="8"/>
      <c r="F2033" s="8"/>
      <c r="G2033" s="8"/>
      <c r="H2033" s="8"/>
      <c r="I2033" s="10"/>
      <c r="J2033" s="10"/>
      <c r="K2033" s="18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</row>
    <row r="2034" ht="14.25" customHeight="1">
      <c r="A2034" s="9"/>
      <c r="B2034" s="8"/>
      <c r="C2034" s="8"/>
      <c r="D2034" s="8"/>
      <c r="E2034" s="8"/>
      <c r="F2034" s="8"/>
      <c r="G2034" s="8"/>
      <c r="H2034" s="8"/>
      <c r="I2034" s="10"/>
      <c r="J2034" s="10"/>
      <c r="K2034" s="18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</row>
    <row r="2035" ht="14.25" customHeight="1">
      <c r="A2035" s="9"/>
      <c r="B2035" s="8"/>
      <c r="C2035" s="8"/>
      <c r="D2035" s="8"/>
      <c r="E2035" s="8"/>
      <c r="F2035" s="8"/>
      <c r="G2035" s="8"/>
      <c r="H2035" s="8"/>
      <c r="I2035" s="10"/>
      <c r="J2035" s="10"/>
      <c r="K2035" s="18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</row>
    <row r="2036" ht="14.25" customHeight="1">
      <c r="A2036" s="9"/>
      <c r="B2036" s="8"/>
      <c r="C2036" s="8"/>
      <c r="D2036" s="8"/>
      <c r="E2036" s="8"/>
      <c r="F2036" s="8"/>
      <c r="G2036" s="8"/>
      <c r="H2036" s="8"/>
      <c r="I2036" s="10"/>
      <c r="J2036" s="10"/>
      <c r="K2036" s="18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</row>
    <row r="2037" ht="14.25" customHeight="1">
      <c r="A2037" s="9"/>
      <c r="B2037" s="8"/>
      <c r="C2037" s="8"/>
      <c r="D2037" s="8"/>
      <c r="E2037" s="8"/>
      <c r="F2037" s="8"/>
      <c r="G2037" s="8"/>
      <c r="H2037" s="8"/>
      <c r="I2037" s="10"/>
      <c r="J2037" s="10"/>
      <c r="K2037" s="18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</row>
    <row r="2038" ht="14.25" customHeight="1">
      <c r="A2038" s="9"/>
      <c r="B2038" s="8"/>
      <c r="C2038" s="8"/>
      <c r="D2038" s="8"/>
      <c r="E2038" s="8"/>
      <c r="F2038" s="8"/>
      <c r="G2038" s="8"/>
      <c r="H2038" s="8"/>
      <c r="I2038" s="10"/>
      <c r="J2038" s="10"/>
      <c r="K2038" s="18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</row>
    <row r="2039" ht="14.25" customHeight="1">
      <c r="A2039" s="9"/>
      <c r="B2039" s="8"/>
      <c r="C2039" s="8"/>
      <c r="D2039" s="8"/>
      <c r="E2039" s="8"/>
      <c r="F2039" s="8"/>
      <c r="G2039" s="8"/>
      <c r="H2039" s="8"/>
      <c r="I2039" s="10"/>
      <c r="J2039" s="10"/>
      <c r="K2039" s="18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</row>
    <row r="2040" ht="14.25" customHeight="1">
      <c r="A2040" s="9"/>
      <c r="B2040" s="8"/>
      <c r="C2040" s="8"/>
      <c r="D2040" s="8"/>
      <c r="E2040" s="8"/>
      <c r="F2040" s="8"/>
      <c r="G2040" s="8"/>
      <c r="H2040" s="8"/>
      <c r="I2040" s="10"/>
      <c r="J2040" s="10"/>
      <c r="K2040" s="18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</row>
    <row r="2041" ht="14.25" customHeight="1">
      <c r="A2041" s="9"/>
      <c r="B2041" s="8"/>
      <c r="C2041" s="8"/>
      <c r="D2041" s="8"/>
      <c r="E2041" s="8"/>
      <c r="F2041" s="8"/>
      <c r="G2041" s="8"/>
      <c r="H2041" s="8"/>
      <c r="I2041" s="10"/>
      <c r="J2041" s="10"/>
      <c r="K2041" s="18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</row>
    <row r="2042" ht="14.25" customHeight="1">
      <c r="A2042" s="9"/>
      <c r="B2042" s="8"/>
      <c r="C2042" s="8"/>
      <c r="D2042" s="8"/>
      <c r="E2042" s="8"/>
      <c r="F2042" s="8"/>
      <c r="G2042" s="8"/>
      <c r="H2042" s="8"/>
      <c r="I2042" s="10"/>
      <c r="J2042" s="10"/>
      <c r="K2042" s="18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</row>
    <row r="2043" ht="14.25" customHeight="1">
      <c r="A2043" s="9"/>
      <c r="B2043" s="8"/>
      <c r="C2043" s="8"/>
      <c r="D2043" s="8"/>
      <c r="E2043" s="8"/>
      <c r="F2043" s="8"/>
      <c r="G2043" s="8"/>
      <c r="H2043" s="8"/>
      <c r="I2043" s="10"/>
      <c r="J2043" s="10"/>
      <c r="K2043" s="18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</row>
    <row r="2044" ht="14.25" customHeight="1">
      <c r="A2044" s="9"/>
      <c r="B2044" s="8"/>
      <c r="C2044" s="8"/>
      <c r="D2044" s="8"/>
      <c r="E2044" s="8"/>
      <c r="F2044" s="8"/>
      <c r="G2044" s="8"/>
      <c r="H2044" s="8"/>
      <c r="I2044" s="10"/>
      <c r="J2044" s="10"/>
      <c r="K2044" s="18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</row>
    <row r="2045" ht="14.25" customHeight="1">
      <c r="A2045" s="9"/>
      <c r="B2045" s="8"/>
      <c r="C2045" s="8"/>
      <c r="D2045" s="8"/>
      <c r="E2045" s="8"/>
      <c r="F2045" s="8"/>
      <c r="G2045" s="8"/>
      <c r="H2045" s="8"/>
      <c r="I2045" s="10"/>
      <c r="J2045" s="10"/>
      <c r="K2045" s="18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</row>
    <row r="2046" ht="14.25" customHeight="1">
      <c r="A2046" s="9"/>
      <c r="B2046" s="8"/>
      <c r="C2046" s="8"/>
      <c r="D2046" s="8"/>
      <c r="E2046" s="8"/>
      <c r="F2046" s="8"/>
      <c r="G2046" s="8"/>
      <c r="H2046" s="8"/>
      <c r="I2046" s="10"/>
      <c r="J2046" s="10"/>
      <c r="K2046" s="18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</row>
    <row r="2047" ht="14.25" customHeight="1">
      <c r="A2047" s="9"/>
      <c r="B2047" s="8"/>
      <c r="C2047" s="8"/>
      <c r="D2047" s="8"/>
      <c r="E2047" s="8"/>
      <c r="F2047" s="8"/>
      <c r="G2047" s="8"/>
      <c r="H2047" s="8"/>
      <c r="I2047" s="10"/>
      <c r="J2047" s="10"/>
      <c r="K2047" s="18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</row>
    <row r="2048" ht="14.25" customHeight="1">
      <c r="A2048" s="9"/>
      <c r="B2048" s="8"/>
      <c r="C2048" s="8"/>
      <c r="D2048" s="8"/>
      <c r="E2048" s="8"/>
      <c r="F2048" s="8"/>
      <c r="G2048" s="8"/>
      <c r="H2048" s="8"/>
      <c r="I2048" s="10"/>
      <c r="J2048" s="10"/>
      <c r="K2048" s="18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</row>
    <row r="2049" ht="14.25" customHeight="1">
      <c r="A2049" s="9"/>
      <c r="B2049" s="8"/>
      <c r="C2049" s="8"/>
      <c r="D2049" s="8"/>
      <c r="E2049" s="8"/>
      <c r="F2049" s="8"/>
      <c r="G2049" s="8"/>
      <c r="H2049" s="8"/>
      <c r="I2049" s="10"/>
      <c r="J2049" s="10"/>
      <c r="K2049" s="18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</row>
    <row r="2050" ht="14.25" customHeight="1">
      <c r="A2050" s="9"/>
      <c r="B2050" s="8"/>
      <c r="C2050" s="8"/>
      <c r="D2050" s="8"/>
      <c r="E2050" s="8"/>
      <c r="F2050" s="8"/>
      <c r="G2050" s="8"/>
      <c r="H2050" s="8"/>
      <c r="I2050" s="10"/>
      <c r="J2050" s="10"/>
      <c r="K2050" s="18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</row>
    <row r="2051" ht="14.25" customHeight="1">
      <c r="A2051" s="9"/>
      <c r="B2051" s="8"/>
      <c r="C2051" s="8"/>
      <c r="D2051" s="8"/>
      <c r="E2051" s="8"/>
      <c r="F2051" s="8"/>
      <c r="G2051" s="8"/>
      <c r="H2051" s="8"/>
      <c r="I2051" s="10"/>
      <c r="J2051" s="10"/>
      <c r="K2051" s="18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</row>
    <row r="2052" ht="14.25" customHeight="1">
      <c r="A2052" s="9"/>
      <c r="B2052" s="8"/>
      <c r="C2052" s="8"/>
      <c r="D2052" s="8"/>
      <c r="E2052" s="8"/>
      <c r="F2052" s="8"/>
      <c r="G2052" s="8"/>
      <c r="H2052" s="8"/>
      <c r="I2052" s="10"/>
      <c r="J2052" s="10"/>
      <c r="K2052" s="18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</row>
    <row r="2053" ht="14.25" customHeight="1">
      <c r="A2053" s="9"/>
      <c r="B2053" s="8"/>
      <c r="C2053" s="8"/>
      <c r="D2053" s="8"/>
      <c r="E2053" s="8"/>
      <c r="F2053" s="8"/>
      <c r="G2053" s="8"/>
      <c r="H2053" s="8"/>
      <c r="I2053" s="10"/>
      <c r="J2053" s="10"/>
      <c r="K2053" s="18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</row>
    <row r="2054" ht="14.25" customHeight="1">
      <c r="A2054" s="9"/>
      <c r="B2054" s="8"/>
      <c r="C2054" s="8"/>
      <c r="D2054" s="8"/>
      <c r="E2054" s="8"/>
      <c r="F2054" s="8"/>
      <c r="G2054" s="8"/>
      <c r="H2054" s="8"/>
      <c r="I2054" s="10"/>
      <c r="J2054" s="10"/>
      <c r="K2054" s="18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</row>
    <row r="2055" ht="14.25" customHeight="1">
      <c r="A2055" s="9"/>
      <c r="B2055" s="8"/>
      <c r="C2055" s="8"/>
      <c r="D2055" s="8"/>
      <c r="E2055" s="8"/>
      <c r="F2055" s="8"/>
      <c r="G2055" s="8"/>
      <c r="H2055" s="8"/>
      <c r="I2055" s="10"/>
      <c r="J2055" s="10"/>
      <c r="K2055" s="18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</row>
    <row r="2056" ht="14.25" customHeight="1">
      <c r="A2056" s="9"/>
      <c r="B2056" s="8"/>
      <c r="C2056" s="8"/>
      <c r="D2056" s="8"/>
      <c r="E2056" s="8"/>
      <c r="F2056" s="8"/>
      <c r="G2056" s="8"/>
      <c r="H2056" s="8"/>
      <c r="I2056" s="10"/>
      <c r="J2056" s="10"/>
      <c r="K2056" s="18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</row>
    <row r="2057" ht="14.25" customHeight="1">
      <c r="A2057" s="9"/>
      <c r="B2057" s="8"/>
      <c r="C2057" s="8"/>
      <c r="D2057" s="8"/>
      <c r="E2057" s="8"/>
      <c r="F2057" s="8"/>
      <c r="G2057" s="8"/>
      <c r="H2057" s="8"/>
      <c r="I2057" s="10"/>
      <c r="J2057" s="10"/>
      <c r="K2057" s="18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</row>
    <row r="2058" ht="14.25" customHeight="1">
      <c r="A2058" s="9"/>
      <c r="B2058" s="8"/>
      <c r="C2058" s="8"/>
      <c r="D2058" s="8"/>
      <c r="E2058" s="8"/>
      <c r="F2058" s="8"/>
      <c r="G2058" s="8"/>
      <c r="H2058" s="8"/>
      <c r="I2058" s="10"/>
      <c r="J2058" s="10"/>
      <c r="K2058" s="18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</row>
    <row r="2059" ht="14.25" customHeight="1">
      <c r="A2059" s="9"/>
      <c r="B2059" s="8"/>
      <c r="C2059" s="8"/>
      <c r="D2059" s="8"/>
      <c r="E2059" s="8"/>
      <c r="F2059" s="8"/>
      <c r="G2059" s="8"/>
      <c r="H2059" s="8"/>
      <c r="I2059" s="10"/>
      <c r="J2059" s="10"/>
      <c r="K2059" s="18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</row>
    <row r="2060" ht="14.25" customHeight="1">
      <c r="A2060" s="9"/>
      <c r="B2060" s="8"/>
      <c r="C2060" s="8"/>
      <c r="D2060" s="8"/>
      <c r="E2060" s="8"/>
      <c r="F2060" s="8"/>
      <c r="G2060" s="8"/>
      <c r="H2060" s="8"/>
      <c r="I2060" s="10"/>
      <c r="J2060" s="10"/>
      <c r="K2060" s="18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</row>
    <row r="2061" ht="14.25" customHeight="1">
      <c r="A2061" s="9"/>
      <c r="B2061" s="8"/>
      <c r="C2061" s="8"/>
      <c r="D2061" s="8"/>
      <c r="E2061" s="8"/>
      <c r="F2061" s="8"/>
      <c r="G2061" s="8"/>
      <c r="H2061" s="8"/>
      <c r="I2061" s="10"/>
      <c r="J2061" s="10"/>
      <c r="K2061" s="18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</row>
    <row r="2062" ht="14.25" customHeight="1">
      <c r="A2062" s="9"/>
      <c r="B2062" s="8"/>
      <c r="C2062" s="8"/>
      <c r="D2062" s="8"/>
      <c r="E2062" s="8"/>
      <c r="F2062" s="8"/>
      <c r="G2062" s="8"/>
      <c r="H2062" s="8"/>
      <c r="I2062" s="10"/>
      <c r="J2062" s="10"/>
      <c r="K2062" s="18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</row>
    <row r="2063" ht="14.25" customHeight="1">
      <c r="A2063" s="9"/>
      <c r="B2063" s="8"/>
      <c r="C2063" s="8"/>
      <c r="D2063" s="8"/>
      <c r="E2063" s="8"/>
      <c r="F2063" s="8"/>
      <c r="G2063" s="8"/>
      <c r="H2063" s="8"/>
      <c r="I2063" s="10"/>
      <c r="J2063" s="10"/>
      <c r="K2063" s="18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</row>
    <row r="2064" ht="14.25" customHeight="1">
      <c r="A2064" s="9"/>
      <c r="B2064" s="8"/>
      <c r="C2064" s="8"/>
      <c r="D2064" s="8"/>
      <c r="E2064" s="8"/>
      <c r="F2064" s="8"/>
      <c r="G2064" s="8"/>
      <c r="H2064" s="8"/>
      <c r="I2064" s="10"/>
      <c r="J2064" s="10"/>
      <c r="K2064" s="18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</row>
    <row r="2065" ht="14.25" customHeight="1">
      <c r="A2065" s="9"/>
      <c r="B2065" s="8"/>
      <c r="C2065" s="8"/>
      <c r="D2065" s="8"/>
      <c r="E2065" s="8"/>
      <c r="F2065" s="8"/>
      <c r="G2065" s="8"/>
      <c r="H2065" s="8"/>
      <c r="I2065" s="10"/>
      <c r="J2065" s="10"/>
      <c r="K2065" s="18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</row>
    <row r="2066" ht="14.25" customHeight="1">
      <c r="A2066" s="9"/>
      <c r="B2066" s="8"/>
      <c r="C2066" s="8"/>
      <c r="D2066" s="8"/>
      <c r="E2066" s="8"/>
      <c r="F2066" s="8"/>
      <c r="G2066" s="8"/>
      <c r="H2066" s="8"/>
      <c r="I2066" s="10"/>
      <c r="J2066" s="10"/>
      <c r="K2066" s="18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</row>
    <row r="2067" ht="14.25" customHeight="1">
      <c r="A2067" s="9"/>
      <c r="B2067" s="8"/>
      <c r="C2067" s="8"/>
      <c r="D2067" s="8"/>
      <c r="E2067" s="8"/>
      <c r="F2067" s="8"/>
      <c r="G2067" s="8"/>
      <c r="H2067" s="8"/>
      <c r="I2067" s="10"/>
      <c r="J2067" s="10"/>
      <c r="K2067" s="18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</row>
    <row r="2068" ht="14.25" customHeight="1">
      <c r="A2068" s="9"/>
      <c r="B2068" s="8"/>
      <c r="C2068" s="8"/>
      <c r="D2068" s="8"/>
      <c r="E2068" s="8"/>
      <c r="F2068" s="8"/>
      <c r="G2068" s="8"/>
      <c r="H2068" s="8"/>
      <c r="I2068" s="10"/>
      <c r="J2068" s="10"/>
      <c r="K2068" s="18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</row>
    <row r="2069" ht="14.25" customHeight="1">
      <c r="A2069" s="9"/>
      <c r="B2069" s="8"/>
      <c r="C2069" s="8"/>
      <c r="D2069" s="8"/>
      <c r="E2069" s="8"/>
      <c r="F2069" s="8"/>
      <c r="G2069" s="8"/>
      <c r="H2069" s="8"/>
      <c r="I2069" s="10"/>
      <c r="J2069" s="10"/>
      <c r="K2069" s="18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</row>
    <row r="2070" ht="14.25" customHeight="1">
      <c r="A2070" s="9"/>
      <c r="B2070" s="8"/>
      <c r="C2070" s="8"/>
      <c r="D2070" s="8"/>
      <c r="E2070" s="8"/>
      <c r="F2070" s="8"/>
      <c r="G2070" s="8"/>
      <c r="H2070" s="8"/>
      <c r="I2070" s="10"/>
      <c r="J2070" s="10"/>
      <c r="K2070" s="18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</row>
    <row r="2071" ht="14.25" customHeight="1">
      <c r="A2071" s="9"/>
      <c r="B2071" s="8"/>
      <c r="C2071" s="8"/>
      <c r="D2071" s="8"/>
      <c r="E2071" s="8"/>
      <c r="F2071" s="8"/>
      <c r="G2071" s="8"/>
      <c r="H2071" s="8"/>
      <c r="I2071" s="10"/>
      <c r="J2071" s="10"/>
      <c r="K2071" s="18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</row>
    <row r="2072" ht="14.25" customHeight="1">
      <c r="A2072" s="9"/>
      <c r="B2072" s="8"/>
      <c r="C2072" s="8"/>
      <c r="D2072" s="8"/>
      <c r="E2072" s="8"/>
      <c r="F2072" s="8"/>
      <c r="G2072" s="8"/>
      <c r="H2072" s="8"/>
      <c r="I2072" s="10"/>
      <c r="J2072" s="10"/>
      <c r="K2072" s="18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</row>
    <row r="2073" ht="14.25" customHeight="1">
      <c r="A2073" s="9"/>
      <c r="B2073" s="8"/>
      <c r="C2073" s="8"/>
      <c r="D2073" s="8"/>
      <c r="E2073" s="8"/>
      <c r="F2073" s="8"/>
      <c r="G2073" s="8"/>
      <c r="H2073" s="8"/>
      <c r="I2073" s="10"/>
      <c r="J2073" s="10"/>
      <c r="K2073" s="18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</row>
    <row r="2074" ht="14.25" customHeight="1">
      <c r="A2074" s="9"/>
      <c r="B2074" s="8"/>
      <c r="C2074" s="8"/>
      <c r="D2074" s="8"/>
      <c r="E2074" s="8"/>
      <c r="F2074" s="8"/>
      <c r="G2074" s="8"/>
      <c r="H2074" s="8"/>
      <c r="I2074" s="10"/>
      <c r="J2074" s="10"/>
      <c r="K2074" s="18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</row>
    <row r="2075" ht="14.25" customHeight="1">
      <c r="A2075" s="9"/>
      <c r="B2075" s="8"/>
      <c r="C2075" s="8"/>
      <c r="D2075" s="8"/>
      <c r="E2075" s="8"/>
      <c r="F2075" s="8"/>
      <c r="G2075" s="8"/>
      <c r="H2075" s="8"/>
      <c r="I2075" s="10"/>
      <c r="J2075" s="10"/>
      <c r="K2075" s="18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</row>
    <row r="2076" ht="14.25" customHeight="1">
      <c r="A2076" s="9"/>
      <c r="B2076" s="8"/>
      <c r="C2076" s="8"/>
      <c r="D2076" s="8"/>
      <c r="E2076" s="8"/>
      <c r="F2076" s="8"/>
      <c r="G2076" s="8"/>
      <c r="H2076" s="8"/>
      <c r="I2076" s="10"/>
      <c r="J2076" s="10"/>
      <c r="K2076" s="18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</row>
    <row r="2077" ht="14.25" customHeight="1">
      <c r="A2077" s="9"/>
      <c r="B2077" s="8"/>
      <c r="C2077" s="8"/>
      <c r="D2077" s="8"/>
      <c r="E2077" s="8"/>
      <c r="F2077" s="8"/>
      <c r="G2077" s="8"/>
      <c r="H2077" s="8"/>
      <c r="I2077" s="10"/>
      <c r="J2077" s="10"/>
      <c r="K2077" s="18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</row>
    <row r="2078" ht="14.25" customHeight="1">
      <c r="A2078" s="9"/>
      <c r="B2078" s="8"/>
      <c r="C2078" s="8"/>
      <c r="D2078" s="8"/>
      <c r="E2078" s="8"/>
      <c r="F2078" s="8"/>
      <c r="G2078" s="8"/>
      <c r="H2078" s="8"/>
      <c r="I2078" s="10"/>
      <c r="J2078" s="10"/>
      <c r="K2078" s="18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</row>
    <row r="2079" ht="14.25" customHeight="1">
      <c r="A2079" s="9"/>
      <c r="B2079" s="8"/>
      <c r="C2079" s="8"/>
      <c r="D2079" s="8"/>
      <c r="E2079" s="8"/>
      <c r="F2079" s="8"/>
      <c r="G2079" s="8"/>
      <c r="H2079" s="8"/>
      <c r="I2079" s="10"/>
      <c r="J2079" s="10"/>
      <c r="K2079" s="18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</row>
    <row r="2080" ht="14.25" customHeight="1">
      <c r="A2080" s="9"/>
      <c r="B2080" s="8"/>
      <c r="C2080" s="8"/>
      <c r="D2080" s="8"/>
      <c r="E2080" s="8"/>
      <c r="F2080" s="8"/>
      <c r="G2080" s="8"/>
      <c r="H2080" s="8"/>
      <c r="I2080" s="10"/>
      <c r="J2080" s="10"/>
      <c r="K2080" s="18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</row>
    <row r="2081" ht="14.25" customHeight="1">
      <c r="A2081" s="9"/>
      <c r="B2081" s="8"/>
      <c r="C2081" s="8"/>
      <c r="D2081" s="8"/>
      <c r="E2081" s="8"/>
      <c r="F2081" s="8"/>
      <c r="G2081" s="8"/>
      <c r="H2081" s="8"/>
      <c r="I2081" s="10"/>
      <c r="J2081" s="10"/>
      <c r="K2081" s="18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</row>
    <row r="2082" ht="14.25" customHeight="1">
      <c r="A2082" s="9"/>
      <c r="B2082" s="8"/>
      <c r="C2082" s="8"/>
      <c r="D2082" s="8"/>
      <c r="E2082" s="8"/>
      <c r="F2082" s="8"/>
      <c r="G2082" s="8"/>
      <c r="H2082" s="8"/>
      <c r="I2082" s="10"/>
      <c r="J2082" s="10"/>
      <c r="K2082" s="18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</row>
    <row r="2083" ht="14.25" customHeight="1">
      <c r="A2083" s="9"/>
      <c r="B2083" s="8"/>
      <c r="C2083" s="8"/>
      <c r="D2083" s="8"/>
      <c r="E2083" s="8"/>
      <c r="F2083" s="8"/>
      <c r="G2083" s="8"/>
      <c r="H2083" s="8"/>
      <c r="I2083" s="10"/>
      <c r="J2083" s="10"/>
      <c r="K2083" s="18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</row>
    <row r="2084" ht="14.25" customHeight="1">
      <c r="A2084" s="9"/>
      <c r="B2084" s="8"/>
      <c r="C2084" s="8"/>
      <c r="D2084" s="8"/>
      <c r="E2084" s="8"/>
      <c r="F2084" s="8"/>
      <c r="G2084" s="8"/>
      <c r="H2084" s="8"/>
      <c r="I2084" s="10"/>
      <c r="J2084" s="10"/>
      <c r="K2084" s="18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</row>
    <row r="2085" ht="14.25" customHeight="1">
      <c r="A2085" s="9"/>
      <c r="B2085" s="8"/>
      <c r="C2085" s="8"/>
      <c r="D2085" s="8"/>
      <c r="E2085" s="8"/>
      <c r="F2085" s="8"/>
      <c r="G2085" s="8"/>
      <c r="H2085" s="8"/>
      <c r="I2085" s="10"/>
      <c r="J2085" s="10"/>
      <c r="K2085" s="18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</row>
    <row r="2086" ht="14.25" customHeight="1">
      <c r="A2086" s="9"/>
      <c r="B2086" s="8"/>
      <c r="C2086" s="8"/>
      <c r="D2086" s="8"/>
      <c r="E2086" s="8"/>
      <c r="F2086" s="8"/>
      <c r="G2086" s="8"/>
      <c r="H2086" s="8"/>
      <c r="I2086" s="10"/>
      <c r="J2086" s="10"/>
      <c r="K2086" s="18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</row>
    <row r="2087" ht="14.25" customHeight="1">
      <c r="A2087" s="9"/>
      <c r="B2087" s="8"/>
      <c r="C2087" s="8"/>
      <c r="D2087" s="8"/>
      <c r="E2087" s="8"/>
      <c r="F2087" s="8"/>
      <c r="G2087" s="8"/>
      <c r="H2087" s="8"/>
      <c r="I2087" s="10"/>
      <c r="J2087" s="10"/>
      <c r="K2087" s="18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</row>
    <row r="2088" ht="14.25" customHeight="1">
      <c r="A2088" s="9"/>
      <c r="B2088" s="8"/>
      <c r="C2088" s="8"/>
      <c r="D2088" s="8"/>
      <c r="E2088" s="8"/>
      <c r="F2088" s="8"/>
      <c r="G2088" s="8"/>
      <c r="H2088" s="8"/>
      <c r="I2088" s="10"/>
      <c r="J2088" s="10"/>
      <c r="K2088" s="18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</row>
    <row r="2089" ht="14.25" customHeight="1">
      <c r="A2089" s="9"/>
      <c r="B2089" s="8"/>
      <c r="C2089" s="8"/>
      <c r="D2089" s="8"/>
      <c r="E2089" s="8"/>
      <c r="F2089" s="8"/>
      <c r="G2089" s="8"/>
      <c r="H2089" s="8"/>
      <c r="I2089" s="10"/>
      <c r="J2089" s="10"/>
      <c r="K2089" s="18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</row>
    <row r="2090" ht="14.25" customHeight="1">
      <c r="A2090" s="9"/>
      <c r="B2090" s="8"/>
      <c r="C2090" s="8"/>
      <c r="D2090" s="8"/>
      <c r="E2090" s="8"/>
      <c r="F2090" s="8"/>
      <c r="G2090" s="8"/>
      <c r="H2090" s="8"/>
      <c r="I2090" s="10"/>
      <c r="J2090" s="10"/>
      <c r="K2090" s="18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</row>
    <row r="2091" ht="14.25" customHeight="1">
      <c r="A2091" s="9"/>
      <c r="B2091" s="8"/>
      <c r="C2091" s="8"/>
      <c r="D2091" s="8"/>
      <c r="E2091" s="8"/>
      <c r="F2091" s="8"/>
      <c r="G2091" s="8"/>
      <c r="H2091" s="8"/>
      <c r="I2091" s="10"/>
      <c r="J2091" s="10"/>
      <c r="K2091" s="18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</row>
    <row r="2092" ht="14.25" customHeight="1">
      <c r="A2092" s="9"/>
      <c r="B2092" s="8"/>
      <c r="C2092" s="8"/>
      <c r="D2092" s="8"/>
      <c r="E2092" s="8"/>
      <c r="F2092" s="8"/>
      <c r="G2092" s="8"/>
      <c r="H2092" s="8"/>
      <c r="I2092" s="10"/>
      <c r="J2092" s="10"/>
      <c r="K2092" s="18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</row>
    <row r="2093" ht="14.25" customHeight="1">
      <c r="A2093" s="9"/>
      <c r="B2093" s="8"/>
      <c r="C2093" s="8"/>
      <c r="D2093" s="8"/>
      <c r="E2093" s="8"/>
      <c r="F2093" s="8"/>
      <c r="G2093" s="8"/>
      <c r="H2093" s="8"/>
      <c r="I2093" s="10"/>
      <c r="J2093" s="10"/>
      <c r="K2093" s="18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</row>
    <row r="2094" ht="14.25" customHeight="1">
      <c r="A2094" s="9"/>
      <c r="B2094" s="8"/>
      <c r="C2094" s="8"/>
      <c r="D2094" s="8"/>
      <c r="E2094" s="8"/>
      <c r="F2094" s="8"/>
      <c r="G2094" s="8"/>
      <c r="H2094" s="8"/>
      <c r="I2094" s="10"/>
      <c r="J2094" s="10"/>
      <c r="K2094" s="18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</row>
    <row r="2095" ht="14.25" customHeight="1">
      <c r="A2095" s="9"/>
      <c r="B2095" s="8"/>
      <c r="C2095" s="8"/>
      <c r="D2095" s="8"/>
      <c r="E2095" s="8"/>
      <c r="F2095" s="8"/>
      <c r="G2095" s="8"/>
      <c r="H2095" s="8"/>
      <c r="I2095" s="10"/>
      <c r="J2095" s="10"/>
      <c r="K2095" s="18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</row>
    <row r="2096" ht="14.25" customHeight="1">
      <c r="A2096" s="9"/>
      <c r="B2096" s="8"/>
      <c r="C2096" s="8"/>
      <c r="D2096" s="8"/>
      <c r="E2096" s="8"/>
      <c r="F2096" s="8"/>
      <c r="G2096" s="8"/>
      <c r="H2096" s="8"/>
      <c r="I2096" s="10"/>
      <c r="J2096" s="10"/>
      <c r="K2096" s="18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</row>
    <row r="2097" ht="14.25" customHeight="1">
      <c r="A2097" s="9"/>
      <c r="B2097" s="8"/>
      <c r="C2097" s="8"/>
      <c r="D2097" s="8"/>
      <c r="E2097" s="8"/>
      <c r="F2097" s="8"/>
      <c r="G2097" s="8"/>
      <c r="H2097" s="8"/>
      <c r="I2097" s="10"/>
      <c r="J2097" s="10"/>
      <c r="K2097" s="18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</row>
    <row r="2098" ht="14.25" customHeight="1">
      <c r="A2098" s="9"/>
      <c r="B2098" s="8"/>
      <c r="C2098" s="8"/>
      <c r="D2098" s="8"/>
      <c r="E2098" s="8"/>
      <c r="F2098" s="8"/>
      <c r="G2098" s="8"/>
      <c r="H2098" s="8"/>
      <c r="I2098" s="10"/>
      <c r="J2098" s="10"/>
      <c r="K2098" s="18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</row>
    <row r="2099" ht="14.25" customHeight="1">
      <c r="A2099" s="9"/>
      <c r="B2099" s="8"/>
      <c r="C2099" s="8"/>
      <c r="D2099" s="8"/>
      <c r="E2099" s="8"/>
      <c r="F2099" s="8"/>
      <c r="G2099" s="8"/>
      <c r="H2099" s="8"/>
      <c r="I2099" s="10"/>
      <c r="J2099" s="10"/>
      <c r="K2099" s="18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</row>
    <row r="2100" ht="14.25" customHeight="1">
      <c r="A2100" s="9"/>
      <c r="B2100" s="8"/>
      <c r="C2100" s="8"/>
      <c r="D2100" s="8"/>
      <c r="E2100" s="8"/>
      <c r="F2100" s="8"/>
      <c r="G2100" s="8"/>
      <c r="H2100" s="8"/>
      <c r="I2100" s="10"/>
      <c r="J2100" s="10"/>
      <c r="K2100" s="18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</row>
    <row r="2101" ht="14.25" customHeight="1">
      <c r="A2101" s="9"/>
      <c r="B2101" s="8"/>
      <c r="C2101" s="8"/>
      <c r="D2101" s="8"/>
      <c r="E2101" s="8"/>
      <c r="F2101" s="8"/>
      <c r="G2101" s="8"/>
      <c r="H2101" s="8"/>
      <c r="I2101" s="10"/>
      <c r="J2101" s="10"/>
      <c r="K2101" s="18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</row>
    <row r="2102" ht="14.25" customHeight="1">
      <c r="A2102" s="9"/>
      <c r="B2102" s="8"/>
      <c r="C2102" s="8"/>
      <c r="D2102" s="8"/>
      <c r="E2102" s="8"/>
      <c r="F2102" s="8"/>
      <c r="G2102" s="8"/>
      <c r="H2102" s="8"/>
      <c r="I2102" s="10"/>
      <c r="J2102" s="10"/>
      <c r="K2102" s="18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</row>
    <row r="2103" ht="14.25" customHeight="1">
      <c r="A2103" s="9"/>
      <c r="B2103" s="8"/>
      <c r="C2103" s="8"/>
      <c r="D2103" s="8"/>
      <c r="E2103" s="8"/>
      <c r="F2103" s="8"/>
      <c r="G2103" s="8"/>
      <c r="H2103" s="8"/>
      <c r="I2103" s="10"/>
      <c r="J2103" s="10"/>
      <c r="K2103" s="18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</row>
    <row r="2104" ht="14.25" customHeight="1">
      <c r="A2104" s="9"/>
      <c r="B2104" s="8"/>
      <c r="C2104" s="8"/>
      <c r="D2104" s="8"/>
      <c r="E2104" s="8"/>
      <c r="F2104" s="8"/>
      <c r="G2104" s="8"/>
      <c r="H2104" s="8"/>
      <c r="I2104" s="10"/>
      <c r="J2104" s="10"/>
      <c r="K2104" s="18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</row>
    <row r="2105" ht="14.25" customHeight="1">
      <c r="A2105" s="9"/>
      <c r="B2105" s="8"/>
      <c r="C2105" s="8"/>
      <c r="D2105" s="8"/>
      <c r="E2105" s="8"/>
      <c r="F2105" s="8"/>
      <c r="G2105" s="8"/>
      <c r="H2105" s="8"/>
      <c r="I2105" s="10"/>
      <c r="J2105" s="10"/>
      <c r="K2105" s="18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</row>
    <row r="2106" ht="14.25" customHeight="1">
      <c r="A2106" s="9"/>
      <c r="B2106" s="8"/>
      <c r="C2106" s="8"/>
      <c r="D2106" s="8"/>
      <c r="E2106" s="8"/>
      <c r="F2106" s="8"/>
      <c r="G2106" s="8"/>
      <c r="H2106" s="8"/>
      <c r="I2106" s="10"/>
      <c r="J2106" s="10"/>
      <c r="K2106" s="18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</row>
    <row r="2107" ht="14.25" customHeight="1">
      <c r="A2107" s="9"/>
      <c r="B2107" s="8"/>
      <c r="C2107" s="8"/>
      <c r="D2107" s="8"/>
      <c r="E2107" s="8"/>
      <c r="F2107" s="8"/>
      <c r="G2107" s="8"/>
      <c r="H2107" s="8"/>
      <c r="I2107" s="10"/>
      <c r="J2107" s="10"/>
      <c r="K2107" s="18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</row>
    <row r="2108" ht="14.25" customHeight="1">
      <c r="A2108" s="9"/>
      <c r="B2108" s="8"/>
      <c r="C2108" s="8"/>
      <c r="D2108" s="8"/>
      <c r="E2108" s="8"/>
      <c r="F2108" s="8"/>
      <c r="G2108" s="8"/>
      <c r="H2108" s="8"/>
      <c r="I2108" s="10"/>
      <c r="J2108" s="10"/>
      <c r="K2108" s="18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</row>
    <row r="2109" ht="14.25" customHeight="1">
      <c r="A2109" s="9"/>
      <c r="B2109" s="8"/>
      <c r="C2109" s="8"/>
      <c r="D2109" s="8"/>
      <c r="E2109" s="8"/>
      <c r="F2109" s="8"/>
      <c r="G2109" s="8"/>
      <c r="H2109" s="8"/>
      <c r="I2109" s="10"/>
      <c r="J2109" s="10"/>
      <c r="K2109" s="18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</row>
    <row r="2110" ht="14.25" customHeight="1">
      <c r="A2110" s="9"/>
      <c r="B2110" s="8"/>
      <c r="C2110" s="8"/>
      <c r="D2110" s="8"/>
      <c r="E2110" s="8"/>
      <c r="F2110" s="8"/>
      <c r="G2110" s="8"/>
      <c r="H2110" s="8"/>
      <c r="I2110" s="10"/>
      <c r="J2110" s="10"/>
      <c r="K2110" s="18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</row>
    <row r="2111" ht="14.25" customHeight="1">
      <c r="A2111" s="9"/>
      <c r="B2111" s="8"/>
      <c r="C2111" s="8"/>
      <c r="D2111" s="8"/>
      <c r="E2111" s="8"/>
      <c r="F2111" s="8"/>
      <c r="G2111" s="8"/>
      <c r="H2111" s="8"/>
      <c r="I2111" s="10"/>
      <c r="J2111" s="10"/>
      <c r="K2111" s="18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</row>
    <row r="2112" ht="14.25" customHeight="1">
      <c r="A2112" s="9"/>
      <c r="B2112" s="8"/>
      <c r="C2112" s="8"/>
      <c r="D2112" s="8"/>
      <c r="E2112" s="8"/>
      <c r="F2112" s="8"/>
      <c r="G2112" s="8"/>
      <c r="H2112" s="8"/>
      <c r="I2112" s="10"/>
      <c r="J2112" s="10"/>
      <c r="K2112" s="18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</row>
    <row r="2113" ht="14.25" customHeight="1">
      <c r="A2113" s="9"/>
      <c r="B2113" s="8"/>
      <c r="C2113" s="8"/>
      <c r="D2113" s="8"/>
      <c r="E2113" s="8"/>
      <c r="F2113" s="8"/>
      <c r="G2113" s="8"/>
      <c r="H2113" s="8"/>
      <c r="I2113" s="10"/>
      <c r="J2113" s="10"/>
      <c r="K2113" s="18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</row>
    <row r="2114" ht="14.25" customHeight="1">
      <c r="A2114" s="9"/>
      <c r="B2114" s="8"/>
      <c r="C2114" s="8"/>
      <c r="D2114" s="8"/>
      <c r="E2114" s="8"/>
      <c r="F2114" s="8"/>
      <c r="G2114" s="8"/>
      <c r="H2114" s="8"/>
      <c r="I2114" s="10"/>
      <c r="J2114" s="10"/>
      <c r="K2114" s="18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</row>
    <row r="2115" ht="14.25" customHeight="1">
      <c r="A2115" s="9"/>
      <c r="B2115" s="8"/>
      <c r="C2115" s="8"/>
      <c r="D2115" s="8"/>
      <c r="E2115" s="8"/>
      <c r="F2115" s="8"/>
      <c r="G2115" s="8"/>
      <c r="H2115" s="8"/>
      <c r="I2115" s="10"/>
      <c r="J2115" s="10"/>
      <c r="K2115" s="18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</row>
    <row r="2116" ht="14.25" customHeight="1">
      <c r="A2116" s="9"/>
      <c r="B2116" s="8"/>
      <c r="C2116" s="8"/>
      <c r="D2116" s="8"/>
      <c r="E2116" s="8"/>
      <c r="F2116" s="8"/>
      <c r="G2116" s="8"/>
      <c r="H2116" s="8"/>
      <c r="I2116" s="10"/>
      <c r="J2116" s="10"/>
      <c r="K2116" s="18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</row>
    <row r="2117" ht="14.25" customHeight="1">
      <c r="A2117" s="9"/>
      <c r="B2117" s="8"/>
      <c r="C2117" s="8"/>
      <c r="D2117" s="8"/>
      <c r="E2117" s="8"/>
      <c r="F2117" s="8"/>
      <c r="G2117" s="8"/>
      <c r="H2117" s="8"/>
      <c r="I2117" s="10"/>
      <c r="J2117" s="10"/>
      <c r="K2117" s="18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</row>
    <row r="2118" ht="14.25" customHeight="1">
      <c r="A2118" s="9"/>
      <c r="B2118" s="8"/>
      <c r="C2118" s="8"/>
      <c r="D2118" s="8"/>
      <c r="E2118" s="8"/>
      <c r="F2118" s="8"/>
      <c r="G2118" s="8"/>
      <c r="H2118" s="8"/>
      <c r="I2118" s="10"/>
      <c r="J2118" s="10"/>
      <c r="K2118" s="18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</row>
    <row r="2119" ht="14.25" customHeight="1">
      <c r="A2119" s="9"/>
      <c r="B2119" s="8"/>
      <c r="C2119" s="8"/>
      <c r="D2119" s="8"/>
      <c r="E2119" s="8"/>
      <c r="F2119" s="8"/>
      <c r="G2119" s="8"/>
      <c r="H2119" s="8"/>
      <c r="I2119" s="10"/>
      <c r="J2119" s="10"/>
      <c r="K2119" s="18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</row>
    <row r="2120" ht="14.25" customHeight="1">
      <c r="A2120" s="9"/>
      <c r="B2120" s="8"/>
      <c r="C2120" s="8"/>
      <c r="D2120" s="8"/>
      <c r="E2120" s="8"/>
      <c r="F2120" s="8"/>
      <c r="G2120" s="8"/>
      <c r="H2120" s="8"/>
      <c r="I2120" s="10"/>
      <c r="J2120" s="10"/>
      <c r="K2120" s="18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</row>
    <row r="2121" ht="14.25" customHeight="1">
      <c r="A2121" s="9"/>
      <c r="B2121" s="8"/>
      <c r="C2121" s="8"/>
      <c r="D2121" s="8"/>
      <c r="E2121" s="8"/>
      <c r="F2121" s="8"/>
      <c r="G2121" s="8"/>
      <c r="H2121" s="8"/>
      <c r="I2121" s="10"/>
      <c r="J2121" s="10"/>
      <c r="K2121" s="18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</row>
    <row r="2122" ht="14.25" customHeight="1">
      <c r="A2122" s="9"/>
      <c r="B2122" s="8"/>
      <c r="C2122" s="8"/>
      <c r="D2122" s="8"/>
      <c r="E2122" s="8"/>
      <c r="F2122" s="8"/>
      <c r="G2122" s="8"/>
      <c r="H2122" s="8"/>
      <c r="I2122" s="10"/>
      <c r="J2122" s="10"/>
      <c r="K2122" s="18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</row>
    <row r="2123" ht="14.25" customHeight="1">
      <c r="A2123" s="9"/>
      <c r="B2123" s="8"/>
      <c r="C2123" s="8"/>
      <c r="D2123" s="8"/>
      <c r="E2123" s="8"/>
      <c r="F2123" s="8"/>
      <c r="G2123" s="8"/>
      <c r="H2123" s="8"/>
      <c r="I2123" s="10"/>
      <c r="J2123" s="10"/>
      <c r="K2123" s="18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</row>
    <row r="2124" ht="14.25" customHeight="1">
      <c r="A2124" s="9"/>
      <c r="B2124" s="8"/>
      <c r="C2124" s="8"/>
      <c r="D2124" s="8"/>
      <c r="E2124" s="8"/>
      <c r="F2124" s="8"/>
      <c r="G2124" s="8"/>
      <c r="H2124" s="8"/>
      <c r="I2124" s="10"/>
      <c r="J2124" s="10"/>
      <c r="K2124" s="18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</row>
    <row r="2125" ht="14.25" customHeight="1">
      <c r="A2125" s="9"/>
      <c r="B2125" s="8"/>
      <c r="C2125" s="8"/>
      <c r="D2125" s="8"/>
      <c r="E2125" s="8"/>
      <c r="F2125" s="8"/>
      <c r="G2125" s="8"/>
      <c r="H2125" s="8"/>
      <c r="I2125" s="10"/>
      <c r="J2125" s="10"/>
      <c r="K2125" s="18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</row>
    <row r="2126" ht="14.25" customHeight="1">
      <c r="A2126" s="9"/>
      <c r="B2126" s="8"/>
      <c r="C2126" s="8"/>
      <c r="D2126" s="8"/>
      <c r="E2126" s="8"/>
      <c r="F2126" s="8"/>
      <c r="G2126" s="8"/>
      <c r="H2126" s="8"/>
      <c r="I2126" s="10"/>
      <c r="J2126" s="10"/>
      <c r="K2126" s="18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</row>
    <row r="2127" ht="14.25" customHeight="1">
      <c r="A2127" s="9"/>
      <c r="B2127" s="8"/>
      <c r="C2127" s="8"/>
      <c r="D2127" s="8"/>
      <c r="E2127" s="8"/>
      <c r="F2127" s="8"/>
      <c r="G2127" s="8"/>
      <c r="H2127" s="8"/>
      <c r="I2127" s="10"/>
      <c r="J2127" s="10"/>
      <c r="K2127" s="18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</row>
    <row r="2128" ht="14.25" customHeight="1">
      <c r="A2128" s="9"/>
      <c r="B2128" s="8"/>
      <c r="C2128" s="8"/>
      <c r="D2128" s="8"/>
      <c r="E2128" s="8"/>
      <c r="F2128" s="8"/>
      <c r="G2128" s="8"/>
      <c r="H2128" s="8"/>
      <c r="I2128" s="10"/>
      <c r="J2128" s="10"/>
      <c r="K2128" s="18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</row>
    <row r="2129" ht="14.25" customHeight="1">
      <c r="A2129" s="9"/>
      <c r="B2129" s="8"/>
      <c r="C2129" s="8"/>
      <c r="D2129" s="8"/>
      <c r="E2129" s="8"/>
      <c r="F2129" s="8"/>
      <c r="G2129" s="8"/>
      <c r="H2129" s="8"/>
      <c r="I2129" s="10"/>
      <c r="J2129" s="10"/>
      <c r="K2129" s="18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</row>
    <row r="2130" ht="14.25" customHeight="1">
      <c r="A2130" s="9"/>
      <c r="B2130" s="8"/>
      <c r="C2130" s="8"/>
      <c r="D2130" s="8"/>
      <c r="E2130" s="8"/>
      <c r="F2130" s="8"/>
      <c r="G2130" s="8"/>
      <c r="H2130" s="8"/>
      <c r="I2130" s="10"/>
      <c r="J2130" s="10"/>
      <c r="K2130" s="18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</row>
    <row r="2131" ht="14.25" customHeight="1">
      <c r="A2131" s="9"/>
      <c r="B2131" s="8"/>
      <c r="C2131" s="8"/>
      <c r="D2131" s="8"/>
      <c r="E2131" s="8"/>
      <c r="F2131" s="8"/>
      <c r="G2131" s="8"/>
      <c r="H2131" s="8"/>
      <c r="I2131" s="10"/>
      <c r="J2131" s="10"/>
      <c r="K2131" s="18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</row>
    <row r="2132" ht="14.25" customHeight="1">
      <c r="A2132" s="9"/>
      <c r="B2132" s="8"/>
      <c r="C2132" s="8"/>
      <c r="D2132" s="8"/>
      <c r="E2132" s="8"/>
      <c r="F2132" s="8"/>
      <c r="G2132" s="8"/>
      <c r="H2132" s="8"/>
      <c r="I2132" s="10"/>
      <c r="J2132" s="10"/>
      <c r="K2132" s="18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</row>
    <row r="2133" ht="14.25" customHeight="1">
      <c r="A2133" s="9"/>
      <c r="B2133" s="8"/>
      <c r="C2133" s="8"/>
      <c r="D2133" s="8"/>
      <c r="E2133" s="8"/>
      <c r="F2133" s="8"/>
      <c r="G2133" s="8"/>
      <c r="H2133" s="8"/>
      <c r="I2133" s="10"/>
      <c r="J2133" s="10"/>
      <c r="K2133" s="18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</row>
    <row r="2134" ht="14.25" customHeight="1">
      <c r="A2134" s="9"/>
      <c r="B2134" s="8"/>
      <c r="C2134" s="8"/>
      <c r="D2134" s="8"/>
      <c r="E2134" s="8"/>
      <c r="F2134" s="8"/>
      <c r="G2134" s="8"/>
      <c r="H2134" s="8"/>
      <c r="I2134" s="10"/>
      <c r="J2134" s="10"/>
      <c r="K2134" s="18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</row>
    <row r="2135" ht="14.25" customHeight="1">
      <c r="A2135" s="9"/>
      <c r="B2135" s="8"/>
      <c r="C2135" s="8"/>
      <c r="D2135" s="8"/>
      <c r="E2135" s="8"/>
      <c r="F2135" s="8"/>
      <c r="G2135" s="8"/>
      <c r="H2135" s="8"/>
      <c r="I2135" s="10"/>
      <c r="J2135" s="10"/>
      <c r="K2135" s="18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</row>
    <row r="2136" ht="14.25" customHeight="1">
      <c r="A2136" s="9"/>
      <c r="B2136" s="8"/>
      <c r="C2136" s="8"/>
      <c r="D2136" s="8"/>
      <c r="E2136" s="8"/>
      <c r="F2136" s="8"/>
      <c r="G2136" s="8"/>
      <c r="H2136" s="8"/>
      <c r="I2136" s="10"/>
      <c r="J2136" s="10"/>
      <c r="K2136" s="18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</row>
    <row r="2137" ht="14.25" customHeight="1">
      <c r="A2137" s="9"/>
      <c r="B2137" s="8"/>
      <c r="C2137" s="8"/>
      <c r="D2137" s="8"/>
      <c r="E2137" s="8"/>
      <c r="F2137" s="8"/>
      <c r="G2137" s="8"/>
      <c r="H2137" s="8"/>
      <c r="I2137" s="10"/>
      <c r="J2137" s="10"/>
      <c r="K2137" s="18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</row>
    <row r="2138" ht="14.25" customHeight="1">
      <c r="A2138" s="9"/>
      <c r="B2138" s="8"/>
      <c r="C2138" s="8"/>
      <c r="D2138" s="8"/>
      <c r="E2138" s="8"/>
      <c r="F2138" s="8"/>
      <c r="G2138" s="8"/>
      <c r="H2138" s="8"/>
      <c r="I2138" s="10"/>
      <c r="J2138" s="10"/>
      <c r="K2138" s="18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</row>
    <row r="2139" ht="14.25" customHeight="1">
      <c r="A2139" s="9"/>
      <c r="B2139" s="8"/>
      <c r="C2139" s="8"/>
      <c r="D2139" s="8"/>
      <c r="E2139" s="8"/>
      <c r="F2139" s="8"/>
      <c r="G2139" s="8"/>
      <c r="H2139" s="8"/>
      <c r="I2139" s="10"/>
      <c r="J2139" s="10"/>
      <c r="K2139" s="18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</row>
    <row r="2140" ht="14.25" customHeight="1">
      <c r="A2140" s="9"/>
      <c r="B2140" s="8"/>
      <c r="C2140" s="8"/>
      <c r="D2140" s="8"/>
      <c r="E2140" s="8"/>
      <c r="F2140" s="8"/>
      <c r="G2140" s="8"/>
      <c r="H2140" s="8"/>
      <c r="I2140" s="10"/>
      <c r="J2140" s="10"/>
      <c r="K2140" s="18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</row>
    <row r="2141" ht="14.25" customHeight="1">
      <c r="A2141" s="9"/>
      <c r="B2141" s="8"/>
      <c r="C2141" s="8"/>
      <c r="D2141" s="8"/>
      <c r="E2141" s="8"/>
      <c r="F2141" s="8"/>
      <c r="G2141" s="8"/>
      <c r="H2141" s="8"/>
      <c r="I2141" s="10"/>
      <c r="J2141" s="10"/>
      <c r="K2141" s="18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</row>
    <row r="2142" ht="14.25" customHeight="1">
      <c r="A2142" s="9"/>
      <c r="B2142" s="8"/>
      <c r="C2142" s="8"/>
      <c r="D2142" s="8"/>
      <c r="E2142" s="8"/>
      <c r="F2142" s="8"/>
      <c r="G2142" s="8"/>
      <c r="H2142" s="8"/>
      <c r="I2142" s="10"/>
      <c r="J2142" s="10"/>
      <c r="K2142" s="18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</row>
    <row r="2143" ht="14.25" customHeight="1">
      <c r="A2143" s="9"/>
      <c r="B2143" s="8"/>
      <c r="C2143" s="8"/>
      <c r="D2143" s="8"/>
      <c r="E2143" s="8"/>
      <c r="F2143" s="8"/>
      <c r="G2143" s="8"/>
      <c r="H2143" s="8"/>
      <c r="I2143" s="10"/>
      <c r="J2143" s="10"/>
      <c r="K2143" s="18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</row>
    <row r="2144" ht="14.25" customHeight="1">
      <c r="A2144" s="9"/>
      <c r="B2144" s="8"/>
      <c r="C2144" s="8"/>
      <c r="D2144" s="8"/>
      <c r="E2144" s="8"/>
      <c r="F2144" s="8"/>
      <c r="G2144" s="8"/>
      <c r="H2144" s="8"/>
      <c r="I2144" s="10"/>
      <c r="J2144" s="10"/>
      <c r="K2144" s="18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</row>
    <row r="2145" ht="14.25" customHeight="1">
      <c r="A2145" s="9"/>
      <c r="B2145" s="8"/>
      <c r="C2145" s="8"/>
      <c r="D2145" s="8"/>
      <c r="E2145" s="8"/>
      <c r="F2145" s="8"/>
      <c r="G2145" s="8"/>
      <c r="H2145" s="8"/>
      <c r="I2145" s="10"/>
      <c r="J2145" s="10"/>
      <c r="K2145" s="18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</row>
    <row r="2146" ht="14.25" customHeight="1">
      <c r="A2146" s="9"/>
      <c r="B2146" s="8"/>
      <c r="C2146" s="8"/>
      <c r="D2146" s="8"/>
      <c r="E2146" s="8"/>
      <c r="F2146" s="8"/>
      <c r="G2146" s="8"/>
      <c r="H2146" s="8"/>
      <c r="I2146" s="10"/>
      <c r="J2146" s="10"/>
      <c r="K2146" s="18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</row>
    <row r="2147" ht="14.25" customHeight="1">
      <c r="A2147" s="9"/>
      <c r="B2147" s="8"/>
      <c r="C2147" s="8"/>
      <c r="D2147" s="8"/>
      <c r="E2147" s="8"/>
      <c r="F2147" s="8"/>
      <c r="G2147" s="8"/>
      <c r="H2147" s="8"/>
      <c r="I2147" s="10"/>
      <c r="J2147" s="10"/>
      <c r="K2147" s="18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</row>
    <row r="2148" ht="14.25" customHeight="1">
      <c r="A2148" s="9"/>
      <c r="B2148" s="8"/>
      <c r="C2148" s="8"/>
      <c r="D2148" s="8"/>
      <c r="E2148" s="8"/>
      <c r="F2148" s="8"/>
      <c r="G2148" s="8"/>
      <c r="H2148" s="8"/>
      <c r="I2148" s="10"/>
      <c r="J2148" s="10"/>
      <c r="K2148" s="18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</row>
    <row r="2149" ht="14.25" customHeight="1">
      <c r="A2149" s="9"/>
      <c r="B2149" s="8"/>
      <c r="C2149" s="8"/>
      <c r="D2149" s="8"/>
      <c r="E2149" s="8"/>
      <c r="F2149" s="8"/>
      <c r="G2149" s="8"/>
      <c r="H2149" s="8"/>
      <c r="I2149" s="10"/>
      <c r="J2149" s="10"/>
      <c r="K2149" s="18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</row>
    <row r="2150" ht="14.25" customHeight="1">
      <c r="A2150" s="9"/>
      <c r="B2150" s="8"/>
      <c r="C2150" s="8"/>
      <c r="D2150" s="8"/>
      <c r="E2150" s="8"/>
      <c r="F2150" s="8"/>
      <c r="G2150" s="8"/>
      <c r="H2150" s="8"/>
      <c r="I2150" s="10"/>
      <c r="J2150" s="10"/>
      <c r="K2150" s="18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</row>
    <row r="2151" ht="14.25" customHeight="1">
      <c r="A2151" s="9"/>
      <c r="B2151" s="8"/>
      <c r="C2151" s="8"/>
      <c r="D2151" s="8"/>
      <c r="E2151" s="8"/>
      <c r="F2151" s="8"/>
      <c r="G2151" s="8"/>
      <c r="H2151" s="8"/>
      <c r="I2151" s="10"/>
      <c r="J2151" s="10"/>
      <c r="K2151" s="18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</row>
    <row r="2152" ht="14.25" customHeight="1">
      <c r="A2152" s="9"/>
      <c r="B2152" s="8"/>
      <c r="C2152" s="8"/>
      <c r="D2152" s="8"/>
      <c r="E2152" s="8"/>
      <c r="F2152" s="8"/>
      <c r="G2152" s="8"/>
      <c r="H2152" s="8"/>
      <c r="I2152" s="10"/>
      <c r="J2152" s="10"/>
      <c r="K2152" s="18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</row>
    <row r="2153" ht="14.25" customHeight="1">
      <c r="A2153" s="9"/>
      <c r="B2153" s="8"/>
      <c r="C2153" s="8"/>
      <c r="D2153" s="8"/>
      <c r="E2153" s="8"/>
      <c r="F2153" s="8"/>
      <c r="G2153" s="8"/>
      <c r="H2153" s="8"/>
      <c r="I2153" s="10"/>
      <c r="J2153" s="10"/>
      <c r="K2153" s="18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</row>
    <row r="2154" ht="14.25" customHeight="1">
      <c r="A2154" s="9"/>
      <c r="B2154" s="8"/>
      <c r="C2154" s="8"/>
      <c r="D2154" s="8"/>
      <c r="E2154" s="8"/>
      <c r="F2154" s="8"/>
      <c r="G2154" s="8"/>
      <c r="H2154" s="8"/>
      <c r="I2154" s="10"/>
      <c r="J2154" s="10"/>
      <c r="K2154" s="18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</row>
    <row r="2155" ht="14.25" customHeight="1">
      <c r="A2155" s="9"/>
      <c r="B2155" s="8"/>
      <c r="C2155" s="8"/>
      <c r="D2155" s="8"/>
      <c r="E2155" s="8"/>
      <c r="F2155" s="8"/>
      <c r="G2155" s="8"/>
      <c r="H2155" s="8"/>
      <c r="I2155" s="10"/>
      <c r="J2155" s="10"/>
      <c r="K2155" s="18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</row>
    <row r="2156" ht="14.25" customHeight="1">
      <c r="A2156" s="9"/>
      <c r="B2156" s="8"/>
      <c r="C2156" s="8"/>
      <c r="D2156" s="8"/>
      <c r="E2156" s="8"/>
      <c r="F2156" s="8"/>
      <c r="G2156" s="8"/>
      <c r="H2156" s="8"/>
      <c r="I2156" s="10"/>
      <c r="J2156" s="10"/>
      <c r="K2156" s="18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</row>
    <row r="2157" ht="14.25" customHeight="1">
      <c r="A2157" s="9"/>
      <c r="B2157" s="8"/>
      <c r="C2157" s="8"/>
      <c r="D2157" s="8"/>
      <c r="E2157" s="8"/>
      <c r="F2157" s="8"/>
      <c r="G2157" s="8"/>
      <c r="H2157" s="8"/>
      <c r="I2157" s="10"/>
      <c r="J2157" s="10"/>
      <c r="K2157" s="18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</row>
    <row r="2158" ht="14.25" customHeight="1">
      <c r="A2158" s="9"/>
      <c r="B2158" s="8"/>
      <c r="C2158" s="8"/>
      <c r="D2158" s="8"/>
      <c r="E2158" s="8"/>
      <c r="F2158" s="8"/>
      <c r="G2158" s="8"/>
      <c r="H2158" s="8"/>
      <c r="I2158" s="10"/>
      <c r="J2158" s="10"/>
      <c r="K2158" s="18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</row>
    <row r="2159" ht="14.25" customHeight="1">
      <c r="A2159" s="9"/>
      <c r="B2159" s="8"/>
      <c r="C2159" s="8"/>
      <c r="D2159" s="8"/>
      <c r="E2159" s="8"/>
      <c r="F2159" s="8"/>
      <c r="G2159" s="8"/>
      <c r="H2159" s="8"/>
      <c r="I2159" s="10"/>
      <c r="J2159" s="10"/>
      <c r="K2159" s="18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</row>
    <row r="2160" ht="14.25" customHeight="1">
      <c r="A2160" s="9"/>
      <c r="B2160" s="8"/>
      <c r="C2160" s="8"/>
      <c r="D2160" s="8"/>
      <c r="E2160" s="8"/>
      <c r="F2160" s="8"/>
      <c r="G2160" s="8"/>
      <c r="H2160" s="8"/>
      <c r="I2160" s="10"/>
      <c r="J2160" s="10"/>
      <c r="K2160" s="18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</row>
    <row r="2161" ht="14.25" customHeight="1">
      <c r="A2161" s="9"/>
      <c r="B2161" s="8"/>
      <c r="C2161" s="8"/>
      <c r="D2161" s="8"/>
      <c r="E2161" s="8"/>
      <c r="F2161" s="8"/>
      <c r="G2161" s="8"/>
      <c r="H2161" s="8"/>
      <c r="I2161" s="10"/>
      <c r="J2161" s="10"/>
      <c r="K2161" s="18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</row>
    <row r="2162" ht="14.25" customHeight="1">
      <c r="A2162" s="9"/>
      <c r="B2162" s="8"/>
      <c r="C2162" s="8"/>
      <c r="D2162" s="8"/>
      <c r="E2162" s="8"/>
      <c r="F2162" s="8"/>
      <c r="G2162" s="8"/>
      <c r="H2162" s="8"/>
      <c r="I2162" s="10"/>
      <c r="J2162" s="10"/>
      <c r="K2162" s="18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</row>
    <row r="2163" ht="14.25" customHeight="1">
      <c r="A2163" s="9"/>
      <c r="B2163" s="8"/>
      <c r="C2163" s="8"/>
      <c r="D2163" s="8"/>
      <c r="E2163" s="8"/>
      <c r="F2163" s="8"/>
      <c r="G2163" s="8"/>
      <c r="H2163" s="8"/>
      <c r="I2163" s="10"/>
      <c r="J2163" s="10"/>
      <c r="K2163" s="18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</row>
    <row r="2164" ht="14.25" customHeight="1">
      <c r="A2164" s="9"/>
      <c r="B2164" s="8"/>
      <c r="C2164" s="8"/>
      <c r="D2164" s="8"/>
      <c r="E2164" s="8"/>
      <c r="F2164" s="8"/>
      <c r="G2164" s="8"/>
      <c r="H2164" s="8"/>
      <c r="I2164" s="10"/>
      <c r="J2164" s="10"/>
      <c r="K2164" s="18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</row>
    <row r="2165" ht="14.25" customHeight="1">
      <c r="A2165" s="9"/>
      <c r="B2165" s="8"/>
      <c r="C2165" s="8"/>
      <c r="D2165" s="8"/>
      <c r="E2165" s="8"/>
      <c r="F2165" s="8"/>
      <c r="G2165" s="8"/>
      <c r="H2165" s="8"/>
      <c r="I2165" s="10"/>
      <c r="J2165" s="10"/>
      <c r="K2165" s="18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</row>
    <row r="2166" ht="14.25" customHeight="1">
      <c r="A2166" s="9"/>
      <c r="B2166" s="8"/>
      <c r="C2166" s="8"/>
      <c r="D2166" s="8"/>
      <c r="E2166" s="8"/>
      <c r="F2166" s="8"/>
      <c r="G2166" s="8"/>
      <c r="H2166" s="8"/>
      <c r="I2166" s="10"/>
      <c r="J2166" s="10"/>
      <c r="K2166" s="18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</row>
    <row r="2167" ht="14.25" customHeight="1">
      <c r="A2167" s="9"/>
      <c r="B2167" s="8"/>
      <c r="C2167" s="8"/>
      <c r="D2167" s="8"/>
      <c r="E2167" s="8"/>
      <c r="F2167" s="8"/>
      <c r="G2167" s="8"/>
      <c r="H2167" s="8"/>
      <c r="I2167" s="10"/>
      <c r="J2167" s="10"/>
      <c r="K2167" s="18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</row>
    <row r="2168" ht="14.25" customHeight="1">
      <c r="A2168" s="9"/>
      <c r="B2168" s="8"/>
      <c r="C2168" s="8"/>
      <c r="D2168" s="8"/>
      <c r="E2168" s="8"/>
      <c r="F2168" s="8"/>
      <c r="G2168" s="8"/>
      <c r="H2168" s="8"/>
      <c r="I2168" s="10"/>
      <c r="J2168" s="10"/>
      <c r="K2168" s="18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</row>
    <row r="2169" ht="14.25" customHeight="1">
      <c r="A2169" s="9"/>
      <c r="B2169" s="8"/>
      <c r="C2169" s="8"/>
      <c r="D2169" s="8"/>
      <c r="E2169" s="8"/>
      <c r="F2169" s="8"/>
      <c r="G2169" s="8"/>
      <c r="H2169" s="8"/>
      <c r="I2169" s="10"/>
      <c r="J2169" s="10"/>
      <c r="K2169" s="18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</row>
    <row r="2170" ht="14.25" customHeight="1">
      <c r="A2170" s="9"/>
      <c r="B2170" s="8"/>
      <c r="C2170" s="8"/>
      <c r="D2170" s="8"/>
      <c r="E2170" s="8"/>
      <c r="F2170" s="8"/>
      <c r="G2170" s="8"/>
      <c r="H2170" s="8"/>
      <c r="I2170" s="10"/>
      <c r="J2170" s="10"/>
      <c r="K2170" s="18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</row>
    <row r="2171" ht="14.25" customHeight="1">
      <c r="A2171" s="9"/>
      <c r="B2171" s="8"/>
      <c r="C2171" s="8"/>
      <c r="D2171" s="8"/>
      <c r="E2171" s="8"/>
      <c r="F2171" s="8"/>
      <c r="G2171" s="8"/>
      <c r="H2171" s="8"/>
      <c r="I2171" s="10"/>
      <c r="J2171" s="10"/>
      <c r="K2171" s="18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</row>
    <row r="2172" ht="14.25" customHeight="1">
      <c r="A2172" s="9"/>
      <c r="B2172" s="8"/>
      <c r="C2172" s="8"/>
      <c r="D2172" s="8"/>
      <c r="E2172" s="8"/>
      <c r="F2172" s="8"/>
      <c r="G2172" s="8"/>
      <c r="H2172" s="8"/>
      <c r="I2172" s="10"/>
      <c r="J2172" s="10"/>
      <c r="K2172" s="18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</row>
    <row r="2173" ht="14.25" customHeight="1">
      <c r="A2173" s="9"/>
      <c r="B2173" s="8"/>
      <c r="C2173" s="8"/>
      <c r="D2173" s="8"/>
      <c r="E2173" s="8"/>
      <c r="F2173" s="8"/>
      <c r="G2173" s="8"/>
      <c r="H2173" s="8"/>
      <c r="I2173" s="10"/>
      <c r="J2173" s="10"/>
      <c r="K2173" s="18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</row>
    <row r="2174" ht="14.25" customHeight="1">
      <c r="A2174" s="9"/>
      <c r="B2174" s="8"/>
      <c r="C2174" s="8"/>
      <c r="D2174" s="8"/>
      <c r="E2174" s="8"/>
      <c r="F2174" s="8"/>
      <c r="G2174" s="8"/>
      <c r="H2174" s="8"/>
      <c r="I2174" s="10"/>
      <c r="J2174" s="10"/>
      <c r="K2174" s="18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</row>
    <row r="2175" ht="14.25" customHeight="1">
      <c r="A2175" s="9"/>
      <c r="B2175" s="8"/>
      <c r="C2175" s="8"/>
      <c r="D2175" s="8"/>
      <c r="E2175" s="8"/>
      <c r="F2175" s="8"/>
      <c r="G2175" s="8"/>
      <c r="H2175" s="8"/>
      <c r="I2175" s="10"/>
      <c r="J2175" s="10"/>
      <c r="K2175" s="18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</row>
    <row r="2176" ht="14.25" customHeight="1">
      <c r="A2176" s="9"/>
      <c r="B2176" s="8"/>
      <c r="C2176" s="8"/>
      <c r="D2176" s="8"/>
      <c r="E2176" s="8"/>
      <c r="F2176" s="8"/>
      <c r="G2176" s="8"/>
      <c r="H2176" s="8"/>
      <c r="I2176" s="10"/>
      <c r="J2176" s="10"/>
      <c r="K2176" s="18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</row>
    <row r="2177" ht="14.25" customHeight="1">
      <c r="A2177" s="9"/>
      <c r="B2177" s="8"/>
      <c r="C2177" s="8"/>
      <c r="D2177" s="8"/>
      <c r="E2177" s="8"/>
      <c r="F2177" s="8"/>
      <c r="G2177" s="8"/>
      <c r="H2177" s="8"/>
      <c r="I2177" s="10"/>
      <c r="J2177" s="10"/>
      <c r="K2177" s="18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</row>
    <row r="2178" ht="14.25" customHeight="1">
      <c r="A2178" s="9"/>
      <c r="B2178" s="8"/>
      <c r="C2178" s="8"/>
      <c r="D2178" s="8"/>
      <c r="E2178" s="8"/>
      <c r="F2178" s="8"/>
      <c r="G2178" s="8"/>
      <c r="H2178" s="8"/>
      <c r="I2178" s="10"/>
      <c r="J2178" s="10"/>
      <c r="K2178" s="18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</row>
    <row r="2179" ht="14.25" customHeight="1">
      <c r="A2179" s="9"/>
      <c r="B2179" s="8"/>
      <c r="C2179" s="8"/>
      <c r="D2179" s="8"/>
      <c r="E2179" s="8"/>
      <c r="F2179" s="8"/>
      <c r="G2179" s="8"/>
      <c r="H2179" s="8"/>
      <c r="I2179" s="10"/>
      <c r="J2179" s="10"/>
      <c r="K2179" s="18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</row>
    <row r="2180" ht="14.25" customHeight="1">
      <c r="A2180" s="9"/>
      <c r="B2180" s="8"/>
      <c r="C2180" s="8"/>
      <c r="D2180" s="8"/>
      <c r="E2180" s="8"/>
      <c r="F2180" s="8"/>
      <c r="G2180" s="8"/>
      <c r="H2180" s="8"/>
      <c r="I2180" s="10"/>
      <c r="J2180" s="10"/>
      <c r="K2180" s="18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</row>
    <row r="2181" ht="14.25" customHeight="1">
      <c r="A2181" s="9"/>
      <c r="B2181" s="8"/>
      <c r="C2181" s="8"/>
      <c r="D2181" s="8"/>
      <c r="E2181" s="8"/>
      <c r="F2181" s="8"/>
      <c r="G2181" s="8"/>
      <c r="H2181" s="8"/>
      <c r="I2181" s="10"/>
      <c r="J2181" s="10"/>
      <c r="K2181" s="18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</row>
    <row r="2182" ht="14.25" customHeight="1">
      <c r="A2182" s="9"/>
      <c r="B2182" s="8"/>
      <c r="C2182" s="8"/>
      <c r="D2182" s="8"/>
      <c r="E2182" s="8"/>
      <c r="F2182" s="8"/>
      <c r="G2182" s="8"/>
      <c r="H2182" s="8"/>
      <c r="I2182" s="10"/>
      <c r="J2182" s="10"/>
      <c r="K2182" s="18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</row>
    <row r="2183" ht="14.25" customHeight="1">
      <c r="A2183" s="9"/>
      <c r="B2183" s="8"/>
      <c r="C2183" s="8"/>
      <c r="D2183" s="8"/>
      <c r="E2183" s="8"/>
      <c r="F2183" s="8"/>
      <c r="G2183" s="8"/>
      <c r="H2183" s="8"/>
      <c r="I2183" s="10"/>
      <c r="J2183" s="10"/>
      <c r="K2183" s="18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</row>
    <row r="2184" ht="14.25" customHeight="1">
      <c r="A2184" s="9"/>
      <c r="B2184" s="8"/>
      <c r="C2184" s="8"/>
      <c r="D2184" s="8"/>
      <c r="E2184" s="8"/>
      <c r="F2184" s="8"/>
      <c r="G2184" s="8"/>
      <c r="H2184" s="8"/>
      <c r="I2184" s="10"/>
      <c r="J2184" s="10"/>
      <c r="K2184" s="18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</row>
    <row r="2185" ht="14.25" customHeight="1">
      <c r="A2185" s="9"/>
      <c r="B2185" s="8"/>
      <c r="C2185" s="8"/>
      <c r="D2185" s="8"/>
      <c r="E2185" s="8"/>
      <c r="F2185" s="8"/>
      <c r="G2185" s="8"/>
      <c r="H2185" s="8"/>
      <c r="I2185" s="10"/>
      <c r="J2185" s="10"/>
      <c r="K2185" s="18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</row>
    <row r="2186" ht="14.25" customHeight="1">
      <c r="A2186" s="9"/>
      <c r="B2186" s="8"/>
      <c r="C2186" s="8"/>
      <c r="D2186" s="8"/>
      <c r="E2186" s="8"/>
      <c r="F2186" s="8"/>
      <c r="G2186" s="8"/>
      <c r="H2186" s="8"/>
      <c r="I2186" s="10"/>
      <c r="J2186" s="10"/>
      <c r="K2186" s="18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</row>
    <row r="2187" ht="14.25" customHeight="1">
      <c r="A2187" s="9"/>
      <c r="B2187" s="8"/>
      <c r="C2187" s="8"/>
      <c r="D2187" s="8"/>
      <c r="E2187" s="8"/>
      <c r="F2187" s="8"/>
      <c r="G2187" s="8"/>
      <c r="H2187" s="8"/>
      <c r="I2187" s="10"/>
      <c r="J2187" s="10"/>
      <c r="K2187" s="18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</row>
    <row r="2188" ht="14.25" customHeight="1">
      <c r="A2188" s="9"/>
      <c r="B2188" s="8"/>
      <c r="C2188" s="8"/>
      <c r="D2188" s="8"/>
      <c r="E2188" s="8"/>
      <c r="F2188" s="8"/>
      <c r="G2188" s="8"/>
      <c r="H2188" s="8"/>
      <c r="I2188" s="10"/>
      <c r="J2188" s="10"/>
      <c r="K2188" s="18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</row>
    <row r="2189" ht="14.25" customHeight="1">
      <c r="A2189" s="9"/>
      <c r="B2189" s="8"/>
      <c r="C2189" s="8"/>
      <c r="D2189" s="8"/>
      <c r="E2189" s="8"/>
      <c r="F2189" s="8"/>
      <c r="G2189" s="8"/>
      <c r="H2189" s="8"/>
      <c r="I2189" s="10"/>
      <c r="J2189" s="10"/>
      <c r="K2189" s="18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</row>
    <row r="2190" ht="14.25" customHeight="1">
      <c r="A2190" s="9"/>
      <c r="B2190" s="8"/>
      <c r="C2190" s="8"/>
      <c r="D2190" s="8"/>
      <c r="E2190" s="8"/>
      <c r="F2190" s="8"/>
      <c r="G2190" s="8"/>
      <c r="H2190" s="8"/>
      <c r="I2190" s="10"/>
      <c r="J2190" s="10"/>
      <c r="K2190" s="18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</row>
    <row r="2191" ht="14.25" customHeight="1">
      <c r="A2191" s="9"/>
      <c r="B2191" s="8"/>
      <c r="C2191" s="8"/>
      <c r="D2191" s="8"/>
      <c r="E2191" s="8"/>
      <c r="F2191" s="8"/>
      <c r="G2191" s="8"/>
      <c r="H2191" s="8"/>
      <c r="I2191" s="10"/>
      <c r="J2191" s="10"/>
      <c r="K2191" s="18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</row>
    <row r="2192" ht="14.25" customHeight="1">
      <c r="A2192" s="9"/>
      <c r="B2192" s="8"/>
      <c r="C2192" s="8"/>
      <c r="D2192" s="8"/>
      <c r="E2192" s="8"/>
      <c r="F2192" s="8"/>
      <c r="G2192" s="8"/>
      <c r="H2192" s="8"/>
      <c r="I2192" s="10"/>
      <c r="J2192" s="10"/>
      <c r="K2192" s="18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</row>
    <row r="2193" ht="14.25" customHeight="1">
      <c r="A2193" s="9"/>
      <c r="B2193" s="8"/>
      <c r="C2193" s="8"/>
      <c r="D2193" s="8"/>
      <c r="E2193" s="8"/>
      <c r="F2193" s="8"/>
      <c r="G2193" s="8"/>
      <c r="H2193" s="8"/>
      <c r="I2193" s="10"/>
      <c r="J2193" s="10"/>
      <c r="K2193" s="18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</row>
    <row r="2194" ht="14.25" customHeight="1">
      <c r="A2194" s="9"/>
      <c r="B2194" s="8"/>
      <c r="C2194" s="8"/>
      <c r="D2194" s="8"/>
      <c r="E2194" s="8"/>
      <c r="F2194" s="8"/>
      <c r="G2194" s="8"/>
      <c r="H2194" s="8"/>
      <c r="I2194" s="10"/>
      <c r="J2194" s="10"/>
      <c r="K2194" s="18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</row>
    <row r="2195" ht="14.25" customHeight="1">
      <c r="A2195" s="9"/>
      <c r="B2195" s="8"/>
      <c r="C2195" s="8"/>
      <c r="D2195" s="8"/>
      <c r="E2195" s="8"/>
      <c r="F2195" s="8"/>
      <c r="G2195" s="8"/>
      <c r="H2195" s="8"/>
      <c r="I2195" s="10"/>
      <c r="J2195" s="10"/>
      <c r="K2195" s="18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</row>
    <row r="2196" ht="14.25" customHeight="1">
      <c r="A2196" s="9"/>
      <c r="B2196" s="8"/>
      <c r="C2196" s="8"/>
      <c r="D2196" s="8"/>
      <c r="E2196" s="8"/>
      <c r="F2196" s="8"/>
      <c r="G2196" s="8"/>
      <c r="H2196" s="8"/>
      <c r="I2196" s="10"/>
      <c r="J2196" s="10"/>
      <c r="K2196" s="18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</row>
    <row r="2197" ht="14.25" customHeight="1">
      <c r="A2197" s="9"/>
      <c r="B2197" s="8"/>
      <c r="C2197" s="8"/>
      <c r="D2197" s="8"/>
      <c r="E2197" s="8"/>
      <c r="F2197" s="8"/>
      <c r="G2197" s="8"/>
      <c r="H2197" s="8"/>
      <c r="I2197" s="10"/>
      <c r="J2197" s="10"/>
      <c r="K2197" s="18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</row>
    <row r="2198" ht="14.25" customHeight="1">
      <c r="A2198" s="9"/>
      <c r="B2198" s="8"/>
      <c r="C2198" s="8"/>
      <c r="D2198" s="8"/>
      <c r="E2198" s="8"/>
      <c r="F2198" s="8"/>
      <c r="G2198" s="8"/>
      <c r="H2198" s="8"/>
      <c r="I2198" s="10"/>
      <c r="J2198" s="10"/>
      <c r="K2198" s="18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</row>
    <row r="2199" ht="14.25" customHeight="1">
      <c r="A2199" s="9"/>
      <c r="B2199" s="8"/>
      <c r="C2199" s="8"/>
      <c r="D2199" s="8"/>
      <c r="E2199" s="8"/>
      <c r="F2199" s="8"/>
      <c r="G2199" s="8"/>
      <c r="H2199" s="8"/>
      <c r="I2199" s="10"/>
      <c r="J2199" s="10"/>
      <c r="K2199" s="18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</row>
    <row r="2200" ht="14.25" customHeight="1">
      <c r="A2200" s="9"/>
      <c r="B2200" s="8"/>
      <c r="C2200" s="8"/>
      <c r="D2200" s="8"/>
      <c r="E2200" s="8"/>
      <c r="F2200" s="8"/>
      <c r="G2200" s="8"/>
      <c r="H2200" s="8"/>
      <c r="I2200" s="10"/>
      <c r="J2200" s="10"/>
      <c r="K2200" s="18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</row>
    <row r="2201" ht="14.25" customHeight="1">
      <c r="A2201" s="9"/>
      <c r="B2201" s="8"/>
      <c r="C2201" s="8"/>
      <c r="D2201" s="8"/>
      <c r="E2201" s="8"/>
      <c r="F2201" s="8"/>
      <c r="G2201" s="8"/>
      <c r="H2201" s="8"/>
      <c r="I2201" s="10"/>
      <c r="J2201" s="10"/>
      <c r="K2201" s="18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</row>
    <row r="2202" ht="14.25" customHeight="1">
      <c r="A2202" s="9"/>
      <c r="B2202" s="8"/>
      <c r="C2202" s="8"/>
      <c r="D2202" s="8"/>
      <c r="E2202" s="8"/>
      <c r="F2202" s="8"/>
      <c r="G2202" s="8"/>
      <c r="H2202" s="8"/>
      <c r="I2202" s="10"/>
      <c r="J2202" s="10"/>
      <c r="K2202" s="18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</row>
    <row r="2203" ht="14.25" customHeight="1">
      <c r="A2203" s="9"/>
      <c r="B2203" s="8"/>
      <c r="C2203" s="8"/>
      <c r="D2203" s="8"/>
      <c r="E2203" s="8"/>
      <c r="F2203" s="8"/>
      <c r="G2203" s="8"/>
      <c r="H2203" s="8"/>
      <c r="I2203" s="10"/>
      <c r="J2203" s="10"/>
      <c r="K2203" s="18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</row>
    <row r="2204" ht="14.25" customHeight="1">
      <c r="A2204" s="9"/>
      <c r="B2204" s="8"/>
      <c r="C2204" s="8"/>
      <c r="D2204" s="8"/>
      <c r="E2204" s="8"/>
      <c r="F2204" s="8"/>
      <c r="G2204" s="8"/>
      <c r="H2204" s="8"/>
      <c r="I2204" s="10"/>
      <c r="J2204" s="10"/>
      <c r="K2204" s="18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</row>
    <row r="2205" ht="14.25" customHeight="1">
      <c r="A2205" s="9"/>
      <c r="B2205" s="8"/>
      <c r="C2205" s="8"/>
      <c r="D2205" s="8"/>
      <c r="E2205" s="8"/>
      <c r="F2205" s="8"/>
      <c r="G2205" s="8"/>
      <c r="H2205" s="8"/>
      <c r="I2205" s="10"/>
      <c r="J2205" s="10"/>
      <c r="K2205" s="18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</row>
    <row r="2206" ht="14.25" customHeight="1">
      <c r="A2206" s="9"/>
      <c r="B2206" s="8"/>
      <c r="C2206" s="8"/>
      <c r="D2206" s="8"/>
      <c r="E2206" s="8"/>
      <c r="F2206" s="8"/>
      <c r="G2206" s="8"/>
      <c r="H2206" s="8"/>
      <c r="I2206" s="10"/>
      <c r="J2206" s="10"/>
      <c r="K2206" s="18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</row>
    <row r="2207" ht="14.25" customHeight="1">
      <c r="A2207" s="9"/>
      <c r="B2207" s="8"/>
      <c r="C2207" s="8"/>
      <c r="D2207" s="8"/>
      <c r="E2207" s="8"/>
      <c r="F2207" s="8"/>
      <c r="G2207" s="8"/>
      <c r="H2207" s="8"/>
      <c r="I2207" s="10"/>
      <c r="J2207" s="10"/>
      <c r="K2207" s="18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</row>
    <row r="2208" ht="14.25" customHeight="1">
      <c r="A2208" s="9"/>
      <c r="B2208" s="8"/>
      <c r="C2208" s="8"/>
      <c r="D2208" s="8"/>
      <c r="E2208" s="8"/>
      <c r="F2208" s="8"/>
      <c r="G2208" s="8"/>
      <c r="H2208" s="8"/>
      <c r="I2208" s="10"/>
      <c r="J2208" s="10"/>
      <c r="K2208" s="18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</row>
    <row r="2209" ht="14.25" customHeight="1">
      <c r="A2209" s="9"/>
      <c r="B2209" s="8"/>
      <c r="C2209" s="8"/>
      <c r="D2209" s="8"/>
      <c r="E2209" s="8"/>
      <c r="F2209" s="8"/>
      <c r="G2209" s="8"/>
      <c r="H2209" s="8"/>
      <c r="I2209" s="10"/>
      <c r="J2209" s="10"/>
      <c r="K2209" s="18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</row>
    <row r="2210" ht="14.25" customHeight="1">
      <c r="A2210" s="9"/>
      <c r="B2210" s="8"/>
      <c r="C2210" s="8"/>
      <c r="D2210" s="8"/>
      <c r="E2210" s="8"/>
      <c r="F2210" s="8"/>
      <c r="G2210" s="8"/>
      <c r="H2210" s="8"/>
      <c r="I2210" s="10"/>
      <c r="J2210" s="10"/>
      <c r="K2210" s="18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</row>
    <row r="2211" ht="14.25" customHeight="1">
      <c r="A2211" s="9"/>
      <c r="B2211" s="8"/>
      <c r="C2211" s="8"/>
      <c r="D2211" s="8"/>
      <c r="E2211" s="8"/>
      <c r="F2211" s="8"/>
      <c r="G2211" s="8"/>
      <c r="H2211" s="8"/>
      <c r="I2211" s="10"/>
      <c r="J2211" s="10"/>
      <c r="K2211" s="18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</row>
    <row r="2212" ht="14.25" customHeight="1">
      <c r="A2212" s="9"/>
      <c r="B2212" s="8"/>
      <c r="C2212" s="8"/>
      <c r="D2212" s="8"/>
      <c r="E2212" s="8"/>
      <c r="F2212" s="8"/>
      <c r="G2212" s="8"/>
      <c r="H2212" s="8"/>
      <c r="I2212" s="10"/>
      <c r="J2212" s="10"/>
      <c r="K2212" s="18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</row>
    <row r="2213" ht="14.25" customHeight="1">
      <c r="A2213" s="9"/>
      <c r="B2213" s="8"/>
      <c r="C2213" s="8"/>
      <c r="D2213" s="8"/>
      <c r="E2213" s="8"/>
      <c r="F2213" s="8"/>
      <c r="G2213" s="8"/>
      <c r="H2213" s="8"/>
      <c r="I2213" s="10"/>
      <c r="J2213" s="10"/>
      <c r="K2213" s="18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</row>
    <row r="2214" ht="14.25" customHeight="1">
      <c r="A2214" s="9"/>
      <c r="B2214" s="8"/>
      <c r="C2214" s="8"/>
      <c r="D2214" s="8"/>
      <c r="E2214" s="8"/>
      <c r="F2214" s="8"/>
      <c r="G2214" s="8"/>
      <c r="H2214" s="8"/>
      <c r="I2214" s="10"/>
      <c r="J2214" s="10"/>
      <c r="K2214" s="18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</row>
    <row r="2215" ht="14.25" customHeight="1">
      <c r="A2215" s="9"/>
      <c r="B2215" s="8"/>
      <c r="C2215" s="8"/>
      <c r="D2215" s="8"/>
      <c r="E2215" s="8"/>
      <c r="F2215" s="8"/>
      <c r="G2215" s="8"/>
      <c r="H2215" s="8"/>
      <c r="I2215" s="10"/>
      <c r="J2215" s="10"/>
      <c r="K2215" s="18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</row>
    <row r="2216" ht="14.25" customHeight="1">
      <c r="A2216" s="9"/>
      <c r="B2216" s="8"/>
      <c r="C2216" s="8"/>
      <c r="D2216" s="8"/>
      <c r="E2216" s="8"/>
      <c r="F2216" s="8"/>
      <c r="G2216" s="8"/>
      <c r="H2216" s="8"/>
      <c r="I2216" s="10"/>
      <c r="J2216" s="10"/>
      <c r="K2216" s="18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</row>
    <row r="2217" ht="14.25" customHeight="1">
      <c r="A2217" s="9"/>
      <c r="B2217" s="8"/>
      <c r="C2217" s="8"/>
      <c r="D2217" s="8"/>
      <c r="E2217" s="8"/>
      <c r="F2217" s="8"/>
      <c r="G2217" s="8"/>
      <c r="H2217" s="8"/>
      <c r="I2217" s="10"/>
      <c r="J2217" s="10"/>
      <c r="K2217" s="18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</row>
    <row r="2218" ht="14.25" customHeight="1">
      <c r="A2218" s="9"/>
      <c r="B2218" s="8"/>
      <c r="C2218" s="8"/>
      <c r="D2218" s="8"/>
      <c r="E2218" s="8"/>
      <c r="F2218" s="8"/>
      <c r="G2218" s="8"/>
      <c r="H2218" s="8"/>
      <c r="I2218" s="10"/>
      <c r="J2218" s="10"/>
      <c r="K2218" s="18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</row>
    <row r="2219" ht="14.25" customHeight="1">
      <c r="A2219" s="9"/>
      <c r="B2219" s="8"/>
      <c r="C2219" s="8"/>
      <c r="D2219" s="8"/>
      <c r="E2219" s="8"/>
      <c r="F2219" s="8"/>
      <c r="G2219" s="8"/>
      <c r="H2219" s="8"/>
      <c r="I2219" s="10"/>
      <c r="J2219" s="10"/>
      <c r="K2219" s="18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</row>
    <row r="2220" ht="14.25" customHeight="1">
      <c r="A2220" s="9"/>
      <c r="B2220" s="8"/>
      <c r="C2220" s="8"/>
      <c r="D2220" s="8"/>
      <c r="E2220" s="8"/>
      <c r="F2220" s="8"/>
      <c r="G2220" s="8"/>
      <c r="H2220" s="8"/>
      <c r="I2220" s="10"/>
      <c r="J2220" s="10"/>
      <c r="K2220" s="18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</row>
    <row r="2221" ht="14.25" customHeight="1">
      <c r="A2221" s="9"/>
      <c r="B2221" s="8"/>
      <c r="C2221" s="8"/>
      <c r="D2221" s="8"/>
      <c r="E2221" s="8"/>
      <c r="F2221" s="8"/>
      <c r="G2221" s="8"/>
      <c r="H2221" s="8"/>
      <c r="I2221" s="10"/>
      <c r="J2221" s="10"/>
      <c r="K2221" s="18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</row>
    <row r="2222" ht="14.25" customHeight="1">
      <c r="A2222" s="9"/>
      <c r="B2222" s="8"/>
      <c r="C2222" s="8"/>
      <c r="D2222" s="8"/>
      <c r="E2222" s="8"/>
      <c r="F2222" s="8"/>
      <c r="G2222" s="8"/>
      <c r="H2222" s="8"/>
      <c r="I2222" s="10"/>
      <c r="J2222" s="10"/>
      <c r="K2222" s="18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</row>
    <row r="2223" ht="14.25" customHeight="1">
      <c r="A2223" s="9"/>
      <c r="B2223" s="8"/>
      <c r="C2223" s="8"/>
      <c r="D2223" s="8"/>
      <c r="E2223" s="8"/>
      <c r="F2223" s="8"/>
      <c r="G2223" s="8"/>
      <c r="H2223" s="8"/>
      <c r="I2223" s="10"/>
      <c r="J2223" s="10"/>
      <c r="K2223" s="18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</row>
    <row r="2224" ht="14.25" customHeight="1">
      <c r="A2224" s="9"/>
      <c r="B2224" s="8"/>
      <c r="C2224" s="8"/>
      <c r="D2224" s="8"/>
      <c r="E2224" s="8"/>
      <c r="F2224" s="8"/>
      <c r="G2224" s="8"/>
      <c r="H2224" s="8"/>
      <c r="I2224" s="10"/>
      <c r="J2224" s="10"/>
      <c r="K2224" s="18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</row>
    <row r="2225" ht="14.25" customHeight="1">
      <c r="A2225" s="9"/>
      <c r="B2225" s="8"/>
      <c r="C2225" s="8"/>
      <c r="D2225" s="8"/>
      <c r="E2225" s="8"/>
      <c r="F2225" s="8"/>
      <c r="G2225" s="8"/>
      <c r="H2225" s="8"/>
      <c r="I2225" s="10"/>
      <c r="J2225" s="10"/>
      <c r="K2225" s="18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</row>
    <row r="2226" ht="14.25" customHeight="1">
      <c r="A2226" s="9"/>
      <c r="B2226" s="8"/>
      <c r="C2226" s="8"/>
      <c r="D2226" s="8"/>
      <c r="E2226" s="8"/>
      <c r="F2226" s="8"/>
      <c r="G2226" s="8"/>
      <c r="H2226" s="8"/>
      <c r="I2226" s="10"/>
      <c r="J2226" s="10"/>
      <c r="K2226" s="18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</row>
    <row r="2227" ht="14.25" customHeight="1">
      <c r="A2227" s="9"/>
      <c r="B2227" s="8"/>
      <c r="C2227" s="8"/>
      <c r="D2227" s="8"/>
      <c r="E2227" s="8"/>
      <c r="F2227" s="8"/>
      <c r="G2227" s="8"/>
      <c r="H2227" s="8"/>
      <c r="I2227" s="10"/>
      <c r="J2227" s="10"/>
      <c r="K2227" s="18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</row>
    <row r="2228" ht="14.25" customHeight="1">
      <c r="A2228" s="9"/>
      <c r="B2228" s="8"/>
      <c r="C2228" s="8"/>
      <c r="D2228" s="8"/>
      <c r="E2228" s="8"/>
      <c r="F2228" s="8"/>
      <c r="G2228" s="8"/>
      <c r="H2228" s="8"/>
      <c r="I2228" s="10"/>
      <c r="J2228" s="10"/>
      <c r="K2228" s="18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</row>
    <row r="2229" ht="14.25" customHeight="1">
      <c r="A2229" s="9"/>
      <c r="B2229" s="8"/>
      <c r="C2229" s="8"/>
      <c r="D2229" s="8"/>
      <c r="E2229" s="8"/>
      <c r="F2229" s="8"/>
      <c r="G2229" s="8"/>
      <c r="H2229" s="8"/>
      <c r="I2229" s="10"/>
      <c r="J2229" s="10"/>
      <c r="K2229" s="18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</row>
    <row r="2230" ht="14.25" customHeight="1">
      <c r="A2230" s="9"/>
      <c r="B2230" s="8"/>
      <c r="C2230" s="8"/>
      <c r="D2230" s="8"/>
      <c r="E2230" s="8"/>
      <c r="F2230" s="8"/>
      <c r="G2230" s="8"/>
      <c r="H2230" s="8"/>
      <c r="I2230" s="10"/>
      <c r="J2230" s="10"/>
      <c r="K2230" s="18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</row>
    <row r="2231" ht="14.25" customHeight="1">
      <c r="A2231" s="9"/>
      <c r="B2231" s="8"/>
      <c r="C2231" s="8"/>
      <c r="D2231" s="8"/>
      <c r="E2231" s="8"/>
      <c r="F2231" s="8"/>
      <c r="G2231" s="8"/>
      <c r="H2231" s="8"/>
      <c r="I2231" s="10"/>
      <c r="J2231" s="10"/>
      <c r="K2231" s="18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</row>
    <row r="2232" ht="14.25" customHeight="1">
      <c r="A2232" s="9"/>
      <c r="B2232" s="8"/>
      <c r="C2232" s="8"/>
      <c r="D2232" s="8"/>
      <c r="E2232" s="8"/>
      <c r="F2232" s="8"/>
      <c r="G2232" s="8"/>
      <c r="H2232" s="8"/>
      <c r="I2232" s="10"/>
      <c r="J2232" s="10"/>
      <c r="K2232" s="18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</row>
    <row r="2233" ht="14.25" customHeight="1">
      <c r="A2233" s="9"/>
      <c r="B2233" s="8"/>
      <c r="C2233" s="8"/>
      <c r="D2233" s="8"/>
      <c r="E2233" s="8"/>
      <c r="F2233" s="8"/>
      <c r="G2233" s="8"/>
      <c r="H2233" s="8"/>
      <c r="I2233" s="10"/>
      <c r="J2233" s="10"/>
      <c r="K2233" s="18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</row>
    <row r="2234" ht="14.25" customHeight="1">
      <c r="A2234" s="9"/>
      <c r="B2234" s="8"/>
      <c r="C2234" s="8"/>
      <c r="D2234" s="8"/>
      <c r="E2234" s="8"/>
      <c r="F2234" s="8"/>
      <c r="G2234" s="8"/>
      <c r="H2234" s="8"/>
      <c r="I2234" s="10"/>
      <c r="J2234" s="10"/>
      <c r="K2234" s="18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</row>
    <row r="2235" ht="14.25" customHeight="1">
      <c r="A2235" s="9"/>
      <c r="B2235" s="8"/>
      <c r="C2235" s="8"/>
      <c r="D2235" s="8"/>
      <c r="E2235" s="8"/>
      <c r="F2235" s="8"/>
      <c r="G2235" s="8"/>
      <c r="H2235" s="8"/>
      <c r="I2235" s="10"/>
      <c r="J2235" s="10"/>
      <c r="K2235" s="18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</row>
    <row r="2236" ht="14.25" customHeight="1">
      <c r="A2236" s="9"/>
      <c r="B2236" s="8"/>
      <c r="C2236" s="8"/>
      <c r="D2236" s="8"/>
      <c r="E2236" s="8"/>
      <c r="F2236" s="8"/>
      <c r="G2236" s="8"/>
      <c r="H2236" s="8"/>
      <c r="I2236" s="10"/>
      <c r="J2236" s="10"/>
      <c r="K2236" s="18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</row>
    <row r="2237" ht="14.25" customHeight="1">
      <c r="A2237" s="9"/>
      <c r="B2237" s="8"/>
      <c r="C2237" s="8"/>
      <c r="D2237" s="8"/>
      <c r="E2237" s="8"/>
      <c r="F2237" s="8"/>
      <c r="G2237" s="8"/>
      <c r="H2237" s="8"/>
      <c r="I2237" s="10"/>
      <c r="J2237" s="10"/>
      <c r="K2237" s="18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</row>
    <row r="2238" ht="14.25" customHeight="1">
      <c r="A2238" s="9"/>
      <c r="B2238" s="8"/>
      <c r="C2238" s="8"/>
      <c r="D2238" s="8"/>
      <c r="E2238" s="8"/>
      <c r="F2238" s="8"/>
      <c r="G2238" s="8"/>
      <c r="H2238" s="8"/>
      <c r="I2238" s="10"/>
      <c r="J2238" s="10"/>
      <c r="K2238" s="18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</row>
    <row r="2239" ht="14.25" customHeight="1">
      <c r="A2239" s="9"/>
      <c r="B2239" s="8"/>
      <c r="C2239" s="8"/>
      <c r="D2239" s="8"/>
      <c r="E2239" s="8"/>
      <c r="F2239" s="8"/>
      <c r="G2239" s="8"/>
      <c r="H2239" s="8"/>
      <c r="I2239" s="10"/>
      <c r="J2239" s="10"/>
      <c r="K2239" s="18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</row>
    <row r="2240" ht="14.25" customHeight="1">
      <c r="A2240" s="9"/>
      <c r="B2240" s="8"/>
      <c r="C2240" s="8"/>
      <c r="D2240" s="8"/>
      <c r="E2240" s="8"/>
      <c r="F2240" s="8"/>
      <c r="G2240" s="8"/>
      <c r="H2240" s="8"/>
      <c r="I2240" s="10"/>
      <c r="J2240" s="10"/>
      <c r="K2240" s="18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</row>
    <row r="2241" ht="14.25" customHeight="1">
      <c r="A2241" s="9"/>
      <c r="B2241" s="8"/>
      <c r="C2241" s="8"/>
      <c r="D2241" s="8"/>
      <c r="E2241" s="8"/>
      <c r="F2241" s="8"/>
      <c r="G2241" s="8"/>
      <c r="H2241" s="8"/>
      <c r="I2241" s="10"/>
      <c r="J2241" s="10"/>
      <c r="K2241" s="18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</row>
    <row r="2242" ht="14.25" customHeight="1">
      <c r="A2242" s="9"/>
      <c r="B2242" s="8"/>
      <c r="C2242" s="8"/>
      <c r="D2242" s="8"/>
      <c r="E2242" s="8"/>
      <c r="F2242" s="8"/>
      <c r="G2242" s="8"/>
      <c r="H2242" s="8"/>
      <c r="I2242" s="10"/>
      <c r="J2242" s="10"/>
      <c r="K2242" s="18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</row>
    <row r="2243" ht="14.25" customHeight="1">
      <c r="A2243" s="9"/>
      <c r="B2243" s="8"/>
      <c r="C2243" s="8"/>
      <c r="D2243" s="8"/>
      <c r="E2243" s="8"/>
      <c r="F2243" s="8"/>
      <c r="G2243" s="8"/>
      <c r="H2243" s="8"/>
      <c r="I2243" s="10"/>
      <c r="J2243" s="10"/>
      <c r="K2243" s="18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</row>
    <row r="2244" ht="14.25" customHeight="1">
      <c r="A2244" s="9"/>
      <c r="B2244" s="8"/>
      <c r="C2244" s="8"/>
      <c r="D2244" s="8"/>
      <c r="E2244" s="8"/>
      <c r="F2244" s="8"/>
      <c r="G2244" s="8"/>
      <c r="H2244" s="8"/>
      <c r="I2244" s="10"/>
      <c r="J2244" s="10"/>
      <c r="K2244" s="18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</row>
    <row r="2245" ht="14.25" customHeight="1">
      <c r="A2245" s="9"/>
      <c r="B2245" s="8"/>
      <c r="C2245" s="8"/>
      <c r="D2245" s="8"/>
      <c r="E2245" s="8"/>
      <c r="F2245" s="8"/>
      <c r="G2245" s="8"/>
      <c r="H2245" s="8"/>
      <c r="I2245" s="10"/>
      <c r="J2245" s="10"/>
      <c r="K2245" s="18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</row>
    <row r="2246" ht="14.25" customHeight="1">
      <c r="A2246" s="9"/>
      <c r="B2246" s="8"/>
      <c r="C2246" s="8"/>
      <c r="D2246" s="8"/>
      <c r="E2246" s="8"/>
      <c r="F2246" s="8"/>
      <c r="G2246" s="8"/>
      <c r="H2246" s="8"/>
      <c r="I2246" s="10"/>
      <c r="J2246" s="10"/>
      <c r="K2246" s="18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</row>
    <row r="2247" ht="14.25" customHeight="1">
      <c r="A2247" s="9"/>
      <c r="B2247" s="8"/>
      <c r="C2247" s="8"/>
      <c r="D2247" s="8"/>
      <c r="E2247" s="8"/>
      <c r="F2247" s="8"/>
      <c r="G2247" s="8"/>
      <c r="H2247" s="8"/>
      <c r="I2247" s="10"/>
      <c r="J2247" s="10"/>
      <c r="K2247" s="18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</row>
    <row r="2248" ht="14.25" customHeight="1">
      <c r="A2248" s="9"/>
      <c r="B2248" s="8"/>
      <c r="C2248" s="8"/>
      <c r="D2248" s="8"/>
      <c r="E2248" s="8"/>
      <c r="F2248" s="8"/>
      <c r="G2248" s="8"/>
      <c r="H2248" s="8"/>
      <c r="I2248" s="10"/>
      <c r="J2248" s="10"/>
      <c r="K2248" s="18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</row>
  </sheetData>
  <mergeCells count="1">
    <mergeCell ref="A1:J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2" width="21.57"/>
    <col customWidth="1" min="3" max="3" width="20.14"/>
    <col customWidth="1" min="4" max="4" width="11.14"/>
    <col customWidth="1" min="5" max="5" width="16.71"/>
    <col customWidth="1" min="6" max="6" width="26.71"/>
    <col customWidth="1" min="7" max="7" width="14.43"/>
    <col customWidth="1" min="8" max="8" width="25.86"/>
    <col customWidth="1" min="9" max="11" width="14.43"/>
    <col customWidth="1" min="12" max="26" width="8.71"/>
  </cols>
  <sheetData>
    <row r="1" ht="37.5" customHeight="1">
      <c r="A1" s="1" t="s">
        <v>4</v>
      </c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23" t="s">
        <v>5</v>
      </c>
      <c r="B2" s="24" t="s">
        <v>6</v>
      </c>
      <c r="C2" s="24" t="s">
        <v>7</v>
      </c>
      <c r="D2" s="24" t="s">
        <v>8</v>
      </c>
      <c r="E2" s="24" t="s">
        <v>9</v>
      </c>
      <c r="F2" s="24" t="s">
        <v>10</v>
      </c>
      <c r="G2" s="24" t="s">
        <v>11</v>
      </c>
      <c r="H2" s="24" t="s">
        <v>12</v>
      </c>
      <c r="I2" s="24" t="s">
        <v>13</v>
      </c>
      <c r="J2" s="24" t="s">
        <v>14</v>
      </c>
      <c r="K2" s="25" t="s">
        <v>15</v>
      </c>
      <c r="L2" s="24" t="s">
        <v>16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26" t="s">
        <v>17</v>
      </c>
      <c r="B3" s="27" t="s">
        <v>18</v>
      </c>
      <c r="C3" s="27" t="s">
        <v>19</v>
      </c>
      <c r="D3" s="27" t="s">
        <v>20</v>
      </c>
      <c r="E3" s="27" t="s">
        <v>21</v>
      </c>
      <c r="F3" s="27" t="s">
        <v>22</v>
      </c>
      <c r="G3" s="27" t="s">
        <v>23</v>
      </c>
      <c r="H3" s="27" t="s">
        <v>24</v>
      </c>
      <c r="I3" s="28">
        <v>40330.0</v>
      </c>
      <c r="J3" s="29"/>
      <c r="K3" s="30">
        <v>45809.0</v>
      </c>
      <c r="L3" s="31">
        <v>1.0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26" t="s">
        <v>25</v>
      </c>
      <c r="B4" s="27" t="s">
        <v>26</v>
      </c>
      <c r="C4" s="32"/>
      <c r="D4" s="27" t="s">
        <v>27</v>
      </c>
      <c r="E4" s="27" t="s">
        <v>28</v>
      </c>
      <c r="F4" s="27" t="s">
        <v>29</v>
      </c>
      <c r="G4" s="27" t="s">
        <v>30</v>
      </c>
      <c r="H4" s="27" t="s">
        <v>29</v>
      </c>
      <c r="I4" s="28">
        <v>42767.0</v>
      </c>
      <c r="J4" s="29"/>
      <c r="K4" s="30">
        <v>43983.0</v>
      </c>
      <c r="L4" s="31">
        <v>1.0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26" t="s">
        <v>31</v>
      </c>
      <c r="B5" s="27" t="s">
        <v>32</v>
      </c>
      <c r="C5" s="27" t="s">
        <v>33</v>
      </c>
      <c r="D5" s="27" t="s">
        <v>34</v>
      </c>
      <c r="E5" s="27" t="s">
        <v>21</v>
      </c>
      <c r="F5" s="27" t="s">
        <v>35</v>
      </c>
      <c r="G5" s="27" t="s">
        <v>36</v>
      </c>
      <c r="H5" s="27" t="s">
        <v>37</v>
      </c>
      <c r="I5" s="28">
        <v>43617.0</v>
      </c>
      <c r="J5" s="29"/>
      <c r="K5" s="30">
        <v>44713.0</v>
      </c>
      <c r="L5" s="31">
        <v>1.0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26" t="s">
        <v>31</v>
      </c>
      <c r="B6" s="27" t="s">
        <v>38</v>
      </c>
      <c r="C6" s="32"/>
      <c r="D6" s="27" t="s">
        <v>27</v>
      </c>
      <c r="E6" s="27" t="s">
        <v>39</v>
      </c>
      <c r="F6" s="27" t="s">
        <v>40</v>
      </c>
      <c r="G6" s="27" t="s">
        <v>41</v>
      </c>
      <c r="H6" s="27" t="s">
        <v>40</v>
      </c>
      <c r="I6" s="28">
        <v>42401.0</v>
      </c>
      <c r="J6" s="29"/>
      <c r="K6" s="30">
        <v>44713.0</v>
      </c>
      <c r="L6" s="31">
        <v>1.0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A7" s="33" t="s">
        <v>31</v>
      </c>
      <c r="B7" s="34" t="s">
        <v>42</v>
      </c>
      <c r="C7" s="34" t="s">
        <v>43</v>
      </c>
      <c r="D7" s="34" t="s">
        <v>44</v>
      </c>
      <c r="E7" s="34" t="s">
        <v>21</v>
      </c>
      <c r="F7" s="34" t="s">
        <v>45</v>
      </c>
      <c r="G7" s="34" t="s">
        <v>46</v>
      </c>
      <c r="H7" s="34" t="s">
        <v>47</v>
      </c>
      <c r="I7" s="28">
        <v>43252.0</v>
      </c>
      <c r="J7" s="29"/>
      <c r="K7" s="30">
        <v>44348.0</v>
      </c>
      <c r="L7" s="31">
        <v>1.0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26" t="s">
        <v>48</v>
      </c>
      <c r="B8" s="27" t="s">
        <v>49</v>
      </c>
      <c r="C8" s="32"/>
      <c r="D8" s="27" t="s">
        <v>27</v>
      </c>
      <c r="E8" s="27" t="s">
        <v>21</v>
      </c>
      <c r="F8" s="27" t="s">
        <v>29</v>
      </c>
      <c r="G8" s="27" t="s">
        <v>50</v>
      </c>
      <c r="H8" s="27" t="s">
        <v>51</v>
      </c>
      <c r="I8" s="28">
        <v>43136.0</v>
      </c>
      <c r="J8" s="28">
        <v>44348.0</v>
      </c>
      <c r="K8" s="30">
        <v>45444.0</v>
      </c>
      <c r="L8" s="31">
        <v>2.0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4.25" customHeight="1">
      <c r="A9" s="26" t="s">
        <v>52</v>
      </c>
      <c r="B9" s="27" t="s">
        <v>53</v>
      </c>
      <c r="C9" s="27" t="s">
        <v>54</v>
      </c>
      <c r="D9" s="27" t="s">
        <v>55</v>
      </c>
      <c r="E9" s="27" t="s">
        <v>21</v>
      </c>
      <c r="F9" s="27" t="s">
        <v>56</v>
      </c>
      <c r="G9" s="27" t="s">
        <v>23</v>
      </c>
      <c r="H9" s="27" t="s">
        <v>57</v>
      </c>
      <c r="I9" s="28">
        <v>43617.0</v>
      </c>
      <c r="J9" s="29"/>
      <c r="K9" s="30">
        <v>44713.0</v>
      </c>
      <c r="L9" s="31">
        <v>1.0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customHeight="1">
      <c r="A10" s="26" t="s">
        <v>58</v>
      </c>
      <c r="B10" s="27" t="s">
        <v>59</v>
      </c>
      <c r="C10" s="32"/>
      <c r="D10" s="27" t="s">
        <v>27</v>
      </c>
      <c r="E10" s="27" t="s">
        <v>60</v>
      </c>
      <c r="F10" s="27" t="s">
        <v>29</v>
      </c>
      <c r="G10" s="27" t="s">
        <v>61</v>
      </c>
      <c r="H10" s="27" t="s">
        <v>29</v>
      </c>
      <c r="I10" s="28">
        <v>42401.0</v>
      </c>
      <c r="J10" s="29"/>
      <c r="K10" s="30">
        <v>44713.0</v>
      </c>
      <c r="L10" s="31">
        <v>1.0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4.25" customHeight="1">
      <c r="A11" s="26" t="s">
        <v>62</v>
      </c>
      <c r="B11" s="27" t="s">
        <v>63</v>
      </c>
      <c r="C11" s="32"/>
      <c r="D11" s="27" t="s">
        <v>27</v>
      </c>
      <c r="E11" s="27" t="s">
        <v>28</v>
      </c>
      <c r="F11" s="27" t="s">
        <v>29</v>
      </c>
      <c r="G11" s="27" t="s">
        <v>64</v>
      </c>
      <c r="H11" s="27" t="s">
        <v>65</v>
      </c>
      <c r="I11" s="28">
        <v>43136.0</v>
      </c>
      <c r="J11" s="28">
        <v>44348.0</v>
      </c>
      <c r="K11" s="30">
        <v>45444.0</v>
      </c>
      <c r="L11" s="31">
        <v>2.0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4.25" customHeight="1">
      <c r="A12" s="26" t="s">
        <v>66</v>
      </c>
      <c r="B12" s="27" t="s">
        <v>67</v>
      </c>
      <c r="C12" s="32"/>
      <c r="D12" s="27" t="s">
        <v>27</v>
      </c>
      <c r="E12" s="27" t="s">
        <v>28</v>
      </c>
      <c r="F12" s="27" t="s">
        <v>29</v>
      </c>
      <c r="G12" s="27" t="s">
        <v>30</v>
      </c>
      <c r="H12" s="27" t="s">
        <v>65</v>
      </c>
      <c r="I12" s="28">
        <v>43136.0</v>
      </c>
      <c r="J12" s="28">
        <v>44348.0</v>
      </c>
      <c r="K12" s="30">
        <v>45444.0</v>
      </c>
      <c r="L12" s="31">
        <v>2.0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4.25" customHeight="1">
      <c r="A13" s="26" t="s">
        <v>68</v>
      </c>
      <c r="B13" s="27" t="s">
        <v>69</v>
      </c>
      <c r="C13" s="32"/>
      <c r="D13" s="32"/>
      <c r="E13" s="27" t="s">
        <v>70</v>
      </c>
      <c r="F13" s="27" t="s">
        <v>71</v>
      </c>
      <c r="G13" s="27" t="s">
        <v>23</v>
      </c>
      <c r="H13" s="27" t="s">
        <v>72</v>
      </c>
      <c r="I13" s="28">
        <v>43252.0</v>
      </c>
      <c r="J13" s="29"/>
      <c r="K13" s="30">
        <v>44348.0</v>
      </c>
      <c r="L13" s="31">
        <v>1.0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4.25" customHeight="1">
      <c r="A14" s="26" t="s">
        <v>73</v>
      </c>
      <c r="B14" s="27" t="s">
        <v>74</v>
      </c>
      <c r="C14" s="32"/>
      <c r="D14" s="27" t="s">
        <v>27</v>
      </c>
      <c r="E14" s="27" t="s">
        <v>28</v>
      </c>
      <c r="F14" s="27" t="s">
        <v>29</v>
      </c>
      <c r="G14" s="27" t="s">
        <v>30</v>
      </c>
      <c r="H14" s="27" t="s">
        <v>65</v>
      </c>
      <c r="I14" s="28">
        <v>43136.0</v>
      </c>
      <c r="J14" s="28">
        <v>44348.0</v>
      </c>
      <c r="K14" s="30">
        <v>45444.0</v>
      </c>
      <c r="L14" s="31">
        <v>2.0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customHeight="1">
      <c r="A15" s="26" t="s">
        <v>75</v>
      </c>
      <c r="B15" s="27" t="s">
        <v>76</v>
      </c>
      <c r="C15" s="27" t="s">
        <v>77</v>
      </c>
      <c r="D15" s="27" t="s">
        <v>78</v>
      </c>
      <c r="E15" s="27" t="s">
        <v>21</v>
      </c>
      <c r="F15" s="27" t="s">
        <v>79</v>
      </c>
      <c r="G15" s="27" t="s">
        <v>36</v>
      </c>
      <c r="H15" s="27" t="s">
        <v>80</v>
      </c>
      <c r="I15" s="28">
        <v>43252.0</v>
      </c>
      <c r="J15" s="29"/>
      <c r="K15" s="30">
        <v>44348.0</v>
      </c>
      <c r="L15" s="31">
        <v>1.0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26" t="s">
        <v>81</v>
      </c>
      <c r="B16" s="27" t="s">
        <v>82</v>
      </c>
      <c r="C16" s="27" t="s">
        <v>83</v>
      </c>
      <c r="D16" s="27" t="s">
        <v>20</v>
      </c>
      <c r="E16" s="27" t="s">
        <v>21</v>
      </c>
      <c r="F16" s="27" t="s">
        <v>84</v>
      </c>
      <c r="G16" s="27" t="s">
        <v>23</v>
      </c>
      <c r="H16" s="27" t="s">
        <v>85</v>
      </c>
      <c r="I16" s="28">
        <v>42887.0</v>
      </c>
      <c r="J16" s="29"/>
      <c r="K16" s="30">
        <v>43983.0</v>
      </c>
      <c r="L16" s="31">
        <v>1.0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>
      <c r="A17" s="26" t="s">
        <v>86</v>
      </c>
      <c r="B17" s="27" t="s">
        <v>87</v>
      </c>
      <c r="C17" s="27" t="s">
        <v>88</v>
      </c>
      <c r="D17" s="27" t="s">
        <v>89</v>
      </c>
      <c r="E17" s="27" t="s">
        <v>21</v>
      </c>
      <c r="F17" s="27" t="s">
        <v>90</v>
      </c>
      <c r="G17" s="27" t="s">
        <v>23</v>
      </c>
      <c r="H17" s="27" t="s">
        <v>47</v>
      </c>
      <c r="I17" s="28">
        <v>43252.0</v>
      </c>
      <c r="J17" s="29"/>
      <c r="K17" s="30">
        <v>44348.0</v>
      </c>
      <c r="L17" s="31">
        <v>1.0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26" t="s">
        <v>91</v>
      </c>
      <c r="B18" s="27" t="s">
        <v>92</v>
      </c>
      <c r="C18" s="27" t="s">
        <v>93</v>
      </c>
      <c r="D18" s="27" t="s">
        <v>94</v>
      </c>
      <c r="E18" s="27" t="s">
        <v>21</v>
      </c>
      <c r="F18" s="27" t="s">
        <v>95</v>
      </c>
      <c r="G18" s="27" t="s">
        <v>36</v>
      </c>
      <c r="H18" s="27" t="s">
        <v>37</v>
      </c>
      <c r="I18" s="28">
        <v>43617.0</v>
      </c>
      <c r="J18" s="29"/>
      <c r="K18" s="30">
        <v>44713.0</v>
      </c>
      <c r="L18" s="31">
        <v>1.0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33" t="s">
        <v>96</v>
      </c>
      <c r="B19" s="34" t="s">
        <v>97</v>
      </c>
      <c r="C19" s="34" t="s">
        <v>98</v>
      </c>
      <c r="D19" s="34" t="s">
        <v>44</v>
      </c>
      <c r="E19" s="34" t="s">
        <v>21</v>
      </c>
      <c r="F19" s="34" t="s">
        <v>99</v>
      </c>
      <c r="G19" s="34" t="s">
        <v>23</v>
      </c>
      <c r="H19" s="34" t="s">
        <v>100</v>
      </c>
      <c r="I19" s="28">
        <v>42887.0</v>
      </c>
      <c r="J19" s="29"/>
      <c r="K19" s="30">
        <v>43983.0</v>
      </c>
      <c r="L19" s="31">
        <v>1.0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26" t="s">
        <v>101</v>
      </c>
      <c r="B20" s="27" t="s">
        <v>102</v>
      </c>
      <c r="C20" s="32"/>
      <c r="D20" s="27" t="s">
        <v>27</v>
      </c>
      <c r="E20" s="27" t="s">
        <v>21</v>
      </c>
      <c r="F20" s="27" t="s">
        <v>103</v>
      </c>
      <c r="G20" s="27" t="s">
        <v>104</v>
      </c>
      <c r="H20" s="27" t="s">
        <v>103</v>
      </c>
      <c r="I20" s="28">
        <v>42401.0</v>
      </c>
      <c r="J20" s="29"/>
      <c r="K20" s="30">
        <v>44713.0</v>
      </c>
      <c r="L20" s="31">
        <v>1.0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26" t="s">
        <v>105</v>
      </c>
      <c r="B21" s="27" t="s">
        <v>106</v>
      </c>
      <c r="C21" s="27" t="s">
        <v>107</v>
      </c>
      <c r="D21" s="27" t="s">
        <v>108</v>
      </c>
      <c r="E21" s="27" t="s">
        <v>21</v>
      </c>
      <c r="F21" s="27" t="s">
        <v>109</v>
      </c>
      <c r="G21" s="27" t="s">
        <v>23</v>
      </c>
      <c r="H21" s="27" t="s">
        <v>110</v>
      </c>
      <c r="I21" s="28">
        <v>43617.0</v>
      </c>
      <c r="J21" s="29"/>
      <c r="K21" s="30">
        <v>44713.0</v>
      </c>
      <c r="L21" s="31">
        <v>1.0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33" t="s">
        <v>111</v>
      </c>
      <c r="B22" s="34" t="s">
        <v>112</v>
      </c>
      <c r="C22" s="35"/>
      <c r="D22" s="34" t="s">
        <v>27</v>
      </c>
      <c r="E22" s="34" t="s">
        <v>113</v>
      </c>
      <c r="F22" s="34" t="s">
        <v>29</v>
      </c>
      <c r="G22" s="34" t="s">
        <v>114</v>
      </c>
      <c r="H22" s="34" t="s">
        <v>29</v>
      </c>
      <c r="I22" s="30">
        <v>42401.0</v>
      </c>
      <c r="J22" s="36"/>
      <c r="K22" s="30">
        <v>44713.0</v>
      </c>
      <c r="L22" s="31">
        <v>1.0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26" t="s">
        <v>115</v>
      </c>
      <c r="B23" s="27" t="s">
        <v>116</v>
      </c>
      <c r="C23" s="27" t="s">
        <v>117</v>
      </c>
      <c r="D23" s="27" t="s">
        <v>118</v>
      </c>
      <c r="E23" s="27" t="s">
        <v>21</v>
      </c>
      <c r="F23" s="27" t="s">
        <v>56</v>
      </c>
      <c r="G23" s="27" t="s">
        <v>23</v>
      </c>
      <c r="H23" s="27" t="s">
        <v>119</v>
      </c>
      <c r="I23" s="28">
        <v>43617.0</v>
      </c>
      <c r="J23" s="29"/>
      <c r="K23" s="30">
        <v>44713.0</v>
      </c>
      <c r="L23" s="31">
        <v>1.0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26" t="s">
        <v>115</v>
      </c>
      <c r="B24" s="27" t="s">
        <v>120</v>
      </c>
      <c r="C24" s="27" t="s">
        <v>121</v>
      </c>
      <c r="D24" s="27" t="s">
        <v>78</v>
      </c>
      <c r="E24" s="27" t="s">
        <v>21</v>
      </c>
      <c r="F24" s="27" t="s">
        <v>90</v>
      </c>
      <c r="G24" s="27" t="s">
        <v>46</v>
      </c>
      <c r="H24" s="27" t="s">
        <v>80</v>
      </c>
      <c r="I24" s="28">
        <v>41426.0</v>
      </c>
      <c r="J24" s="29"/>
      <c r="K24" s="30">
        <v>44348.0</v>
      </c>
      <c r="L24" s="31">
        <v>1.0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26" t="s">
        <v>122</v>
      </c>
      <c r="B25" s="27" t="s">
        <v>123</v>
      </c>
      <c r="C25" s="32"/>
      <c r="D25" s="32"/>
      <c r="E25" s="27" t="s">
        <v>124</v>
      </c>
      <c r="F25" s="27" t="s">
        <v>125</v>
      </c>
      <c r="G25" s="27" t="s">
        <v>23</v>
      </c>
      <c r="H25" s="27" t="s">
        <v>126</v>
      </c>
      <c r="I25" s="28">
        <v>43617.0</v>
      </c>
      <c r="J25" s="29"/>
      <c r="K25" s="30">
        <v>44713.0</v>
      </c>
      <c r="L25" s="31">
        <v>1.0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26" t="s">
        <v>127</v>
      </c>
      <c r="B26" s="27" t="s">
        <v>128</v>
      </c>
      <c r="C26" s="27" t="s">
        <v>129</v>
      </c>
      <c r="D26" s="27" t="s">
        <v>130</v>
      </c>
      <c r="E26" s="27" t="s">
        <v>21</v>
      </c>
      <c r="F26" s="27" t="s">
        <v>79</v>
      </c>
      <c r="G26" s="27" t="s">
        <v>46</v>
      </c>
      <c r="H26" s="27" t="s">
        <v>72</v>
      </c>
      <c r="I26" s="28">
        <v>43252.0</v>
      </c>
      <c r="J26" s="29"/>
      <c r="K26" s="30">
        <v>44348.0</v>
      </c>
      <c r="L26" s="31">
        <v>1.0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26" t="s">
        <v>127</v>
      </c>
      <c r="B27" s="27" t="s">
        <v>131</v>
      </c>
      <c r="C27" s="27" t="s">
        <v>132</v>
      </c>
      <c r="D27" s="27" t="s">
        <v>133</v>
      </c>
      <c r="E27" s="27" t="s">
        <v>21</v>
      </c>
      <c r="F27" s="27" t="s">
        <v>134</v>
      </c>
      <c r="G27" s="27" t="s">
        <v>46</v>
      </c>
      <c r="H27" s="27" t="s">
        <v>135</v>
      </c>
      <c r="I27" s="28">
        <v>43252.0</v>
      </c>
      <c r="J27" s="29"/>
      <c r="K27" s="30">
        <v>44348.0</v>
      </c>
      <c r="L27" s="31">
        <v>1.0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26" t="s">
        <v>127</v>
      </c>
      <c r="B28" s="27" t="s">
        <v>32</v>
      </c>
      <c r="C28" s="32"/>
      <c r="D28" s="27" t="s">
        <v>27</v>
      </c>
      <c r="E28" s="27" t="s">
        <v>136</v>
      </c>
      <c r="F28" s="27" t="s">
        <v>40</v>
      </c>
      <c r="G28" s="27" t="s">
        <v>137</v>
      </c>
      <c r="H28" s="27" t="s">
        <v>40</v>
      </c>
      <c r="I28" s="28">
        <v>43132.0</v>
      </c>
      <c r="J28" s="28">
        <v>44348.0</v>
      </c>
      <c r="K28" s="30">
        <v>45444.0</v>
      </c>
      <c r="L28" s="31">
        <v>2.0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26" t="s">
        <v>127</v>
      </c>
      <c r="B29" s="27" t="s">
        <v>138</v>
      </c>
      <c r="C29" s="32"/>
      <c r="D29" s="27" t="s">
        <v>27</v>
      </c>
      <c r="E29" s="27" t="s">
        <v>139</v>
      </c>
      <c r="F29" s="27" t="s">
        <v>40</v>
      </c>
      <c r="G29" s="27" t="s">
        <v>140</v>
      </c>
      <c r="H29" s="27" t="s">
        <v>40</v>
      </c>
      <c r="I29" s="28">
        <v>43132.0</v>
      </c>
      <c r="J29" s="28">
        <v>44348.0</v>
      </c>
      <c r="K29" s="30">
        <v>45444.0</v>
      </c>
      <c r="L29" s="31">
        <v>2.0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26" t="s">
        <v>127</v>
      </c>
      <c r="B30" s="27" t="s">
        <v>141</v>
      </c>
      <c r="C30" s="27" t="s">
        <v>142</v>
      </c>
      <c r="D30" s="27" t="s">
        <v>143</v>
      </c>
      <c r="E30" s="27" t="s">
        <v>21</v>
      </c>
      <c r="F30" s="27" t="s">
        <v>144</v>
      </c>
      <c r="G30" s="27" t="s">
        <v>46</v>
      </c>
      <c r="H30" s="27" t="s">
        <v>135</v>
      </c>
      <c r="I30" s="28">
        <v>41791.0</v>
      </c>
      <c r="J30" s="29"/>
      <c r="K30" s="30">
        <v>44348.0</v>
      </c>
      <c r="L30" s="31">
        <v>1.0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26" t="s">
        <v>127</v>
      </c>
      <c r="B31" s="27" t="s">
        <v>145</v>
      </c>
      <c r="C31" s="27" t="s">
        <v>146</v>
      </c>
      <c r="D31" s="27" t="s">
        <v>94</v>
      </c>
      <c r="E31" s="27" t="s">
        <v>21</v>
      </c>
      <c r="F31" s="27" t="s">
        <v>79</v>
      </c>
      <c r="G31" s="27" t="s">
        <v>36</v>
      </c>
      <c r="H31" s="27" t="s">
        <v>147</v>
      </c>
      <c r="I31" s="28">
        <v>42887.0</v>
      </c>
      <c r="J31" s="29"/>
      <c r="K31" s="30">
        <v>43983.0</v>
      </c>
      <c r="L31" s="31">
        <v>1.0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26" t="s">
        <v>127</v>
      </c>
      <c r="B32" s="27" t="s">
        <v>145</v>
      </c>
      <c r="C32" s="27" t="s">
        <v>148</v>
      </c>
      <c r="D32" s="27" t="s">
        <v>143</v>
      </c>
      <c r="E32" s="27" t="s">
        <v>21</v>
      </c>
      <c r="F32" s="27" t="s">
        <v>45</v>
      </c>
      <c r="G32" s="27" t="s">
        <v>46</v>
      </c>
      <c r="H32" s="27" t="s">
        <v>149</v>
      </c>
      <c r="I32" s="28">
        <v>42522.0</v>
      </c>
      <c r="J32" s="29"/>
      <c r="K32" s="30">
        <v>44713.0</v>
      </c>
      <c r="L32" s="31">
        <v>1.0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26" t="s">
        <v>127</v>
      </c>
      <c r="B33" s="27" t="s">
        <v>150</v>
      </c>
      <c r="C33" s="27" t="s">
        <v>151</v>
      </c>
      <c r="D33" s="27" t="s">
        <v>20</v>
      </c>
      <c r="E33" s="27" t="s">
        <v>21</v>
      </c>
      <c r="F33" s="27" t="s">
        <v>56</v>
      </c>
      <c r="G33" s="27" t="s">
        <v>46</v>
      </c>
      <c r="H33" s="27" t="s">
        <v>152</v>
      </c>
      <c r="I33" s="28">
        <v>43617.0</v>
      </c>
      <c r="J33" s="29"/>
      <c r="K33" s="30">
        <v>44713.0</v>
      </c>
      <c r="L33" s="31">
        <v>1.0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26" t="s">
        <v>153</v>
      </c>
      <c r="B34" s="27" t="s">
        <v>154</v>
      </c>
      <c r="C34" s="32"/>
      <c r="D34" s="27" t="s">
        <v>27</v>
      </c>
      <c r="E34" s="27" t="s">
        <v>21</v>
      </c>
      <c r="F34" s="27" t="s">
        <v>155</v>
      </c>
      <c r="G34" s="27" t="s">
        <v>156</v>
      </c>
      <c r="H34" s="27" t="s">
        <v>155</v>
      </c>
      <c r="I34" s="28">
        <v>43132.0</v>
      </c>
      <c r="J34" s="28">
        <v>44348.0</v>
      </c>
      <c r="K34" s="30">
        <v>45444.0</v>
      </c>
      <c r="L34" s="31">
        <v>2.0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26" t="s">
        <v>157</v>
      </c>
      <c r="B35" s="27" t="s">
        <v>158</v>
      </c>
      <c r="C35" s="32"/>
      <c r="D35" s="27" t="s">
        <v>27</v>
      </c>
      <c r="E35" s="27" t="s">
        <v>113</v>
      </c>
      <c r="F35" s="27" t="s">
        <v>29</v>
      </c>
      <c r="G35" s="27" t="s">
        <v>159</v>
      </c>
      <c r="H35" s="27" t="s">
        <v>113</v>
      </c>
      <c r="I35" s="28">
        <v>42401.0</v>
      </c>
      <c r="J35" s="29"/>
      <c r="K35" s="30">
        <v>44713.0</v>
      </c>
      <c r="L35" s="31">
        <v>1.0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26" t="s">
        <v>160</v>
      </c>
      <c r="B36" s="27" t="s">
        <v>161</v>
      </c>
      <c r="C36" s="32"/>
      <c r="D36" s="27" t="s">
        <v>27</v>
      </c>
      <c r="E36" s="27" t="s">
        <v>162</v>
      </c>
      <c r="F36" s="27" t="s">
        <v>29</v>
      </c>
      <c r="G36" s="27" t="s">
        <v>163</v>
      </c>
      <c r="H36" s="27" t="s">
        <v>29</v>
      </c>
      <c r="I36" s="28">
        <v>42401.0</v>
      </c>
      <c r="J36" s="29"/>
      <c r="K36" s="30">
        <v>44713.0</v>
      </c>
      <c r="L36" s="31">
        <v>1.0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26" t="s">
        <v>164</v>
      </c>
      <c r="B37" s="27" t="s">
        <v>165</v>
      </c>
      <c r="C37" s="32"/>
      <c r="D37" s="27" t="s">
        <v>27</v>
      </c>
      <c r="E37" s="27" t="s">
        <v>166</v>
      </c>
      <c r="F37" s="27" t="s">
        <v>29</v>
      </c>
      <c r="G37" s="27" t="s">
        <v>167</v>
      </c>
      <c r="H37" s="27" t="s">
        <v>65</v>
      </c>
      <c r="I37" s="28">
        <v>43136.0</v>
      </c>
      <c r="J37" s="28">
        <v>44348.0</v>
      </c>
      <c r="K37" s="30">
        <v>45444.0</v>
      </c>
      <c r="L37" s="31">
        <v>2.0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26" t="s">
        <v>168</v>
      </c>
      <c r="B38" s="27" t="s">
        <v>169</v>
      </c>
      <c r="C38" s="27" t="s">
        <v>170</v>
      </c>
      <c r="D38" s="27" t="s">
        <v>89</v>
      </c>
      <c r="E38" s="27" t="s">
        <v>21</v>
      </c>
      <c r="F38" s="27" t="s">
        <v>35</v>
      </c>
      <c r="G38" s="27" t="s">
        <v>23</v>
      </c>
      <c r="H38" s="27" t="s">
        <v>171</v>
      </c>
      <c r="I38" s="28">
        <v>43617.0</v>
      </c>
      <c r="J38" s="29"/>
      <c r="K38" s="30">
        <v>44713.0</v>
      </c>
      <c r="L38" s="31">
        <v>1.0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26" t="s">
        <v>172</v>
      </c>
      <c r="B39" s="27" t="s">
        <v>173</v>
      </c>
      <c r="C39" s="32"/>
      <c r="D39" s="32"/>
      <c r="E39" s="27" t="s">
        <v>162</v>
      </c>
      <c r="F39" s="27" t="s">
        <v>174</v>
      </c>
      <c r="G39" s="27" t="s">
        <v>23</v>
      </c>
      <c r="H39" s="27" t="s">
        <v>135</v>
      </c>
      <c r="I39" s="28">
        <v>43252.0</v>
      </c>
      <c r="J39" s="28">
        <v>44348.0</v>
      </c>
      <c r="K39" s="30">
        <v>45444.0</v>
      </c>
      <c r="L39" s="31">
        <v>2.0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26" t="s">
        <v>175</v>
      </c>
      <c r="B40" s="27" t="s">
        <v>176</v>
      </c>
      <c r="C40" s="27" t="s">
        <v>177</v>
      </c>
      <c r="D40" s="27" t="s">
        <v>178</v>
      </c>
      <c r="E40" s="27" t="s">
        <v>21</v>
      </c>
      <c r="F40" s="27" t="s">
        <v>179</v>
      </c>
      <c r="G40" s="27" t="s">
        <v>23</v>
      </c>
      <c r="H40" s="27" t="s">
        <v>126</v>
      </c>
      <c r="I40" s="28">
        <v>43617.0</v>
      </c>
      <c r="J40" s="29"/>
      <c r="K40" s="30">
        <v>44713.0</v>
      </c>
      <c r="L40" s="31">
        <v>1.0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26" t="s">
        <v>180</v>
      </c>
      <c r="B41" s="27" t="s">
        <v>181</v>
      </c>
      <c r="C41" s="27" t="s">
        <v>182</v>
      </c>
      <c r="D41" s="27" t="s">
        <v>183</v>
      </c>
      <c r="E41" s="27" t="s">
        <v>21</v>
      </c>
      <c r="F41" s="27" t="s">
        <v>79</v>
      </c>
      <c r="G41" s="27" t="s">
        <v>46</v>
      </c>
      <c r="H41" s="27" t="s">
        <v>184</v>
      </c>
      <c r="I41" s="28">
        <v>42887.0</v>
      </c>
      <c r="J41" s="29"/>
      <c r="K41" s="30">
        <v>43983.0</v>
      </c>
      <c r="L41" s="31">
        <v>1.0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26" t="s">
        <v>185</v>
      </c>
      <c r="B42" s="27" t="s">
        <v>186</v>
      </c>
      <c r="C42" s="32"/>
      <c r="D42" s="27" t="s">
        <v>27</v>
      </c>
      <c r="E42" s="27" t="s">
        <v>187</v>
      </c>
      <c r="F42" s="27" t="s">
        <v>40</v>
      </c>
      <c r="G42" s="27" t="s">
        <v>188</v>
      </c>
      <c r="H42" s="27" t="s">
        <v>40</v>
      </c>
      <c r="I42" s="28">
        <v>42401.0</v>
      </c>
      <c r="J42" s="29"/>
      <c r="K42" s="30">
        <v>44713.0</v>
      </c>
      <c r="L42" s="31">
        <v>1.0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26" t="s">
        <v>189</v>
      </c>
      <c r="B43" s="27" t="s">
        <v>190</v>
      </c>
      <c r="C43" s="27" t="s">
        <v>191</v>
      </c>
      <c r="D43" s="27" t="s">
        <v>44</v>
      </c>
      <c r="E43" s="27" t="s">
        <v>21</v>
      </c>
      <c r="F43" s="27" t="s">
        <v>192</v>
      </c>
      <c r="G43" s="27" t="s">
        <v>46</v>
      </c>
      <c r="H43" s="27" t="s">
        <v>126</v>
      </c>
      <c r="I43" s="28">
        <v>43617.0</v>
      </c>
      <c r="J43" s="28">
        <v>44713.0</v>
      </c>
      <c r="K43" s="30">
        <v>45809.0</v>
      </c>
      <c r="L43" s="31">
        <v>2.0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26" t="s">
        <v>193</v>
      </c>
      <c r="B44" s="27" t="s">
        <v>194</v>
      </c>
      <c r="C44" s="32"/>
      <c r="D44" s="27" t="s">
        <v>27</v>
      </c>
      <c r="E44" s="27" t="s">
        <v>39</v>
      </c>
      <c r="F44" s="27" t="s">
        <v>40</v>
      </c>
      <c r="G44" s="27" t="s">
        <v>195</v>
      </c>
      <c r="H44" s="27" t="s">
        <v>40</v>
      </c>
      <c r="I44" s="28">
        <v>42401.0</v>
      </c>
      <c r="J44" s="29"/>
      <c r="K44" s="30">
        <v>44713.0</v>
      </c>
      <c r="L44" s="31">
        <v>1.0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33" t="s">
        <v>196</v>
      </c>
      <c r="B45" s="34" t="s">
        <v>197</v>
      </c>
      <c r="C45" s="35"/>
      <c r="D45" s="34" t="s">
        <v>27</v>
      </c>
      <c r="E45" s="34" t="s">
        <v>27</v>
      </c>
      <c r="F45" s="34" t="s">
        <v>40</v>
      </c>
      <c r="G45" s="34" t="s">
        <v>198</v>
      </c>
      <c r="H45" s="34" t="s">
        <v>40</v>
      </c>
      <c r="I45" s="28">
        <v>42401.0</v>
      </c>
      <c r="J45" s="29"/>
      <c r="K45" s="30">
        <v>44713.0</v>
      </c>
      <c r="L45" s="31">
        <v>1.0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26" t="s">
        <v>199</v>
      </c>
      <c r="B46" s="32"/>
      <c r="C46" s="32"/>
      <c r="D46" s="27" t="s">
        <v>27</v>
      </c>
      <c r="E46" s="27" t="s">
        <v>200</v>
      </c>
      <c r="F46" s="27" t="s">
        <v>29</v>
      </c>
      <c r="G46" s="27" t="s">
        <v>201</v>
      </c>
      <c r="H46" s="27" t="s">
        <v>29</v>
      </c>
      <c r="I46" s="28">
        <v>42401.0</v>
      </c>
      <c r="J46" s="29"/>
      <c r="K46" s="30">
        <v>44713.0</v>
      </c>
      <c r="L46" s="31">
        <v>1.0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26" t="s">
        <v>202</v>
      </c>
      <c r="B47" s="27" t="s">
        <v>203</v>
      </c>
      <c r="C47" s="27" t="s">
        <v>204</v>
      </c>
      <c r="D47" s="27" t="s">
        <v>143</v>
      </c>
      <c r="E47" s="27" t="s">
        <v>21</v>
      </c>
      <c r="F47" s="27" t="s">
        <v>205</v>
      </c>
      <c r="G47" s="27" t="s">
        <v>206</v>
      </c>
      <c r="H47" s="27" t="s">
        <v>207</v>
      </c>
      <c r="I47" s="28">
        <v>42887.0</v>
      </c>
      <c r="J47" s="29"/>
      <c r="K47" s="30">
        <v>43983.0</v>
      </c>
      <c r="L47" s="31">
        <v>1.0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26" t="s">
        <v>208</v>
      </c>
      <c r="B48" s="27" t="s">
        <v>209</v>
      </c>
      <c r="C48" s="27" t="s">
        <v>210</v>
      </c>
      <c r="D48" s="27" t="s">
        <v>44</v>
      </c>
      <c r="E48" s="27" t="s">
        <v>21</v>
      </c>
      <c r="F48" s="27" t="s">
        <v>90</v>
      </c>
      <c r="G48" s="27" t="s">
        <v>46</v>
      </c>
      <c r="H48" s="27" t="s">
        <v>211</v>
      </c>
      <c r="I48" s="28">
        <v>43252.0</v>
      </c>
      <c r="J48" s="29"/>
      <c r="K48" s="30">
        <v>44348.0</v>
      </c>
      <c r="L48" s="31">
        <v>1.0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26" t="s">
        <v>212</v>
      </c>
      <c r="B49" s="27" t="s">
        <v>116</v>
      </c>
      <c r="C49" s="27" t="s">
        <v>210</v>
      </c>
      <c r="D49" s="27" t="s">
        <v>44</v>
      </c>
      <c r="E49" s="27" t="s">
        <v>21</v>
      </c>
      <c r="F49" s="27" t="s">
        <v>99</v>
      </c>
      <c r="G49" s="27" t="s">
        <v>46</v>
      </c>
      <c r="H49" s="27" t="s">
        <v>47</v>
      </c>
      <c r="I49" s="28">
        <v>43252.0</v>
      </c>
      <c r="J49" s="29"/>
      <c r="K49" s="30">
        <v>44348.0</v>
      </c>
      <c r="L49" s="31">
        <v>1.0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26" t="s">
        <v>213</v>
      </c>
      <c r="B50" s="27" t="s">
        <v>214</v>
      </c>
      <c r="C50" s="27" t="s">
        <v>215</v>
      </c>
      <c r="D50" s="27" t="s">
        <v>44</v>
      </c>
      <c r="E50" s="27" t="s">
        <v>21</v>
      </c>
      <c r="F50" s="27" t="s">
        <v>192</v>
      </c>
      <c r="G50" s="27" t="s">
        <v>46</v>
      </c>
      <c r="H50" s="27" t="s">
        <v>126</v>
      </c>
      <c r="I50" s="28">
        <v>43617.0</v>
      </c>
      <c r="J50" s="28">
        <v>44713.0</v>
      </c>
      <c r="K50" s="30">
        <v>45809.0</v>
      </c>
      <c r="L50" s="31">
        <v>2.0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26" t="s">
        <v>216</v>
      </c>
      <c r="B51" s="27" t="s">
        <v>217</v>
      </c>
      <c r="C51" s="27" t="s">
        <v>218</v>
      </c>
      <c r="D51" s="27" t="s">
        <v>55</v>
      </c>
      <c r="E51" s="27" t="s">
        <v>21</v>
      </c>
      <c r="F51" s="27" t="s">
        <v>95</v>
      </c>
      <c r="G51" s="27" t="s">
        <v>36</v>
      </c>
      <c r="H51" s="27" t="s">
        <v>57</v>
      </c>
      <c r="I51" s="28">
        <v>43617.0</v>
      </c>
      <c r="J51" s="29"/>
      <c r="K51" s="30">
        <v>44713.0</v>
      </c>
      <c r="L51" s="31">
        <v>1.0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26" t="s">
        <v>219</v>
      </c>
      <c r="B52" s="27" t="s">
        <v>220</v>
      </c>
      <c r="C52" s="27" t="s">
        <v>221</v>
      </c>
      <c r="D52" s="27" t="s">
        <v>222</v>
      </c>
      <c r="E52" s="27" t="s">
        <v>21</v>
      </c>
      <c r="F52" s="27" t="s">
        <v>35</v>
      </c>
      <c r="G52" s="27" t="s">
        <v>46</v>
      </c>
      <c r="H52" s="27" t="s">
        <v>37</v>
      </c>
      <c r="I52" s="28">
        <v>43617.0</v>
      </c>
      <c r="J52" s="29"/>
      <c r="K52" s="30">
        <v>44713.0</v>
      </c>
      <c r="L52" s="31">
        <v>1.0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26" t="s">
        <v>219</v>
      </c>
      <c r="B53" s="27" t="s">
        <v>223</v>
      </c>
      <c r="C53" s="32"/>
      <c r="D53" s="27" t="s">
        <v>224</v>
      </c>
      <c r="E53" s="27" t="s">
        <v>21</v>
      </c>
      <c r="F53" s="27" t="s">
        <v>79</v>
      </c>
      <c r="G53" s="27" t="s">
        <v>36</v>
      </c>
      <c r="H53" s="27" t="s">
        <v>225</v>
      </c>
      <c r="I53" s="28">
        <v>43252.0</v>
      </c>
      <c r="J53" s="29"/>
      <c r="K53" s="30">
        <v>44348.0</v>
      </c>
      <c r="L53" s="31">
        <v>1.0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33" t="s">
        <v>226</v>
      </c>
      <c r="B54" s="34" t="s">
        <v>227</v>
      </c>
      <c r="C54" s="34" t="s">
        <v>228</v>
      </c>
      <c r="D54" s="34" t="s">
        <v>20</v>
      </c>
      <c r="E54" s="34" t="s">
        <v>21</v>
      </c>
      <c r="F54" s="34" t="s">
        <v>90</v>
      </c>
      <c r="G54" s="34" t="s">
        <v>23</v>
      </c>
      <c r="H54" s="34" t="s">
        <v>229</v>
      </c>
      <c r="I54" s="28">
        <v>42887.0</v>
      </c>
      <c r="J54" s="29"/>
      <c r="K54" s="30">
        <v>43983.0</v>
      </c>
      <c r="L54" s="31">
        <v>1.0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26" t="s">
        <v>230</v>
      </c>
      <c r="B55" s="27" t="s">
        <v>231</v>
      </c>
      <c r="C55" s="27" t="s">
        <v>232</v>
      </c>
      <c r="D55" s="27" t="s">
        <v>222</v>
      </c>
      <c r="E55" s="27" t="s">
        <v>21</v>
      </c>
      <c r="F55" s="27" t="s">
        <v>71</v>
      </c>
      <c r="G55" s="27" t="s">
        <v>36</v>
      </c>
      <c r="H55" s="27" t="s">
        <v>233</v>
      </c>
      <c r="I55" s="28">
        <v>43617.0</v>
      </c>
      <c r="J55" s="29"/>
      <c r="K55" s="30">
        <v>44713.0</v>
      </c>
      <c r="L55" s="31">
        <v>1.0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26" t="s">
        <v>234</v>
      </c>
      <c r="B56" s="27" t="s">
        <v>235</v>
      </c>
      <c r="C56" s="27" t="s">
        <v>236</v>
      </c>
      <c r="D56" s="27" t="s">
        <v>89</v>
      </c>
      <c r="E56" s="27" t="s">
        <v>21</v>
      </c>
      <c r="F56" s="27" t="s">
        <v>71</v>
      </c>
      <c r="G56" s="27" t="s">
        <v>46</v>
      </c>
      <c r="H56" s="27" t="s">
        <v>237</v>
      </c>
      <c r="I56" s="28">
        <v>42887.0</v>
      </c>
      <c r="J56" s="29"/>
      <c r="K56" s="30">
        <v>43983.0</v>
      </c>
      <c r="L56" s="31">
        <v>1.0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26" t="s">
        <v>238</v>
      </c>
      <c r="B57" s="27" t="s">
        <v>239</v>
      </c>
      <c r="C57" s="32"/>
      <c r="D57" s="32"/>
      <c r="E57" s="27" t="s">
        <v>240</v>
      </c>
      <c r="F57" s="27" t="s">
        <v>109</v>
      </c>
      <c r="G57" s="27" t="s">
        <v>36</v>
      </c>
      <c r="H57" s="27" t="s">
        <v>241</v>
      </c>
      <c r="I57" s="28">
        <v>43252.0</v>
      </c>
      <c r="J57" s="28">
        <v>44348.0</v>
      </c>
      <c r="K57" s="30">
        <v>45444.0</v>
      </c>
      <c r="L57" s="31">
        <v>2.0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26" t="s">
        <v>242</v>
      </c>
      <c r="B58" s="27" t="s">
        <v>18</v>
      </c>
      <c r="C58" s="27" t="s">
        <v>243</v>
      </c>
      <c r="D58" s="27" t="s">
        <v>78</v>
      </c>
      <c r="E58" s="27" t="s">
        <v>21</v>
      </c>
      <c r="F58" s="27" t="s">
        <v>71</v>
      </c>
      <c r="G58" s="27" t="s">
        <v>46</v>
      </c>
      <c r="H58" s="27" t="s">
        <v>244</v>
      </c>
      <c r="I58" s="28">
        <v>42887.0</v>
      </c>
      <c r="J58" s="29"/>
      <c r="K58" s="30">
        <v>43983.0</v>
      </c>
      <c r="L58" s="31">
        <v>1.0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26" t="s">
        <v>245</v>
      </c>
      <c r="B59" s="27" t="s">
        <v>246</v>
      </c>
      <c r="C59" s="32"/>
      <c r="D59" s="27" t="s">
        <v>27</v>
      </c>
      <c r="E59" s="27" t="s">
        <v>21</v>
      </c>
      <c r="F59" s="27" t="s">
        <v>155</v>
      </c>
      <c r="G59" s="27" t="s">
        <v>247</v>
      </c>
      <c r="H59" s="27" t="s">
        <v>155</v>
      </c>
      <c r="I59" s="28">
        <v>43132.0</v>
      </c>
      <c r="J59" s="28">
        <v>44348.0</v>
      </c>
      <c r="K59" s="30">
        <v>45444.0</v>
      </c>
      <c r="L59" s="31">
        <v>2.0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26" t="s">
        <v>248</v>
      </c>
      <c r="B60" s="27" t="s">
        <v>249</v>
      </c>
      <c r="C60" s="27" t="s">
        <v>250</v>
      </c>
      <c r="D60" s="27" t="s">
        <v>143</v>
      </c>
      <c r="E60" s="27" t="s">
        <v>21</v>
      </c>
      <c r="F60" s="27" t="s">
        <v>35</v>
      </c>
      <c r="G60" s="27" t="s">
        <v>36</v>
      </c>
      <c r="H60" s="27" t="s">
        <v>251</v>
      </c>
      <c r="I60" s="28">
        <v>43617.0</v>
      </c>
      <c r="J60" s="29"/>
      <c r="K60" s="30">
        <v>44713.0</v>
      </c>
      <c r="L60" s="31">
        <v>1.0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26" t="s">
        <v>252</v>
      </c>
      <c r="B61" s="27" t="s">
        <v>253</v>
      </c>
      <c r="C61" s="27" t="s">
        <v>254</v>
      </c>
      <c r="D61" s="27" t="s">
        <v>143</v>
      </c>
      <c r="E61" s="27" t="s">
        <v>21</v>
      </c>
      <c r="F61" s="27" t="s">
        <v>90</v>
      </c>
      <c r="G61" s="27" t="s">
        <v>23</v>
      </c>
      <c r="H61" s="27" t="s">
        <v>255</v>
      </c>
      <c r="I61" s="28">
        <v>42887.0</v>
      </c>
      <c r="J61" s="29"/>
      <c r="K61" s="30">
        <v>43983.0</v>
      </c>
      <c r="L61" s="31">
        <v>1.0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26" t="s">
        <v>256</v>
      </c>
      <c r="B62" s="27" t="s">
        <v>87</v>
      </c>
      <c r="C62" s="27" t="s">
        <v>257</v>
      </c>
      <c r="D62" s="27" t="s">
        <v>44</v>
      </c>
      <c r="E62" s="27" t="s">
        <v>21</v>
      </c>
      <c r="F62" s="27" t="s">
        <v>79</v>
      </c>
      <c r="G62" s="27" t="s">
        <v>23</v>
      </c>
      <c r="H62" s="27" t="s">
        <v>258</v>
      </c>
      <c r="I62" s="28">
        <v>42887.0</v>
      </c>
      <c r="J62" s="29"/>
      <c r="K62" s="30">
        <v>43983.0</v>
      </c>
      <c r="L62" s="31">
        <v>1.0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26" t="s">
        <v>259</v>
      </c>
      <c r="B63" s="27" t="s">
        <v>260</v>
      </c>
      <c r="C63" s="32"/>
      <c r="D63" s="27" t="s">
        <v>27</v>
      </c>
      <c r="E63" s="27" t="s">
        <v>21</v>
      </c>
      <c r="F63" s="27" t="s">
        <v>103</v>
      </c>
      <c r="G63" s="27" t="s">
        <v>261</v>
      </c>
      <c r="H63" s="27" t="s">
        <v>103</v>
      </c>
      <c r="I63" s="28">
        <v>42401.0</v>
      </c>
      <c r="J63" s="29"/>
      <c r="K63" s="30">
        <v>44713.0</v>
      </c>
      <c r="L63" s="31">
        <v>1.0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26" t="s">
        <v>262</v>
      </c>
      <c r="B64" s="27" t="s">
        <v>263</v>
      </c>
      <c r="C64" s="32"/>
      <c r="D64" s="27" t="s">
        <v>27</v>
      </c>
      <c r="E64" s="27" t="s">
        <v>39</v>
      </c>
      <c r="F64" s="27" t="s">
        <v>40</v>
      </c>
      <c r="G64" s="27" t="s">
        <v>264</v>
      </c>
      <c r="H64" s="27" t="s">
        <v>40</v>
      </c>
      <c r="I64" s="28">
        <v>42401.0</v>
      </c>
      <c r="J64" s="29"/>
      <c r="K64" s="30">
        <v>44713.0</v>
      </c>
      <c r="L64" s="31">
        <v>1.0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26" t="s">
        <v>265</v>
      </c>
      <c r="B65" s="27" t="s">
        <v>266</v>
      </c>
      <c r="C65" s="27" t="s">
        <v>267</v>
      </c>
      <c r="D65" s="27" t="s">
        <v>44</v>
      </c>
      <c r="E65" s="27" t="s">
        <v>21</v>
      </c>
      <c r="F65" s="27" t="s">
        <v>79</v>
      </c>
      <c r="G65" s="27" t="s">
        <v>36</v>
      </c>
      <c r="H65" s="27" t="s">
        <v>47</v>
      </c>
      <c r="I65" s="28">
        <v>43252.0</v>
      </c>
      <c r="J65" s="29"/>
      <c r="K65" s="30">
        <v>44348.0</v>
      </c>
      <c r="L65" s="31">
        <v>1.0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26" t="s">
        <v>268</v>
      </c>
      <c r="B66" s="27" t="s">
        <v>269</v>
      </c>
      <c r="C66" s="32"/>
      <c r="D66" s="27" t="s">
        <v>27</v>
      </c>
      <c r="E66" s="27" t="s">
        <v>39</v>
      </c>
      <c r="F66" s="27" t="s">
        <v>40</v>
      </c>
      <c r="G66" s="27" t="s">
        <v>270</v>
      </c>
      <c r="H66" s="27" t="s">
        <v>40</v>
      </c>
      <c r="I66" s="28">
        <v>43132.0</v>
      </c>
      <c r="J66" s="28">
        <v>44348.0</v>
      </c>
      <c r="K66" s="30">
        <v>45444.0</v>
      </c>
      <c r="L66" s="31">
        <v>2.0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26" t="s">
        <v>271</v>
      </c>
      <c r="B67" s="27" t="s">
        <v>272</v>
      </c>
      <c r="C67" s="27" t="s">
        <v>273</v>
      </c>
      <c r="D67" s="27" t="s">
        <v>94</v>
      </c>
      <c r="E67" s="27" t="s">
        <v>21</v>
      </c>
      <c r="F67" s="27" t="s">
        <v>35</v>
      </c>
      <c r="G67" s="27" t="s">
        <v>23</v>
      </c>
      <c r="H67" s="27" t="s">
        <v>37</v>
      </c>
      <c r="I67" s="28">
        <v>43617.0</v>
      </c>
      <c r="J67" s="29"/>
      <c r="K67" s="30">
        <v>44713.0</v>
      </c>
      <c r="L67" s="31">
        <v>1.0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26" t="s">
        <v>274</v>
      </c>
      <c r="B68" s="27" t="s">
        <v>275</v>
      </c>
      <c r="C68" s="27" t="s">
        <v>276</v>
      </c>
      <c r="D68" s="27" t="s">
        <v>130</v>
      </c>
      <c r="E68" s="27" t="s">
        <v>21</v>
      </c>
      <c r="F68" s="27" t="s">
        <v>79</v>
      </c>
      <c r="G68" s="27" t="s">
        <v>36</v>
      </c>
      <c r="H68" s="27" t="s">
        <v>85</v>
      </c>
      <c r="I68" s="28">
        <v>42887.0</v>
      </c>
      <c r="J68" s="29"/>
      <c r="K68" s="30">
        <v>43983.0</v>
      </c>
      <c r="L68" s="31">
        <v>1.0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26" t="s">
        <v>277</v>
      </c>
      <c r="B69" s="27" t="s">
        <v>278</v>
      </c>
      <c r="C69" s="27" t="s">
        <v>215</v>
      </c>
      <c r="D69" s="27" t="s">
        <v>44</v>
      </c>
      <c r="E69" s="27" t="s">
        <v>21</v>
      </c>
      <c r="F69" s="27" t="s">
        <v>79</v>
      </c>
      <c r="G69" s="27" t="s">
        <v>36</v>
      </c>
      <c r="H69" s="27" t="s">
        <v>207</v>
      </c>
      <c r="I69" s="28">
        <v>42887.0</v>
      </c>
      <c r="J69" s="29"/>
      <c r="K69" s="30">
        <v>43983.0</v>
      </c>
      <c r="L69" s="31">
        <v>1.0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26" t="s">
        <v>279</v>
      </c>
      <c r="B70" s="27" t="s">
        <v>280</v>
      </c>
      <c r="C70" s="27" t="s">
        <v>281</v>
      </c>
      <c r="D70" s="27" t="s">
        <v>282</v>
      </c>
      <c r="E70" s="27" t="s">
        <v>21</v>
      </c>
      <c r="F70" s="27" t="s">
        <v>45</v>
      </c>
      <c r="G70" s="27" t="s">
        <v>36</v>
      </c>
      <c r="H70" s="27" t="s">
        <v>24</v>
      </c>
      <c r="I70" s="28">
        <v>41061.0</v>
      </c>
      <c r="J70" s="29"/>
      <c r="K70" s="30">
        <v>45809.0</v>
      </c>
      <c r="L70" s="31">
        <v>1.0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26" t="s">
        <v>283</v>
      </c>
      <c r="B71" s="27" t="s">
        <v>284</v>
      </c>
      <c r="C71" s="32"/>
      <c r="D71" s="27" t="s">
        <v>27</v>
      </c>
      <c r="E71" s="27" t="s">
        <v>285</v>
      </c>
      <c r="F71" s="27" t="s">
        <v>286</v>
      </c>
      <c r="G71" s="27" t="s">
        <v>46</v>
      </c>
      <c r="H71" s="27" t="s">
        <v>287</v>
      </c>
      <c r="I71" s="28">
        <v>42887.0</v>
      </c>
      <c r="J71" s="29"/>
      <c r="K71" s="30">
        <v>43983.0</v>
      </c>
      <c r="L71" s="31">
        <v>1.0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33" t="s">
        <v>288</v>
      </c>
      <c r="B72" s="34" t="s">
        <v>289</v>
      </c>
      <c r="C72" s="35"/>
      <c r="D72" s="34" t="s">
        <v>27</v>
      </c>
      <c r="E72" s="34" t="s">
        <v>21</v>
      </c>
      <c r="F72" s="34" t="s">
        <v>290</v>
      </c>
      <c r="G72" s="34" t="s">
        <v>291</v>
      </c>
      <c r="H72" s="34" t="s">
        <v>287</v>
      </c>
      <c r="I72" s="28">
        <v>42887.0</v>
      </c>
      <c r="J72" s="29"/>
      <c r="K72" s="30">
        <v>43983.0</v>
      </c>
      <c r="L72" s="31">
        <v>1.0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26" t="s">
        <v>288</v>
      </c>
      <c r="B73" s="27" t="s">
        <v>141</v>
      </c>
      <c r="C73" s="32"/>
      <c r="D73" s="32"/>
      <c r="E73" s="27" t="s">
        <v>70</v>
      </c>
      <c r="F73" s="27" t="s">
        <v>90</v>
      </c>
      <c r="G73" s="27" t="s">
        <v>23</v>
      </c>
      <c r="H73" s="27" t="s">
        <v>72</v>
      </c>
      <c r="I73" s="28">
        <v>43252.0</v>
      </c>
      <c r="J73" s="29"/>
      <c r="K73" s="30">
        <v>44348.0</v>
      </c>
      <c r="L73" s="31">
        <v>1.0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26" t="s">
        <v>292</v>
      </c>
      <c r="B74" s="27" t="s">
        <v>293</v>
      </c>
      <c r="C74" s="27" t="s">
        <v>294</v>
      </c>
      <c r="D74" s="27" t="s">
        <v>222</v>
      </c>
      <c r="E74" s="27" t="s">
        <v>21</v>
      </c>
      <c r="F74" s="27" t="s">
        <v>90</v>
      </c>
      <c r="G74" s="27" t="s">
        <v>46</v>
      </c>
      <c r="H74" s="27" t="s">
        <v>295</v>
      </c>
      <c r="I74" s="28">
        <v>43252.0</v>
      </c>
      <c r="J74" s="29"/>
      <c r="K74" s="30">
        <v>44348.0</v>
      </c>
      <c r="L74" s="31">
        <v>1.0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26" t="s">
        <v>296</v>
      </c>
      <c r="B75" s="27" t="s">
        <v>297</v>
      </c>
      <c r="C75" s="27" t="s">
        <v>298</v>
      </c>
      <c r="D75" s="27" t="s">
        <v>133</v>
      </c>
      <c r="E75" s="27" t="s">
        <v>21</v>
      </c>
      <c r="F75" s="27" t="s">
        <v>134</v>
      </c>
      <c r="G75" s="27" t="s">
        <v>23</v>
      </c>
      <c r="H75" s="27" t="s">
        <v>135</v>
      </c>
      <c r="I75" s="28">
        <v>41426.0</v>
      </c>
      <c r="J75" s="29"/>
      <c r="K75" s="30">
        <v>44348.0</v>
      </c>
      <c r="L75" s="31">
        <v>1.0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26" t="s">
        <v>299</v>
      </c>
      <c r="B76" s="27" t="s">
        <v>266</v>
      </c>
      <c r="C76" s="27" t="s">
        <v>300</v>
      </c>
      <c r="D76" s="27" t="s">
        <v>222</v>
      </c>
      <c r="E76" s="27" t="s">
        <v>21</v>
      </c>
      <c r="F76" s="27" t="s">
        <v>109</v>
      </c>
      <c r="G76" s="27" t="s">
        <v>23</v>
      </c>
      <c r="H76" s="27" t="s">
        <v>241</v>
      </c>
      <c r="I76" s="28">
        <v>43617.0</v>
      </c>
      <c r="J76" s="29"/>
      <c r="K76" s="30">
        <v>44713.0</v>
      </c>
      <c r="L76" s="31">
        <v>1.0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26" t="s">
        <v>299</v>
      </c>
      <c r="B77" s="27" t="s">
        <v>301</v>
      </c>
      <c r="C77" s="27" t="s">
        <v>302</v>
      </c>
      <c r="D77" s="27" t="s">
        <v>130</v>
      </c>
      <c r="E77" s="27" t="s">
        <v>21</v>
      </c>
      <c r="F77" s="27" t="s">
        <v>99</v>
      </c>
      <c r="G77" s="27" t="s">
        <v>23</v>
      </c>
      <c r="H77" s="27" t="s">
        <v>72</v>
      </c>
      <c r="I77" s="28">
        <v>43252.0</v>
      </c>
      <c r="J77" s="29"/>
      <c r="K77" s="30">
        <v>44348.0</v>
      </c>
      <c r="L77" s="31">
        <v>1.0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26" t="s">
        <v>303</v>
      </c>
      <c r="B78" s="27" t="s">
        <v>304</v>
      </c>
      <c r="C78" s="27" t="s">
        <v>191</v>
      </c>
      <c r="D78" s="27" t="s">
        <v>44</v>
      </c>
      <c r="E78" s="27" t="s">
        <v>21</v>
      </c>
      <c r="F78" s="27" t="s">
        <v>79</v>
      </c>
      <c r="G78" s="27" t="s">
        <v>23</v>
      </c>
      <c r="H78" s="27" t="s">
        <v>100</v>
      </c>
      <c r="I78" s="28">
        <v>42887.0</v>
      </c>
      <c r="J78" s="29"/>
      <c r="K78" s="30">
        <v>43983.0</v>
      </c>
      <c r="L78" s="31">
        <v>1.0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26" t="s">
        <v>305</v>
      </c>
      <c r="B79" s="27" t="s">
        <v>306</v>
      </c>
      <c r="C79" s="27" t="s">
        <v>307</v>
      </c>
      <c r="D79" s="27" t="s">
        <v>20</v>
      </c>
      <c r="E79" s="27" t="s">
        <v>21</v>
      </c>
      <c r="F79" s="27" t="s">
        <v>79</v>
      </c>
      <c r="G79" s="27" t="s">
        <v>46</v>
      </c>
      <c r="H79" s="27" t="s">
        <v>85</v>
      </c>
      <c r="I79" s="28">
        <v>42887.0</v>
      </c>
      <c r="J79" s="29"/>
      <c r="K79" s="30">
        <v>43983.0</v>
      </c>
      <c r="L79" s="31">
        <v>1.0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26" t="s">
        <v>308</v>
      </c>
      <c r="B80" s="27" t="s">
        <v>145</v>
      </c>
      <c r="C80" s="27" t="s">
        <v>309</v>
      </c>
      <c r="D80" s="27" t="s">
        <v>282</v>
      </c>
      <c r="E80" s="27" t="s">
        <v>21</v>
      </c>
      <c r="F80" s="27" t="s">
        <v>205</v>
      </c>
      <c r="G80" s="27" t="s">
        <v>46</v>
      </c>
      <c r="H80" s="27" t="s">
        <v>126</v>
      </c>
      <c r="I80" s="28">
        <v>43617.0</v>
      </c>
      <c r="J80" s="28">
        <v>44713.0</v>
      </c>
      <c r="K80" s="30">
        <v>45809.0</v>
      </c>
      <c r="L80" s="31">
        <v>2.0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26" t="s">
        <v>310</v>
      </c>
      <c r="B81" s="27" t="s">
        <v>311</v>
      </c>
      <c r="C81" s="27" t="s">
        <v>312</v>
      </c>
      <c r="D81" s="27" t="s">
        <v>313</v>
      </c>
      <c r="E81" s="27" t="s">
        <v>21</v>
      </c>
      <c r="F81" s="27" t="s">
        <v>314</v>
      </c>
      <c r="G81" s="27" t="s">
        <v>46</v>
      </c>
      <c r="H81" s="27" t="s">
        <v>255</v>
      </c>
      <c r="I81" s="28">
        <v>42887.0</v>
      </c>
      <c r="J81" s="29"/>
      <c r="K81" s="30">
        <v>43983.0</v>
      </c>
      <c r="L81" s="31">
        <v>1.0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26" t="s">
        <v>315</v>
      </c>
      <c r="B82" s="27" t="s">
        <v>42</v>
      </c>
      <c r="C82" s="27" t="s">
        <v>316</v>
      </c>
      <c r="D82" s="27" t="s">
        <v>317</v>
      </c>
      <c r="E82" s="27" t="s">
        <v>21</v>
      </c>
      <c r="F82" s="27" t="s">
        <v>90</v>
      </c>
      <c r="G82" s="27" t="s">
        <v>23</v>
      </c>
      <c r="H82" s="27" t="s">
        <v>258</v>
      </c>
      <c r="I82" s="28">
        <v>42887.0</v>
      </c>
      <c r="J82" s="29"/>
      <c r="K82" s="30">
        <v>43983.0</v>
      </c>
      <c r="L82" s="31">
        <v>1.0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26" t="s">
        <v>318</v>
      </c>
      <c r="B83" s="27" t="s">
        <v>231</v>
      </c>
      <c r="C83" s="27" t="s">
        <v>319</v>
      </c>
      <c r="D83" s="27" t="s">
        <v>282</v>
      </c>
      <c r="E83" s="27" t="s">
        <v>21</v>
      </c>
      <c r="F83" s="27" t="s">
        <v>79</v>
      </c>
      <c r="G83" s="27" t="s">
        <v>36</v>
      </c>
      <c r="H83" s="27" t="s">
        <v>255</v>
      </c>
      <c r="I83" s="28">
        <v>42887.0</v>
      </c>
      <c r="J83" s="29"/>
      <c r="K83" s="30">
        <v>43983.0</v>
      </c>
      <c r="L83" s="31">
        <v>1.0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26" t="s">
        <v>320</v>
      </c>
      <c r="B84" s="27" t="s">
        <v>321</v>
      </c>
      <c r="C84" s="27" t="s">
        <v>322</v>
      </c>
      <c r="D84" s="27" t="s">
        <v>323</v>
      </c>
      <c r="E84" s="27" t="s">
        <v>21</v>
      </c>
      <c r="F84" s="27" t="s">
        <v>90</v>
      </c>
      <c r="G84" s="27" t="s">
        <v>46</v>
      </c>
      <c r="H84" s="27" t="s">
        <v>324</v>
      </c>
      <c r="I84" s="28">
        <v>43252.0</v>
      </c>
      <c r="J84" s="29"/>
      <c r="K84" s="30">
        <v>44348.0</v>
      </c>
      <c r="L84" s="31">
        <v>1.0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26" t="s">
        <v>325</v>
      </c>
      <c r="B85" s="27" t="s">
        <v>326</v>
      </c>
      <c r="C85" s="27" t="s">
        <v>327</v>
      </c>
      <c r="D85" s="27" t="s">
        <v>20</v>
      </c>
      <c r="E85" s="27" t="s">
        <v>21</v>
      </c>
      <c r="F85" s="27" t="s">
        <v>45</v>
      </c>
      <c r="G85" s="27" t="s">
        <v>36</v>
      </c>
      <c r="H85" s="27" t="s">
        <v>328</v>
      </c>
      <c r="I85" s="28">
        <v>42887.0</v>
      </c>
      <c r="J85" s="29"/>
      <c r="K85" s="30">
        <v>44348.0</v>
      </c>
      <c r="L85" s="31">
        <v>1.0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33" t="s">
        <v>329</v>
      </c>
      <c r="B86" s="34" t="s">
        <v>330</v>
      </c>
      <c r="C86" s="34" t="s">
        <v>170</v>
      </c>
      <c r="D86" s="34" t="s">
        <v>89</v>
      </c>
      <c r="E86" s="34" t="s">
        <v>21</v>
      </c>
      <c r="F86" s="34" t="s">
        <v>90</v>
      </c>
      <c r="G86" s="34" t="s">
        <v>23</v>
      </c>
      <c r="H86" s="34" t="s">
        <v>331</v>
      </c>
      <c r="I86" s="30">
        <v>43252.0</v>
      </c>
      <c r="J86" s="36"/>
      <c r="K86" s="30">
        <v>44348.0</v>
      </c>
      <c r="L86" s="31">
        <v>1.0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26" t="s">
        <v>332</v>
      </c>
      <c r="B87" s="27" t="s">
        <v>333</v>
      </c>
      <c r="C87" s="32"/>
      <c r="D87" s="27" t="s">
        <v>27</v>
      </c>
      <c r="E87" s="27" t="s">
        <v>334</v>
      </c>
      <c r="F87" s="27" t="s">
        <v>29</v>
      </c>
      <c r="G87" s="27" t="s">
        <v>335</v>
      </c>
      <c r="H87" s="27" t="s">
        <v>29</v>
      </c>
      <c r="I87" s="28">
        <v>42401.0</v>
      </c>
      <c r="J87" s="29"/>
      <c r="K87" s="30">
        <v>44713.0</v>
      </c>
      <c r="L87" s="31">
        <v>1.0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26" t="s">
        <v>336</v>
      </c>
      <c r="B88" s="27" t="s">
        <v>337</v>
      </c>
      <c r="C88" s="27" t="s">
        <v>338</v>
      </c>
      <c r="D88" s="27" t="s">
        <v>222</v>
      </c>
      <c r="E88" s="27" t="s">
        <v>21</v>
      </c>
      <c r="F88" s="27" t="s">
        <v>79</v>
      </c>
      <c r="G88" s="27" t="s">
        <v>46</v>
      </c>
      <c r="H88" s="27" t="s">
        <v>339</v>
      </c>
      <c r="I88" s="28">
        <v>43252.0</v>
      </c>
      <c r="J88" s="29"/>
      <c r="K88" s="30">
        <v>44348.0</v>
      </c>
      <c r="L88" s="31">
        <v>1.0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26" t="s">
        <v>340</v>
      </c>
      <c r="B89" s="27" t="s">
        <v>341</v>
      </c>
      <c r="C89" s="27" t="s">
        <v>342</v>
      </c>
      <c r="D89" s="27" t="s">
        <v>343</v>
      </c>
      <c r="E89" s="27" t="s">
        <v>21</v>
      </c>
      <c r="F89" s="27" t="s">
        <v>90</v>
      </c>
      <c r="G89" s="27" t="s">
        <v>36</v>
      </c>
      <c r="H89" s="27" t="s">
        <v>344</v>
      </c>
      <c r="I89" s="28">
        <v>42887.0</v>
      </c>
      <c r="J89" s="29"/>
      <c r="K89" s="30">
        <v>43983.0</v>
      </c>
      <c r="L89" s="31">
        <v>1.0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26" t="s">
        <v>345</v>
      </c>
      <c r="B90" s="27" t="s">
        <v>346</v>
      </c>
      <c r="C90" s="27" t="s">
        <v>347</v>
      </c>
      <c r="D90" s="27" t="s">
        <v>348</v>
      </c>
      <c r="E90" s="27" t="s">
        <v>21</v>
      </c>
      <c r="F90" s="27" t="s">
        <v>349</v>
      </c>
      <c r="G90" s="27" t="s">
        <v>36</v>
      </c>
      <c r="H90" s="27" t="s">
        <v>149</v>
      </c>
      <c r="I90" s="28">
        <v>42522.0</v>
      </c>
      <c r="J90" s="29"/>
      <c r="K90" s="30">
        <v>44713.0</v>
      </c>
      <c r="L90" s="31">
        <v>1.0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26" t="s">
        <v>350</v>
      </c>
      <c r="B91" s="27" t="s">
        <v>351</v>
      </c>
      <c r="C91" s="27" t="s">
        <v>352</v>
      </c>
      <c r="D91" s="27" t="s">
        <v>118</v>
      </c>
      <c r="E91" s="27" t="s">
        <v>21</v>
      </c>
      <c r="F91" s="27" t="s">
        <v>35</v>
      </c>
      <c r="G91" s="27" t="s">
        <v>36</v>
      </c>
      <c r="H91" s="27" t="s">
        <v>171</v>
      </c>
      <c r="I91" s="28">
        <v>43617.0</v>
      </c>
      <c r="J91" s="29"/>
      <c r="K91" s="30">
        <v>44713.0</v>
      </c>
      <c r="L91" s="31">
        <v>1.0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26" t="s">
        <v>350</v>
      </c>
      <c r="B92" s="27" t="s">
        <v>353</v>
      </c>
      <c r="C92" s="27" t="s">
        <v>354</v>
      </c>
      <c r="D92" s="27" t="s">
        <v>118</v>
      </c>
      <c r="E92" s="27" t="s">
        <v>21</v>
      </c>
      <c r="F92" s="27" t="s">
        <v>56</v>
      </c>
      <c r="G92" s="27" t="s">
        <v>23</v>
      </c>
      <c r="H92" s="27" t="s">
        <v>171</v>
      </c>
      <c r="I92" s="28">
        <v>43617.0</v>
      </c>
      <c r="J92" s="29"/>
      <c r="K92" s="30">
        <v>44713.0</v>
      </c>
      <c r="L92" s="31">
        <v>1.0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26" t="s">
        <v>355</v>
      </c>
      <c r="B93" s="27" t="s">
        <v>154</v>
      </c>
      <c r="C93" s="27" t="s">
        <v>356</v>
      </c>
      <c r="D93" s="27" t="s">
        <v>282</v>
      </c>
      <c r="E93" s="27" t="s">
        <v>21</v>
      </c>
      <c r="F93" s="27" t="s">
        <v>90</v>
      </c>
      <c r="G93" s="27" t="s">
        <v>36</v>
      </c>
      <c r="H93" s="27" t="s">
        <v>255</v>
      </c>
      <c r="I93" s="28">
        <v>42887.0</v>
      </c>
      <c r="J93" s="29"/>
      <c r="K93" s="30">
        <v>43983.0</v>
      </c>
      <c r="L93" s="31">
        <v>1.0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26" t="s">
        <v>357</v>
      </c>
      <c r="B94" s="27" t="s">
        <v>358</v>
      </c>
      <c r="C94" s="27" t="s">
        <v>359</v>
      </c>
      <c r="D94" s="27" t="s">
        <v>143</v>
      </c>
      <c r="E94" s="27" t="s">
        <v>21</v>
      </c>
      <c r="F94" s="27" t="s">
        <v>360</v>
      </c>
      <c r="G94" s="27" t="s">
        <v>23</v>
      </c>
      <c r="H94" s="27" t="s">
        <v>126</v>
      </c>
      <c r="I94" s="28">
        <v>43617.0</v>
      </c>
      <c r="J94" s="29"/>
      <c r="K94" s="30">
        <v>44713.0</v>
      </c>
      <c r="L94" s="31">
        <v>1.0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26" t="s">
        <v>361</v>
      </c>
      <c r="B95" s="27" t="s">
        <v>362</v>
      </c>
      <c r="C95" s="27" t="s">
        <v>363</v>
      </c>
      <c r="D95" s="27" t="s">
        <v>143</v>
      </c>
      <c r="E95" s="27" t="s">
        <v>21</v>
      </c>
      <c r="F95" s="27" t="s">
        <v>364</v>
      </c>
      <c r="G95" s="27" t="s">
        <v>36</v>
      </c>
      <c r="H95" s="27" t="s">
        <v>251</v>
      </c>
      <c r="I95" s="28">
        <v>43617.0</v>
      </c>
      <c r="J95" s="29"/>
      <c r="K95" s="30">
        <v>44713.0</v>
      </c>
      <c r="L95" s="31">
        <v>1.0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26" t="s">
        <v>365</v>
      </c>
      <c r="B96" s="27" t="s">
        <v>366</v>
      </c>
      <c r="C96" s="32"/>
      <c r="D96" s="27" t="s">
        <v>27</v>
      </c>
      <c r="E96" s="27" t="s">
        <v>27</v>
      </c>
      <c r="F96" s="27" t="s">
        <v>367</v>
      </c>
      <c r="G96" s="27" t="s">
        <v>23</v>
      </c>
      <c r="H96" s="27" t="s">
        <v>287</v>
      </c>
      <c r="I96" s="28">
        <v>42887.0</v>
      </c>
      <c r="J96" s="29"/>
      <c r="K96" s="30">
        <v>43983.0</v>
      </c>
      <c r="L96" s="31">
        <v>1.0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26" t="s">
        <v>368</v>
      </c>
      <c r="B97" s="27" t="s">
        <v>369</v>
      </c>
      <c r="C97" s="32"/>
      <c r="D97" s="27" t="s">
        <v>224</v>
      </c>
      <c r="E97" s="27" t="s">
        <v>21</v>
      </c>
      <c r="F97" s="27" t="s">
        <v>370</v>
      </c>
      <c r="G97" s="27" t="s">
        <v>156</v>
      </c>
      <c r="H97" s="27" t="s">
        <v>370</v>
      </c>
      <c r="I97" s="28">
        <v>43132.0</v>
      </c>
      <c r="J97" s="28">
        <v>44348.0</v>
      </c>
      <c r="K97" s="30">
        <v>45444.0</v>
      </c>
      <c r="L97" s="31">
        <v>2.0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26" t="s">
        <v>371</v>
      </c>
      <c r="B98" s="27" t="s">
        <v>372</v>
      </c>
      <c r="C98" s="32"/>
      <c r="D98" s="27" t="s">
        <v>27</v>
      </c>
      <c r="E98" s="27" t="s">
        <v>113</v>
      </c>
      <c r="F98" s="27" t="s">
        <v>29</v>
      </c>
      <c r="G98" s="27" t="s">
        <v>373</v>
      </c>
      <c r="H98" s="27" t="s">
        <v>29</v>
      </c>
      <c r="I98" s="28">
        <v>42401.0</v>
      </c>
      <c r="J98" s="29"/>
      <c r="K98" s="30">
        <v>44713.0</v>
      </c>
      <c r="L98" s="31">
        <v>1.0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26" t="s">
        <v>374</v>
      </c>
      <c r="B99" s="27" t="s">
        <v>375</v>
      </c>
      <c r="C99" s="32"/>
      <c r="D99" s="27" t="s">
        <v>27</v>
      </c>
      <c r="E99" s="27" t="s">
        <v>376</v>
      </c>
      <c r="F99" s="27" t="s">
        <v>29</v>
      </c>
      <c r="G99" s="27" t="s">
        <v>163</v>
      </c>
      <c r="H99" s="27" t="s">
        <v>29</v>
      </c>
      <c r="I99" s="28">
        <v>42401.0</v>
      </c>
      <c r="J99" s="29"/>
      <c r="K99" s="30">
        <v>44713.0</v>
      </c>
      <c r="L99" s="31">
        <v>1.0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26" t="s">
        <v>377</v>
      </c>
      <c r="B100" s="27" t="s">
        <v>378</v>
      </c>
      <c r="C100" s="27" t="s">
        <v>379</v>
      </c>
      <c r="D100" s="27" t="s">
        <v>94</v>
      </c>
      <c r="E100" s="27" t="s">
        <v>21</v>
      </c>
      <c r="F100" s="27" t="s">
        <v>380</v>
      </c>
      <c r="G100" s="32"/>
      <c r="H100" s="27" t="s">
        <v>24</v>
      </c>
      <c r="I100" s="28">
        <v>36892.0</v>
      </c>
      <c r="J100" s="29"/>
      <c r="K100" s="30">
        <v>45809.0</v>
      </c>
      <c r="L100" s="31">
        <v>1.0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26" t="s">
        <v>381</v>
      </c>
      <c r="B101" s="27" t="s">
        <v>197</v>
      </c>
      <c r="C101" s="27" t="s">
        <v>382</v>
      </c>
      <c r="D101" s="27" t="s">
        <v>94</v>
      </c>
      <c r="E101" s="27" t="s">
        <v>21</v>
      </c>
      <c r="F101" s="27" t="s">
        <v>383</v>
      </c>
      <c r="G101" s="27" t="s">
        <v>23</v>
      </c>
      <c r="H101" s="27" t="s">
        <v>37</v>
      </c>
      <c r="I101" s="28">
        <v>43617.0</v>
      </c>
      <c r="J101" s="29"/>
      <c r="K101" s="30">
        <v>44713.0</v>
      </c>
      <c r="L101" s="31">
        <v>1.0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26" t="s">
        <v>384</v>
      </c>
      <c r="B102" s="27" t="s">
        <v>272</v>
      </c>
      <c r="C102" s="27" t="s">
        <v>385</v>
      </c>
      <c r="D102" s="27" t="s">
        <v>130</v>
      </c>
      <c r="E102" s="27" t="s">
        <v>21</v>
      </c>
      <c r="F102" s="27" t="s">
        <v>79</v>
      </c>
      <c r="G102" s="27" t="s">
        <v>46</v>
      </c>
      <c r="H102" s="27" t="s">
        <v>72</v>
      </c>
      <c r="I102" s="28">
        <v>43252.0</v>
      </c>
      <c r="J102" s="29"/>
      <c r="K102" s="30">
        <v>44348.0</v>
      </c>
      <c r="L102" s="31">
        <v>1.0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26" t="s">
        <v>386</v>
      </c>
      <c r="B103" s="27" t="s">
        <v>387</v>
      </c>
      <c r="C103" s="27" t="s">
        <v>388</v>
      </c>
      <c r="D103" s="27" t="s">
        <v>389</v>
      </c>
      <c r="E103" s="27" t="s">
        <v>21</v>
      </c>
      <c r="F103" s="27" t="s">
        <v>35</v>
      </c>
      <c r="G103" s="27" t="s">
        <v>36</v>
      </c>
      <c r="H103" s="27" t="s">
        <v>152</v>
      </c>
      <c r="I103" s="28">
        <v>43617.0</v>
      </c>
      <c r="J103" s="29"/>
      <c r="K103" s="30">
        <v>44713.0</v>
      </c>
      <c r="L103" s="31">
        <v>1.0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26" t="s">
        <v>386</v>
      </c>
      <c r="B104" s="27" t="s">
        <v>321</v>
      </c>
      <c r="C104" s="27" t="s">
        <v>302</v>
      </c>
      <c r="D104" s="27" t="s">
        <v>130</v>
      </c>
      <c r="E104" s="27" t="s">
        <v>21</v>
      </c>
      <c r="F104" s="27" t="s">
        <v>35</v>
      </c>
      <c r="G104" s="27" t="s">
        <v>36</v>
      </c>
      <c r="H104" s="27" t="s">
        <v>152</v>
      </c>
      <c r="I104" s="28">
        <v>43617.0</v>
      </c>
      <c r="J104" s="29"/>
      <c r="K104" s="30">
        <v>44713.0</v>
      </c>
      <c r="L104" s="31">
        <v>1.0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26" t="s">
        <v>390</v>
      </c>
      <c r="B105" s="27" t="s">
        <v>391</v>
      </c>
      <c r="C105" s="32"/>
      <c r="D105" s="27" t="s">
        <v>27</v>
      </c>
      <c r="E105" s="27" t="s">
        <v>39</v>
      </c>
      <c r="F105" s="27" t="s">
        <v>40</v>
      </c>
      <c r="G105" s="27" t="s">
        <v>392</v>
      </c>
      <c r="H105" s="27" t="s">
        <v>40</v>
      </c>
      <c r="I105" s="28">
        <v>42401.0</v>
      </c>
      <c r="J105" s="29"/>
      <c r="K105" s="30">
        <v>44713.0</v>
      </c>
      <c r="L105" s="31">
        <v>1.0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26" t="s">
        <v>393</v>
      </c>
      <c r="B106" s="27" t="s">
        <v>394</v>
      </c>
      <c r="C106" s="27" t="s">
        <v>182</v>
      </c>
      <c r="D106" s="27" t="s">
        <v>183</v>
      </c>
      <c r="E106" s="27" t="s">
        <v>21</v>
      </c>
      <c r="F106" s="27" t="s">
        <v>79</v>
      </c>
      <c r="G106" s="27" t="s">
        <v>46</v>
      </c>
      <c r="H106" s="27" t="s">
        <v>184</v>
      </c>
      <c r="I106" s="28">
        <v>42887.0</v>
      </c>
      <c r="J106" s="29"/>
      <c r="K106" s="30">
        <v>43983.0</v>
      </c>
      <c r="L106" s="31">
        <v>1.0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26" t="s">
        <v>395</v>
      </c>
      <c r="B107" s="27" t="s">
        <v>260</v>
      </c>
      <c r="C107" s="27" t="s">
        <v>396</v>
      </c>
      <c r="D107" s="27" t="s">
        <v>44</v>
      </c>
      <c r="E107" s="27" t="s">
        <v>21</v>
      </c>
      <c r="F107" s="27" t="s">
        <v>360</v>
      </c>
      <c r="G107" s="27" t="s">
        <v>46</v>
      </c>
      <c r="H107" s="27" t="s">
        <v>397</v>
      </c>
      <c r="I107" s="28">
        <v>43617.0</v>
      </c>
      <c r="J107" s="29"/>
      <c r="K107" s="30">
        <v>44713.0</v>
      </c>
      <c r="L107" s="31">
        <v>1.0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26" t="s">
        <v>398</v>
      </c>
      <c r="B108" s="27" t="s">
        <v>266</v>
      </c>
      <c r="C108" s="32"/>
      <c r="D108" s="27" t="s">
        <v>27</v>
      </c>
      <c r="E108" s="27" t="s">
        <v>39</v>
      </c>
      <c r="F108" s="27" t="s">
        <v>40</v>
      </c>
      <c r="G108" s="27" t="s">
        <v>399</v>
      </c>
      <c r="H108" s="27" t="s">
        <v>287</v>
      </c>
      <c r="I108" s="28">
        <v>42887.0</v>
      </c>
      <c r="J108" s="29"/>
      <c r="K108" s="30">
        <v>43983.0</v>
      </c>
      <c r="L108" s="31">
        <v>1.0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26" t="s">
        <v>400</v>
      </c>
      <c r="B109" s="27" t="s">
        <v>346</v>
      </c>
      <c r="C109" s="27" t="s">
        <v>401</v>
      </c>
      <c r="D109" s="27" t="s">
        <v>44</v>
      </c>
      <c r="E109" s="27" t="s">
        <v>21</v>
      </c>
      <c r="F109" s="27" t="s">
        <v>90</v>
      </c>
      <c r="G109" s="27" t="s">
        <v>23</v>
      </c>
      <c r="H109" s="27" t="s">
        <v>100</v>
      </c>
      <c r="I109" s="28">
        <v>42887.0</v>
      </c>
      <c r="J109" s="29"/>
      <c r="K109" s="30">
        <v>43983.0</v>
      </c>
      <c r="L109" s="31">
        <v>1.0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26" t="s">
        <v>402</v>
      </c>
      <c r="B110" s="27" t="s">
        <v>150</v>
      </c>
      <c r="C110" s="27" t="s">
        <v>403</v>
      </c>
      <c r="D110" s="27" t="s">
        <v>222</v>
      </c>
      <c r="E110" s="27" t="s">
        <v>21</v>
      </c>
      <c r="F110" s="27" t="s">
        <v>90</v>
      </c>
      <c r="G110" s="27" t="s">
        <v>46</v>
      </c>
      <c r="H110" s="27" t="s">
        <v>295</v>
      </c>
      <c r="I110" s="28">
        <v>43252.0</v>
      </c>
      <c r="J110" s="29"/>
      <c r="K110" s="30">
        <v>44348.0</v>
      </c>
      <c r="L110" s="31">
        <v>1.0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26" t="s">
        <v>404</v>
      </c>
      <c r="B111" s="27" t="s">
        <v>246</v>
      </c>
      <c r="C111" s="27" t="s">
        <v>405</v>
      </c>
      <c r="D111" s="27" t="s">
        <v>130</v>
      </c>
      <c r="E111" s="27" t="s">
        <v>21</v>
      </c>
      <c r="F111" s="27" t="s">
        <v>95</v>
      </c>
      <c r="G111" s="27" t="s">
        <v>23</v>
      </c>
      <c r="H111" s="27" t="s">
        <v>207</v>
      </c>
      <c r="I111" s="28">
        <v>42887.0</v>
      </c>
      <c r="J111" s="29"/>
      <c r="K111" s="30">
        <v>43983.0</v>
      </c>
      <c r="L111" s="31">
        <v>1.0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26" t="s">
        <v>406</v>
      </c>
      <c r="B112" s="27" t="s">
        <v>220</v>
      </c>
      <c r="C112" s="27" t="s">
        <v>407</v>
      </c>
      <c r="D112" s="27" t="s">
        <v>317</v>
      </c>
      <c r="E112" s="27" t="s">
        <v>21</v>
      </c>
      <c r="F112" s="27" t="s">
        <v>71</v>
      </c>
      <c r="G112" s="27" t="s">
        <v>46</v>
      </c>
      <c r="H112" s="27" t="s">
        <v>119</v>
      </c>
      <c r="I112" s="28">
        <v>43617.0</v>
      </c>
      <c r="J112" s="29"/>
      <c r="K112" s="30">
        <v>44713.0</v>
      </c>
      <c r="L112" s="31">
        <v>1.0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26" t="s">
        <v>190</v>
      </c>
      <c r="B113" s="27" t="s">
        <v>120</v>
      </c>
      <c r="C113" s="32"/>
      <c r="D113" s="27" t="s">
        <v>27</v>
      </c>
      <c r="E113" s="27" t="s">
        <v>21</v>
      </c>
      <c r="F113" s="27" t="s">
        <v>408</v>
      </c>
      <c r="G113" s="27" t="s">
        <v>409</v>
      </c>
      <c r="H113" s="27" t="s">
        <v>408</v>
      </c>
      <c r="I113" s="28">
        <v>42772.0</v>
      </c>
      <c r="J113" s="28">
        <v>43983.0</v>
      </c>
      <c r="K113" s="30">
        <v>45078.0</v>
      </c>
      <c r="L113" s="31">
        <v>2.0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33" t="s">
        <v>410</v>
      </c>
      <c r="B114" s="34" t="s">
        <v>411</v>
      </c>
      <c r="C114" s="34" t="s">
        <v>302</v>
      </c>
      <c r="D114" s="34" t="s">
        <v>130</v>
      </c>
      <c r="E114" s="34" t="s">
        <v>21</v>
      </c>
      <c r="F114" s="34" t="s">
        <v>109</v>
      </c>
      <c r="G114" s="34" t="s">
        <v>46</v>
      </c>
      <c r="H114" s="34" t="s">
        <v>152</v>
      </c>
      <c r="I114" s="30">
        <v>43617.0</v>
      </c>
      <c r="J114" s="36"/>
      <c r="K114" s="30">
        <v>44713.0</v>
      </c>
      <c r="L114" s="31">
        <v>1.0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26" t="s">
        <v>412</v>
      </c>
      <c r="B115" s="27" t="s">
        <v>413</v>
      </c>
      <c r="C115" s="27" t="s">
        <v>414</v>
      </c>
      <c r="D115" s="27" t="s">
        <v>130</v>
      </c>
      <c r="E115" s="27" t="s">
        <v>21</v>
      </c>
      <c r="F115" s="27" t="s">
        <v>109</v>
      </c>
      <c r="G115" s="27" t="s">
        <v>23</v>
      </c>
      <c r="H115" s="27" t="s">
        <v>152</v>
      </c>
      <c r="I115" s="28">
        <v>43617.0</v>
      </c>
      <c r="J115" s="29"/>
      <c r="K115" s="30">
        <v>44713.0</v>
      </c>
      <c r="L115" s="31">
        <v>1.0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26" t="s">
        <v>415</v>
      </c>
      <c r="B116" s="27" t="s">
        <v>416</v>
      </c>
      <c r="C116" s="27" t="s">
        <v>70</v>
      </c>
      <c r="D116" s="27" t="s">
        <v>27</v>
      </c>
      <c r="E116" s="27" t="s">
        <v>70</v>
      </c>
      <c r="F116" s="27" t="s">
        <v>370</v>
      </c>
      <c r="G116" s="27" t="s">
        <v>417</v>
      </c>
      <c r="H116" s="27" t="s">
        <v>24</v>
      </c>
      <c r="I116" s="28">
        <v>43132.0</v>
      </c>
      <c r="J116" s="28">
        <v>44348.0</v>
      </c>
      <c r="K116" s="30">
        <v>45809.0</v>
      </c>
      <c r="L116" s="31">
        <v>2.0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26" t="s">
        <v>418</v>
      </c>
      <c r="B117" s="27" t="s">
        <v>18</v>
      </c>
      <c r="C117" s="27" t="s">
        <v>419</v>
      </c>
      <c r="D117" s="27" t="s">
        <v>420</v>
      </c>
      <c r="E117" s="27" t="s">
        <v>21</v>
      </c>
      <c r="F117" s="27" t="s">
        <v>421</v>
      </c>
      <c r="G117" s="27" t="s">
        <v>36</v>
      </c>
      <c r="H117" s="27" t="s">
        <v>324</v>
      </c>
      <c r="I117" s="28">
        <v>41791.0</v>
      </c>
      <c r="J117" s="29"/>
      <c r="K117" s="30">
        <v>44348.0</v>
      </c>
      <c r="L117" s="31">
        <v>1.0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26" t="s">
        <v>422</v>
      </c>
      <c r="B118" s="27" t="s">
        <v>423</v>
      </c>
      <c r="C118" s="27" t="s">
        <v>424</v>
      </c>
      <c r="D118" s="27" t="s">
        <v>108</v>
      </c>
      <c r="E118" s="27" t="s">
        <v>21</v>
      </c>
      <c r="F118" s="27" t="s">
        <v>90</v>
      </c>
      <c r="G118" s="27" t="s">
        <v>36</v>
      </c>
      <c r="H118" s="27" t="s">
        <v>425</v>
      </c>
      <c r="I118" s="28">
        <v>43252.0</v>
      </c>
      <c r="J118" s="29"/>
      <c r="K118" s="30">
        <v>44348.0</v>
      </c>
      <c r="L118" s="31">
        <v>1.0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33" t="s">
        <v>426</v>
      </c>
      <c r="B119" s="34" t="s">
        <v>197</v>
      </c>
      <c r="C119" s="34" t="s">
        <v>427</v>
      </c>
      <c r="D119" s="27" t="s">
        <v>428</v>
      </c>
      <c r="E119" s="27" t="s">
        <v>21</v>
      </c>
      <c r="F119" s="27" t="s">
        <v>90</v>
      </c>
      <c r="G119" s="27" t="s">
        <v>23</v>
      </c>
      <c r="H119" s="27" t="s">
        <v>258</v>
      </c>
      <c r="I119" s="28">
        <v>42887.0</v>
      </c>
      <c r="J119" s="29"/>
      <c r="K119" s="30">
        <v>43983.0</v>
      </c>
      <c r="L119" s="31">
        <v>1.0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26" t="s">
        <v>429</v>
      </c>
      <c r="B120" s="27" t="s">
        <v>32</v>
      </c>
      <c r="C120" s="32"/>
      <c r="D120" s="27" t="s">
        <v>224</v>
      </c>
      <c r="E120" s="27" t="s">
        <v>21</v>
      </c>
      <c r="F120" s="27" t="s">
        <v>408</v>
      </c>
      <c r="G120" s="27" t="s">
        <v>261</v>
      </c>
      <c r="H120" s="27" t="s">
        <v>408</v>
      </c>
      <c r="I120" s="28">
        <v>42772.0</v>
      </c>
      <c r="J120" s="28">
        <v>43983.0</v>
      </c>
      <c r="K120" s="30">
        <v>45078.0</v>
      </c>
      <c r="L120" s="31">
        <v>2.0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26" t="s">
        <v>430</v>
      </c>
      <c r="B121" s="27" t="s">
        <v>431</v>
      </c>
      <c r="C121" s="32"/>
      <c r="D121" s="27" t="s">
        <v>27</v>
      </c>
      <c r="E121" s="27" t="s">
        <v>27</v>
      </c>
      <c r="F121" s="27" t="s">
        <v>103</v>
      </c>
      <c r="G121" s="27" t="s">
        <v>432</v>
      </c>
      <c r="H121" s="27" t="s">
        <v>103</v>
      </c>
      <c r="I121" s="28">
        <v>42401.0</v>
      </c>
      <c r="J121" s="29"/>
      <c r="K121" s="30">
        <v>44713.0</v>
      </c>
      <c r="L121" s="31">
        <v>1.0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26" t="s">
        <v>433</v>
      </c>
      <c r="B122" s="27" t="s">
        <v>190</v>
      </c>
      <c r="C122" s="27" t="s">
        <v>243</v>
      </c>
      <c r="D122" s="27" t="s">
        <v>78</v>
      </c>
      <c r="E122" s="27" t="s">
        <v>21</v>
      </c>
      <c r="F122" s="27" t="s">
        <v>109</v>
      </c>
      <c r="G122" s="27" t="s">
        <v>23</v>
      </c>
      <c r="H122" s="27" t="s">
        <v>434</v>
      </c>
      <c r="I122" s="28">
        <v>43617.0</v>
      </c>
      <c r="J122" s="29"/>
      <c r="K122" s="30">
        <v>44713.0</v>
      </c>
      <c r="L122" s="31">
        <v>1.0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26" t="s">
        <v>433</v>
      </c>
      <c r="B123" s="27" t="s">
        <v>435</v>
      </c>
      <c r="C123" s="32"/>
      <c r="D123" s="27" t="s">
        <v>27</v>
      </c>
      <c r="E123" s="27" t="s">
        <v>27</v>
      </c>
      <c r="F123" s="27" t="s">
        <v>40</v>
      </c>
      <c r="G123" s="27" t="s">
        <v>201</v>
      </c>
      <c r="H123" s="27" t="s">
        <v>40</v>
      </c>
      <c r="I123" s="28">
        <v>43132.0</v>
      </c>
      <c r="J123" s="28">
        <v>44348.0</v>
      </c>
      <c r="K123" s="30">
        <v>45444.0</v>
      </c>
      <c r="L123" s="31">
        <v>2.0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26" t="s">
        <v>433</v>
      </c>
      <c r="B124" s="27" t="s">
        <v>269</v>
      </c>
      <c r="C124" s="32"/>
      <c r="D124" s="27" t="s">
        <v>27</v>
      </c>
      <c r="E124" s="27" t="s">
        <v>39</v>
      </c>
      <c r="F124" s="27" t="s">
        <v>290</v>
      </c>
      <c r="G124" s="27" t="s">
        <v>436</v>
      </c>
      <c r="H124" s="27" t="s">
        <v>287</v>
      </c>
      <c r="I124" s="28">
        <v>42887.0</v>
      </c>
      <c r="J124" s="29"/>
      <c r="K124" s="30">
        <v>43983.0</v>
      </c>
      <c r="L124" s="31">
        <v>1.0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26" t="s">
        <v>437</v>
      </c>
      <c r="B125" s="27" t="s">
        <v>438</v>
      </c>
      <c r="C125" s="27" t="s">
        <v>146</v>
      </c>
      <c r="D125" s="27" t="s">
        <v>94</v>
      </c>
      <c r="E125" s="27" t="s">
        <v>21</v>
      </c>
      <c r="F125" s="27" t="s">
        <v>45</v>
      </c>
      <c r="G125" s="27" t="s">
        <v>23</v>
      </c>
      <c r="H125" s="27" t="s">
        <v>147</v>
      </c>
      <c r="I125" s="28">
        <v>42887.0</v>
      </c>
      <c r="J125" s="29"/>
      <c r="K125" s="30">
        <v>43983.0</v>
      </c>
      <c r="L125" s="31">
        <v>1.0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26" t="s">
        <v>439</v>
      </c>
      <c r="B126" s="27" t="s">
        <v>214</v>
      </c>
      <c r="C126" s="27" t="s">
        <v>440</v>
      </c>
      <c r="D126" s="27" t="s">
        <v>34</v>
      </c>
      <c r="E126" s="27" t="s">
        <v>21</v>
      </c>
      <c r="F126" s="27" t="s">
        <v>441</v>
      </c>
      <c r="G126" s="27" t="s">
        <v>23</v>
      </c>
      <c r="H126" s="27" t="s">
        <v>287</v>
      </c>
      <c r="I126" s="28">
        <v>42887.0</v>
      </c>
      <c r="J126" s="29"/>
      <c r="K126" s="30">
        <v>43983.0</v>
      </c>
      <c r="L126" s="31">
        <v>1.0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26" t="s">
        <v>442</v>
      </c>
      <c r="B127" s="27" t="s">
        <v>443</v>
      </c>
      <c r="C127" s="27" t="s">
        <v>444</v>
      </c>
      <c r="D127" s="27" t="s">
        <v>323</v>
      </c>
      <c r="E127" s="27" t="s">
        <v>21</v>
      </c>
      <c r="F127" s="32"/>
      <c r="G127" s="32"/>
      <c r="H127" s="27" t="s">
        <v>445</v>
      </c>
      <c r="I127" s="28">
        <v>42887.0</v>
      </c>
      <c r="J127" s="28">
        <v>43983.0</v>
      </c>
      <c r="K127" s="30">
        <v>45078.0</v>
      </c>
      <c r="L127" s="31">
        <v>2.0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26" t="s">
        <v>446</v>
      </c>
      <c r="B128" s="27" t="s">
        <v>447</v>
      </c>
      <c r="C128" s="27" t="s">
        <v>448</v>
      </c>
      <c r="D128" s="27" t="s">
        <v>143</v>
      </c>
      <c r="E128" s="27" t="s">
        <v>21</v>
      </c>
      <c r="F128" s="27" t="s">
        <v>367</v>
      </c>
      <c r="G128" s="27" t="s">
        <v>46</v>
      </c>
      <c r="H128" s="27" t="s">
        <v>126</v>
      </c>
      <c r="I128" s="28">
        <v>43617.0</v>
      </c>
      <c r="J128" s="28">
        <v>44713.0</v>
      </c>
      <c r="K128" s="30">
        <v>45809.0</v>
      </c>
      <c r="L128" s="31">
        <v>2.0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26" t="s">
        <v>449</v>
      </c>
      <c r="B129" s="27" t="s">
        <v>450</v>
      </c>
      <c r="C129" s="27" t="s">
        <v>451</v>
      </c>
      <c r="D129" s="27" t="s">
        <v>282</v>
      </c>
      <c r="E129" s="27" t="s">
        <v>21</v>
      </c>
      <c r="F129" s="27" t="s">
        <v>367</v>
      </c>
      <c r="G129" s="27" t="s">
        <v>23</v>
      </c>
      <c r="H129" s="27" t="s">
        <v>149</v>
      </c>
      <c r="I129" s="28">
        <v>42522.0</v>
      </c>
      <c r="J129" s="29"/>
      <c r="K129" s="30">
        <v>44713.0</v>
      </c>
      <c r="L129" s="31">
        <v>1.0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26" t="s">
        <v>452</v>
      </c>
      <c r="B130" s="27" t="s">
        <v>141</v>
      </c>
      <c r="C130" s="27" t="s">
        <v>342</v>
      </c>
      <c r="D130" s="27" t="s">
        <v>343</v>
      </c>
      <c r="E130" s="27" t="s">
        <v>21</v>
      </c>
      <c r="F130" s="27" t="s">
        <v>90</v>
      </c>
      <c r="G130" s="27" t="s">
        <v>36</v>
      </c>
      <c r="H130" s="27" t="s">
        <v>229</v>
      </c>
      <c r="I130" s="28">
        <v>42887.0</v>
      </c>
      <c r="J130" s="29"/>
      <c r="K130" s="30">
        <v>43983.0</v>
      </c>
      <c r="L130" s="31">
        <v>1.0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26" t="s">
        <v>453</v>
      </c>
      <c r="B131" s="27" t="s">
        <v>141</v>
      </c>
      <c r="C131" s="27" t="s">
        <v>454</v>
      </c>
      <c r="D131" s="27" t="s">
        <v>222</v>
      </c>
      <c r="E131" s="27" t="s">
        <v>21</v>
      </c>
      <c r="F131" s="27" t="s">
        <v>314</v>
      </c>
      <c r="G131" s="27" t="s">
        <v>46</v>
      </c>
      <c r="H131" s="27" t="s">
        <v>344</v>
      </c>
      <c r="I131" s="28">
        <v>42887.0</v>
      </c>
      <c r="J131" s="29"/>
      <c r="K131" s="30">
        <v>43983.0</v>
      </c>
      <c r="L131" s="31">
        <v>1.0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26" t="s">
        <v>453</v>
      </c>
      <c r="B132" s="27" t="s">
        <v>150</v>
      </c>
      <c r="C132" s="27" t="s">
        <v>338</v>
      </c>
      <c r="D132" s="27" t="s">
        <v>222</v>
      </c>
      <c r="E132" s="27" t="s">
        <v>21</v>
      </c>
      <c r="F132" s="27" t="s">
        <v>90</v>
      </c>
      <c r="G132" s="27" t="s">
        <v>36</v>
      </c>
      <c r="H132" s="27" t="s">
        <v>339</v>
      </c>
      <c r="I132" s="28">
        <v>43252.0</v>
      </c>
      <c r="J132" s="29"/>
      <c r="K132" s="30">
        <v>44348.0</v>
      </c>
      <c r="L132" s="31">
        <v>1.0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26" t="s">
        <v>455</v>
      </c>
      <c r="B133" s="27" t="s">
        <v>456</v>
      </c>
      <c r="C133" s="27" t="s">
        <v>457</v>
      </c>
      <c r="D133" s="27" t="s">
        <v>458</v>
      </c>
      <c r="E133" s="27" t="s">
        <v>21</v>
      </c>
      <c r="F133" s="27" t="s">
        <v>90</v>
      </c>
      <c r="G133" s="27" t="s">
        <v>36</v>
      </c>
      <c r="H133" s="27" t="s">
        <v>258</v>
      </c>
      <c r="I133" s="28">
        <v>42887.0</v>
      </c>
      <c r="J133" s="29"/>
      <c r="K133" s="30">
        <v>43983.0</v>
      </c>
      <c r="L133" s="31">
        <v>1.0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26" t="s">
        <v>459</v>
      </c>
      <c r="B134" s="27" t="s">
        <v>220</v>
      </c>
      <c r="C134" s="27" t="s">
        <v>460</v>
      </c>
      <c r="D134" s="27" t="s">
        <v>44</v>
      </c>
      <c r="E134" s="27" t="s">
        <v>21</v>
      </c>
      <c r="F134" s="27" t="s">
        <v>90</v>
      </c>
      <c r="G134" s="27" t="s">
        <v>23</v>
      </c>
      <c r="H134" s="27" t="s">
        <v>47</v>
      </c>
      <c r="I134" s="28">
        <v>43252.0</v>
      </c>
      <c r="J134" s="29"/>
      <c r="K134" s="30">
        <v>44348.0</v>
      </c>
      <c r="L134" s="31">
        <v>1.0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33" t="s">
        <v>461</v>
      </c>
      <c r="B135" s="34" t="s">
        <v>462</v>
      </c>
      <c r="C135" s="35"/>
      <c r="D135" s="34" t="s">
        <v>27</v>
      </c>
      <c r="E135" s="34" t="s">
        <v>27</v>
      </c>
      <c r="F135" s="27" t="s">
        <v>103</v>
      </c>
      <c r="G135" s="27" t="s">
        <v>261</v>
      </c>
      <c r="H135" s="34" t="s">
        <v>103</v>
      </c>
      <c r="I135" s="30">
        <v>42401.0</v>
      </c>
      <c r="J135" s="36"/>
      <c r="K135" s="30">
        <v>44713.0</v>
      </c>
      <c r="L135" s="31">
        <v>1.0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26" t="s">
        <v>463</v>
      </c>
      <c r="B136" s="27" t="s">
        <v>311</v>
      </c>
      <c r="C136" s="27" t="s">
        <v>464</v>
      </c>
      <c r="D136" s="27" t="s">
        <v>89</v>
      </c>
      <c r="E136" s="27" t="s">
        <v>21</v>
      </c>
      <c r="F136" s="27" t="s">
        <v>45</v>
      </c>
      <c r="G136" s="27" t="s">
        <v>23</v>
      </c>
      <c r="H136" s="27" t="s">
        <v>331</v>
      </c>
      <c r="I136" s="28">
        <v>42887.0</v>
      </c>
      <c r="J136" s="29"/>
      <c r="K136" s="30">
        <v>44348.0</v>
      </c>
      <c r="L136" s="31">
        <v>1.0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26" t="s">
        <v>465</v>
      </c>
      <c r="B137" s="27" t="s">
        <v>466</v>
      </c>
      <c r="C137" s="32"/>
      <c r="D137" s="27" t="s">
        <v>27</v>
      </c>
      <c r="E137" s="27" t="s">
        <v>39</v>
      </c>
      <c r="F137" s="27" t="s">
        <v>40</v>
      </c>
      <c r="G137" s="27" t="s">
        <v>467</v>
      </c>
      <c r="H137" s="27" t="s">
        <v>40</v>
      </c>
      <c r="I137" s="28">
        <v>43132.0</v>
      </c>
      <c r="J137" s="28">
        <v>44348.0</v>
      </c>
      <c r="K137" s="30">
        <v>45444.0</v>
      </c>
      <c r="L137" s="31">
        <v>2.0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26" t="s">
        <v>468</v>
      </c>
      <c r="B138" s="27" t="s">
        <v>469</v>
      </c>
      <c r="C138" s="27" t="s">
        <v>470</v>
      </c>
      <c r="D138" s="27" t="s">
        <v>143</v>
      </c>
      <c r="E138" s="27" t="s">
        <v>21</v>
      </c>
      <c r="F138" s="27" t="s">
        <v>471</v>
      </c>
      <c r="G138" s="27" t="s">
        <v>46</v>
      </c>
      <c r="H138" s="27" t="s">
        <v>135</v>
      </c>
      <c r="I138" s="28">
        <v>42887.0</v>
      </c>
      <c r="J138" s="28">
        <v>44348.0</v>
      </c>
      <c r="K138" s="30">
        <v>45444.0</v>
      </c>
      <c r="L138" s="31">
        <v>2.0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26" t="s">
        <v>472</v>
      </c>
      <c r="B139" s="27" t="s">
        <v>473</v>
      </c>
      <c r="C139" s="32"/>
      <c r="D139" s="27" t="s">
        <v>27</v>
      </c>
      <c r="E139" s="27" t="s">
        <v>21</v>
      </c>
      <c r="F139" s="27" t="s">
        <v>290</v>
      </c>
      <c r="G139" s="27" t="s">
        <v>159</v>
      </c>
      <c r="H139" s="27" t="s">
        <v>287</v>
      </c>
      <c r="I139" s="28">
        <v>42887.0</v>
      </c>
      <c r="J139" s="29"/>
      <c r="K139" s="30">
        <v>43983.0</v>
      </c>
      <c r="L139" s="31">
        <v>1.0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26" t="s">
        <v>474</v>
      </c>
      <c r="B140" s="27" t="s">
        <v>475</v>
      </c>
      <c r="C140" s="27" t="s">
        <v>476</v>
      </c>
      <c r="D140" s="27" t="s">
        <v>20</v>
      </c>
      <c r="E140" s="27" t="s">
        <v>21</v>
      </c>
      <c r="F140" s="27" t="s">
        <v>90</v>
      </c>
      <c r="G140" s="27" t="s">
        <v>46</v>
      </c>
      <c r="H140" s="27" t="s">
        <v>85</v>
      </c>
      <c r="I140" s="28">
        <v>42887.0</v>
      </c>
      <c r="J140" s="29"/>
      <c r="K140" s="30">
        <v>43983.0</v>
      </c>
      <c r="L140" s="31">
        <v>1.0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26" t="s">
        <v>477</v>
      </c>
      <c r="B141" s="27" t="s">
        <v>214</v>
      </c>
      <c r="C141" s="27" t="s">
        <v>478</v>
      </c>
      <c r="D141" s="27" t="s">
        <v>34</v>
      </c>
      <c r="E141" s="27" t="s">
        <v>21</v>
      </c>
      <c r="F141" s="27" t="s">
        <v>205</v>
      </c>
      <c r="G141" s="27" t="s">
        <v>36</v>
      </c>
      <c r="H141" s="27" t="s">
        <v>126</v>
      </c>
      <c r="I141" s="28">
        <v>43617.0</v>
      </c>
      <c r="J141" s="28">
        <v>44713.0</v>
      </c>
      <c r="K141" s="30">
        <v>45809.0</v>
      </c>
      <c r="L141" s="31">
        <v>2.0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33" t="s">
        <v>479</v>
      </c>
      <c r="B142" s="34" t="s">
        <v>272</v>
      </c>
      <c r="C142" s="34" t="s">
        <v>480</v>
      </c>
      <c r="D142" s="34" t="s">
        <v>282</v>
      </c>
      <c r="E142" s="34" t="s">
        <v>21</v>
      </c>
      <c r="F142" s="34" t="s">
        <v>481</v>
      </c>
      <c r="G142" s="34" t="s">
        <v>46</v>
      </c>
      <c r="H142" s="34" t="s">
        <v>207</v>
      </c>
      <c r="I142" s="30">
        <v>42887.0</v>
      </c>
      <c r="J142" s="30">
        <v>43983.0</v>
      </c>
      <c r="K142" s="30">
        <v>45078.0</v>
      </c>
      <c r="L142" s="31">
        <v>2.0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26" t="s">
        <v>482</v>
      </c>
      <c r="B143" s="27" t="s">
        <v>483</v>
      </c>
      <c r="C143" s="27" t="s">
        <v>484</v>
      </c>
      <c r="D143" s="27" t="s">
        <v>282</v>
      </c>
      <c r="E143" s="27" t="s">
        <v>21</v>
      </c>
      <c r="F143" s="27" t="s">
        <v>79</v>
      </c>
      <c r="G143" s="27" t="s">
        <v>23</v>
      </c>
      <c r="H143" s="27" t="s">
        <v>135</v>
      </c>
      <c r="I143" s="28">
        <v>43252.0</v>
      </c>
      <c r="J143" s="29"/>
      <c r="K143" s="30">
        <v>44348.0</v>
      </c>
      <c r="L143" s="31">
        <v>1.0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26" t="s">
        <v>485</v>
      </c>
      <c r="B144" s="27" t="s">
        <v>486</v>
      </c>
      <c r="C144" s="32"/>
      <c r="D144" s="27" t="s">
        <v>27</v>
      </c>
      <c r="E144" s="27" t="s">
        <v>487</v>
      </c>
      <c r="F144" s="27" t="s">
        <v>40</v>
      </c>
      <c r="G144" s="27" t="s">
        <v>488</v>
      </c>
      <c r="H144" s="27" t="s">
        <v>40</v>
      </c>
      <c r="I144" s="28">
        <v>42401.0</v>
      </c>
      <c r="J144" s="29"/>
      <c r="K144" s="30">
        <v>44713.0</v>
      </c>
      <c r="L144" s="31">
        <v>1.0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26" t="s">
        <v>485</v>
      </c>
      <c r="B145" s="27" t="s">
        <v>150</v>
      </c>
      <c r="C145" s="27" t="s">
        <v>489</v>
      </c>
      <c r="D145" s="27" t="s">
        <v>224</v>
      </c>
      <c r="E145" s="27" t="s">
        <v>21</v>
      </c>
      <c r="F145" s="27" t="s">
        <v>290</v>
      </c>
      <c r="G145" s="27" t="s">
        <v>201</v>
      </c>
      <c r="H145" s="27" t="s">
        <v>24</v>
      </c>
      <c r="I145" s="28">
        <v>41695.0</v>
      </c>
      <c r="J145" s="29"/>
      <c r="K145" s="30">
        <v>45809.0</v>
      </c>
      <c r="L145" s="31">
        <v>1.0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26" t="s">
        <v>490</v>
      </c>
      <c r="B146" s="27" t="s">
        <v>18</v>
      </c>
      <c r="C146" s="27" t="s">
        <v>491</v>
      </c>
      <c r="D146" s="27" t="s">
        <v>130</v>
      </c>
      <c r="E146" s="27" t="s">
        <v>21</v>
      </c>
      <c r="F146" s="27" t="s">
        <v>56</v>
      </c>
      <c r="G146" s="27" t="s">
        <v>36</v>
      </c>
      <c r="H146" s="27" t="s">
        <v>233</v>
      </c>
      <c r="I146" s="28">
        <v>43617.0</v>
      </c>
      <c r="J146" s="29"/>
      <c r="K146" s="30">
        <v>44713.0</v>
      </c>
      <c r="L146" s="31">
        <v>1.0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26" t="s">
        <v>492</v>
      </c>
      <c r="B147" s="27" t="s">
        <v>493</v>
      </c>
      <c r="C147" s="27" t="s">
        <v>494</v>
      </c>
      <c r="D147" s="27" t="s">
        <v>313</v>
      </c>
      <c r="E147" s="27" t="s">
        <v>21</v>
      </c>
      <c r="F147" s="27" t="s">
        <v>495</v>
      </c>
      <c r="G147" s="27" t="s">
        <v>23</v>
      </c>
      <c r="H147" s="27" t="s">
        <v>126</v>
      </c>
      <c r="I147" s="28">
        <v>43617.0</v>
      </c>
      <c r="J147" s="29"/>
      <c r="K147" s="30">
        <v>44713.0</v>
      </c>
      <c r="L147" s="31">
        <v>1.0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26" t="s">
        <v>496</v>
      </c>
      <c r="B148" s="27" t="s">
        <v>416</v>
      </c>
      <c r="C148" s="32"/>
      <c r="D148" s="27" t="s">
        <v>27</v>
      </c>
      <c r="E148" s="27" t="s">
        <v>70</v>
      </c>
      <c r="F148" s="27" t="s">
        <v>408</v>
      </c>
      <c r="G148" s="27" t="s">
        <v>497</v>
      </c>
      <c r="H148" s="27" t="s">
        <v>408</v>
      </c>
      <c r="I148" s="28">
        <v>42772.0</v>
      </c>
      <c r="J148" s="28">
        <v>43983.0</v>
      </c>
      <c r="K148" s="30">
        <v>45078.0</v>
      </c>
      <c r="L148" s="31">
        <v>2.0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26" t="s">
        <v>496</v>
      </c>
      <c r="B149" s="27" t="s">
        <v>154</v>
      </c>
      <c r="C149" s="27" t="s">
        <v>243</v>
      </c>
      <c r="D149" s="27" t="s">
        <v>78</v>
      </c>
      <c r="E149" s="27" t="s">
        <v>21</v>
      </c>
      <c r="F149" s="27" t="s">
        <v>35</v>
      </c>
      <c r="G149" s="27" t="s">
        <v>36</v>
      </c>
      <c r="H149" s="27" t="s">
        <v>434</v>
      </c>
      <c r="I149" s="28">
        <v>43617.0</v>
      </c>
      <c r="J149" s="29"/>
      <c r="K149" s="30">
        <v>44713.0</v>
      </c>
      <c r="L149" s="31">
        <v>1.0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26" t="s">
        <v>498</v>
      </c>
      <c r="B150" s="27" t="s">
        <v>141</v>
      </c>
      <c r="C150" s="27" t="s">
        <v>499</v>
      </c>
      <c r="D150" s="27" t="s">
        <v>44</v>
      </c>
      <c r="E150" s="27" t="s">
        <v>21</v>
      </c>
      <c r="F150" s="27" t="s">
        <v>79</v>
      </c>
      <c r="G150" s="27" t="s">
        <v>46</v>
      </c>
      <c r="H150" s="27" t="s">
        <v>100</v>
      </c>
      <c r="I150" s="28">
        <v>42887.0</v>
      </c>
      <c r="J150" s="29"/>
      <c r="K150" s="30">
        <v>43983.0</v>
      </c>
      <c r="L150" s="31">
        <v>1.0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26" t="s">
        <v>500</v>
      </c>
      <c r="B151" s="27" t="s">
        <v>501</v>
      </c>
      <c r="C151" s="27" t="s">
        <v>502</v>
      </c>
      <c r="D151" s="27" t="s">
        <v>78</v>
      </c>
      <c r="E151" s="27" t="s">
        <v>21</v>
      </c>
      <c r="F151" s="27" t="s">
        <v>56</v>
      </c>
      <c r="G151" s="27" t="s">
        <v>46</v>
      </c>
      <c r="H151" s="27" t="s">
        <v>434</v>
      </c>
      <c r="I151" s="28">
        <v>43617.0</v>
      </c>
      <c r="J151" s="29"/>
      <c r="K151" s="30">
        <v>44713.0</v>
      </c>
      <c r="L151" s="31">
        <v>1.0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26" t="s">
        <v>500</v>
      </c>
      <c r="B152" s="27" t="s">
        <v>503</v>
      </c>
      <c r="C152" s="27" t="s">
        <v>504</v>
      </c>
      <c r="D152" s="27" t="s">
        <v>222</v>
      </c>
      <c r="E152" s="27" t="s">
        <v>21</v>
      </c>
      <c r="F152" s="27" t="s">
        <v>155</v>
      </c>
      <c r="G152" s="27" t="s">
        <v>46</v>
      </c>
      <c r="H152" s="27" t="s">
        <v>24</v>
      </c>
      <c r="I152" s="28">
        <v>43132.0</v>
      </c>
      <c r="J152" s="28">
        <v>44348.0</v>
      </c>
      <c r="K152" s="30">
        <v>45809.0</v>
      </c>
      <c r="L152" s="31">
        <v>2.0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26" t="s">
        <v>505</v>
      </c>
      <c r="B153" s="27" t="s">
        <v>506</v>
      </c>
      <c r="C153" s="32"/>
      <c r="D153" s="27" t="s">
        <v>27</v>
      </c>
      <c r="E153" s="27" t="s">
        <v>162</v>
      </c>
      <c r="F153" s="27" t="s">
        <v>109</v>
      </c>
      <c r="G153" s="27" t="s">
        <v>23</v>
      </c>
      <c r="H153" s="27" t="s">
        <v>507</v>
      </c>
      <c r="I153" s="28">
        <v>42828.0</v>
      </c>
      <c r="J153" s="28">
        <v>43983.0</v>
      </c>
      <c r="K153" s="30">
        <v>45078.0</v>
      </c>
      <c r="L153" s="31">
        <v>2.0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26" t="s">
        <v>508</v>
      </c>
      <c r="B154" s="27" t="s">
        <v>509</v>
      </c>
      <c r="C154" s="32"/>
      <c r="D154" s="27" t="s">
        <v>224</v>
      </c>
      <c r="E154" s="27" t="s">
        <v>21</v>
      </c>
      <c r="F154" s="27" t="s">
        <v>90</v>
      </c>
      <c r="G154" s="27" t="s">
        <v>23</v>
      </c>
      <c r="H154" s="27" t="s">
        <v>225</v>
      </c>
      <c r="I154" s="28">
        <v>43252.0</v>
      </c>
      <c r="J154" s="29"/>
      <c r="K154" s="30">
        <v>44348.0</v>
      </c>
      <c r="L154" s="31">
        <v>1.0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26" t="s">
        <v>510</v>
      </c>
      <c r="B155" s="27" t="s">
        <v>249</v>
      </c>
      <c r="C155" s="27" t="s">
        <v>511</v>
      </c>
      <c r="D155" s="27" t="s">
        <v>512</v>
      </c>
      <c r="E155" s="27" t="s">
        <v>21</v>
      </c>
      <c r="F155" s="27" t="s">
        <v>109</v>
      </c>
      <c r="G155" s="27" t="s">
        <v>36</v>
      </c>
      <c r="H155" s="27" t="s">
        <v>171</v>
      </c>
      <c r="I155" s="28">
        <v>43617.0</v>
      </c>
      <c r="J155" s="29"/>
      <c r="K155" s="30">
        <v>44713.0</v>
      </c>
      <c r="L155" s="31">
        <v>1.0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26" t="s">
        <v>513</v>
      </c>
      <c r="B156" s="27" t="s">
        <v>214</v>
      </c>
      <c r="C156" s="27" t="s">
        <v>514</v>
      </c>
      <c r="D156" s="27" t="s">
        <v>78</v>
      </c>
      <c r="E156" s="27" t="s">
        <v>21</v>
      </c>
      <c r="F156" s="27" t="s">
        <v>56</v>
      </c>
      <c r="G156" s="27" t="s">
        <v>23</v>
      </c>
      <c r="H156" s="27" t="s">
        <v>434</v>
      </c>
      <c r="I156" s="28">
        <v>43617.0</v>
      </c>
      <c r="J156" s="29"/>
      <c r="K156" s="30">
        <v>44713.0</v>
      </c>
      <c r="L156" s="31">
        <v>1.0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26" t="s">
        <v>515</v>
      </c>
      <c r="B157" s="27" t="s">
        <v>169</v>
      </c>
      <c r="C157" s="32"/>
      <c r="D157" s="32"/>
      <c r="E157" s="27" t="s">
        <v>70</v>
      </c>
      <c r="F157" s="27" t="s">
        <v>174</v>
      </c>
      <c r="G157" s="27" t="s">
        <v>23</v>
      </c>
      <c r="H157" s="27" t="s">
        <v>135</v>
      </c>
      <c r="I157" s="28">
        <v>43252.0</v>
      </c>
      <c r="J157" s="28">
        <v>44348.0</v>
      </c>
      <c r="K157" s="30">
        <v>45444.0</v>
      </c>
      <c r="L157" s="31">
        <v>2.0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33" t="s">
        <v>516</v>
      </c>
      <c r="B158" s="34" t="s">
        <v>517</v>
      </c>
      <c r="C158" s="34" t="s">
        <v>518</v>
      </c>
      <c r="D158" s="34" t="s">
        <v>108</v>
      </c>
      <c r="E158" s="34" t="s">
        <v>21</v>
      </c>
      <c r="F158" s="34" t="s">
        <v>90</v>
      </c>
      <c r="G158" s="34" t="s">
        <v>36</v>
      </c>
      <c r="H158" s="34" t="s">
        <v>258</v>
      </c>
      <c r="I158" s="30">
        <v>42887.0</v>
      </c>
      <c r="J158" s="36"/>
      <c r="K158" s="30">
        <v>43983.0</v>
      </c>
      <c r="L158" s="31">
        <v>1.0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26" t="s">
        <v>516</v>
      </c>
      <c r="B159" s="27" t="s">
        <v>519</v>
      </c>
      <c r="C159" s="27" t="s">
        <v>520</v>
      </c>
      <c r="D159" s="27" t="s">
        <v>313</v>
      </c>
      <c r="E159" s="27" t="s">
        <v>21</v>
      </c>
      <c r="F159" s="27" t="s">
        <v>79</v>
      </c>
      <c r="G159" s="27" t="s">
        <v>46</v>
      </c>
      <c r="H159" s="27" t="s">
        <v>324</v>
      </c>
      <c r="I159" s="28">
        <v>43252.0</v>
      </c>
      <c r="J159" s="29"/>
      <c r="K159" s="30">
        <v>44348.0</v>
      </c>
      <c r="L159" s="31">
        <v>1.0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33" t="s">
        <v>521</v>
      </c>
      <c r="B160" s="34" t="s">
        <v>522</v>
      </c>
      <c r="C160" s="34" t="s">
        <v>523</v>
      </c>
      <c r="D160" s="34" t="s">
        <v>282</v>
      </c>
      <c r="E160" s="34" t="s">
        <v>21</v>
      </c>
      <c r="F160" s="34" t="s">
        <v>380</v>
      </c>
      <c r="G160" s="35"/>
      <c r="H160" s="34" t="s">
        <v>24</v>
      </c>
      <c r="I160" s="30">
        <v>36892.0</v>
      </c>
      <c r="J160" s="36"/>
      <c r="K160" s="30">
        <v>45809.0</v>
      </c>
      <c r="L160" s="31">
        <v>1.0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8.0" customHeight="1">
      <c r="A161" s="26" t="s">
        <v>524</v>
      </c>
      <c r="B161" s="27" t="s">
        <v>525</v>
      </c>
      <c r="C161" s="27" t="s">
        <v>526</v>
      </c>
      <c r="D161" s="27" t="s">
        <v>527</v>
      </c>
      <c r="E161" s="27" t="s">
        <v>21</v>
      </c>
      <c r="F161" s="27" t="s">
        <v>45</v>
      </c>
      <c r="G161" s="27" t="s">
        <v>46</v>
      </c>
      <c r="H161" s="27" t="s">
        <v>184</v>
      </c>
      <c r="I161" s="28">
        <v>42887.0</v>
      </c>
      <c r="J161" s="29"/>
      <c r="K161" s="30">
        <v>43983.0</v>
      </c>
      <c r="L161" s="31">
        <v>1.0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26" t="s">
        <v>528</v>
      </c>
      <c r="B162" s="27" t="s">
        <v>529</v>
      </c>
      <c r="C162" s="27" t="s">
        <v>530</v>
      </c>
      <c r="D162" s="27" t="s">
        <v>27</v>
      </c>
      <c r="E162" s="27" t="s">
        <v>530</v>
      </c>
      <c r="F162" s="27" t="s">
        <v>40</v>
      </c>
      <c r="G162" s="27" t="s">
        <v>531</v>
      </c>
      <c r="H162" s="27" t="s">
        <v>40</v>
      </c>
      <c r="I162" s="28">
        <v>42401.0</v>
      </c>
      <c r="J162" s="29"/>
      <c r="K162" s="30">
        <v>44713.0</v>
      </c>
      <c r="L162" s="31">
        <v>1.0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26" t="s">
        <v>532</v>
      </c>
      <c r="B163" s="27" t="s">
        <v>447</v>
      </c>
      <c r="C163" s="27" t="s">
        <v>533</v>
      </c>
      <c r="D163" s="27" t="s">
        <v>78</v>
      </c>
      <c r="E163" s="27" t="s">
        <v>21</v>
      </c>
      <c r="F163" s="27" t="s">
        <v>90</v>
      </c>
      <c r="G163" s="27" t="s">
        <v>23</v>
      </c>
      <c r="H163" s="27" t="s">
        <v>80</v>
      </c>
      <c r="I163" s="28">
        <v>43252.0</v>
      </c>
      <c r="J163" s="29"/>
      <c r="K163" s="30">
        <v>44348.0</v>
      </c>
      <c r="L163" s="31">
        <v>1.0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26" t="s">
        <v>532</v>
      </c>
      <c r="B164" s="27" t="s">
        <v>534</v>
      </c>
      <c r="C164" s="27" t="s">
        <v>535</v>
      </c>
      <c r="D164" s="27" t="s">
        <v>222</v>
      </c>
      <c r="E164" s="27" t="s">
        <v>21</v>
      </c>
      <c r="F164" s="27" t="s">
        <v>109</v>
      </c>
      <c r="G164" s="27" t="s">
        <v>46</v>
      </c>
      <c r="H164" s="27" t="s">
        <v>233</v>
      </c>
      <c r="I164" s="28">
        <v>43617.0</v>
      </c>
      <c r="J164" s="29"/>
      <c r="K164" s="30">
        <v>44713.0</v>
      </c>
      <c r="L164" s="31">
        <v>1.0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4.25" customHeight="1">
      <c r="A165" s="26" t="s">
        <v>536</v>
      </c>
      <c r="B165" s="27" t="s">
        <v>537</v>
      </c>
      <c r="C165" s="27" t="s">
        <v>538</v>
      </c>
      <c r="D165" s="27" t="s">
        <v>94</v>
      </c>
      <c r="E165" s="27" t="s">
        <v>21</v>
      </c>
      <c r="F165" s="27" t="s">
        <v>539</v>
      </c>
      <c r="G165" s="27" t="s">
        <v>23</v>
      </c>
      <c r="H165" s="27" t="s">
        <v>287</v>
      </c>
      <c r="I165" s="28">
        <v>42887.0</v>
      </c>
      <c r="J165" s="29"/>
      <c r="K165" s="30">
        <v>43983.0</v>
      </c>
      <c r="L165" s="31">
        <v>1.0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26" t="s">
        <v>540</v>
      </c>
      <c r="B166" s="27" t="s">
        <v>18</v>
      </c>
      <c r="C166" s="27" t="s">
        <v>541</v>
      </c>
      <c r="D166" s="27" t="s">
        <v>183</v>
      </c>
      <c r="E166" s="27" t="s">
        <v>21</v>
      </c>
      <c r="F166" s="27" t="s">
        <v>125</v>
      </c>
      <c r="G166" s="27" t="s">
        <v>46</v>
      </c>
      <c r="H166" s="27" t="s">
        <v>126</v>
      </c>
      <c r="I166" s="28">
        <v>43617.0</v>
      </c>
      <c r="J166" s="29"/>
      <c r="K166" s="30">
        <v>44713.0</v>
      </c>
      <c r="L166" s="31">
        <v>1.0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26" t="s">
        <v>540</v>
      </c>
      <c r="B167" s="27" t="s">
        <v>542</v>
      </c>
      <c r="C167" s="27" t="s">
        <v>543</v>
      </c>
      <c r="D167" s="27" t="s">
        <v>108</v>
      </c>
      <c r="E167" s="27" t="s">
        <v>21</v>
      </c>
      <c r="F167" s="27" t="s">
        <v>290</v>
      </c>
      <c r="G167" s="27" t="s">
        <v>544</v>
      </c>
      <c r="H167" s="27" t="s">
        <v>24</v>
      </c>
      <c r="I167" s="28">
        <v>41695.0</v>
      </c>
      <c r="J167" s="29"/>
      <c r="K167" s="30">
        <v>45809.0</v>
      </c>
      <c r="L167" s="31">
        <v>1.0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26" t="s">
        <v>545</v>
      </c>
      <c r="B168" s="27" t="s">
        <v>546</v>
      </c>
      <c r="C168" s="27" t="s">
        <v>547</v>
      </c>
      <c r="D168" s="27" t="s">
        <v>282</v>
      </c>
      <c r="E168" s="27" t="s">
        <v>21</v>
      </c>
      <c r="F168" s="27" t="s">
        <v>109</v>
      </c>
      <c r="G168" s="27" t="s">
        <v>23</v>
      </c>
      <c r="H168" s="27" t="s">
        <v>251</v>
      </c>
      <c r="I168" s="28">
        <v>43617.0</v>
      </c>
      <c r="J168" s="29"/>
      <c r="K168" s="30">
        <v>44713.0</v>
      </c>
      <c r="L168" s="31">
        <v>1.0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26" t="s">
        <v>548</v>
      </c>
      <c r="B169" s="27" t="s">
        <v>120</v>
      </c>
      <c r="C169" s="27" t="s">
        <v>549</v>
      </c>
      <c r="D169" s="27" t="s">
        <v>78</v>
      </c>
      <c r="E169" s="27" t="s">
        <v>21</v>
      </c>
      <c r="F169" s="27" t="s">
        <v>56</v>
      </c>
      <c r="G169" s="27" t="s">
        <v>23</v>
      </c>
      <c r="H169" s="27" t="s">
        <v>434</v>
      </c>
      <c r="I169" s="28">
        <v>43617.0</v>
      </c>
      <c r="J169" s="29"/>
      <c r="K169" s="30">
        <v>44713.0</v>
      </c>
      <c r="L169" s="31">
        <v>1.0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26" t="s">
        <v>550</v>
      </c>
      <c r="B170" s="27" t="s">
        <v>551</v>
      </c>
      <c r="C170" s="27" t="s">
        <v>552</v>
      </c>
      <c r="D170" s="27" t="s">
        <v>78</v>
      </c>
      <c r="E170" s="27" t="s">
        <v>21</v>
      </c>
      <c r="F170" s="27" t="s">
        <v>383</v>
      </c>
      <c r="G170" s="27" t="s">
        <v>23</v>
      </c>
      <c r="H170" s="27" t="s">
        <v>434</v>
      </c>
      <c r="I170" s="28">
        <v>43617.0</v>
      </c>
      <c r="J170" s="29"/>
      <c r="K170" s="30">
        <v>44713.0</v>
      </c>
      <c r="L170" s="31">
        <v>1.0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26" t="s">
        <v>553</v>
      </c>
      <c r="B171" s="27" t="s">
        <v>554</v>
      </c>
      <c r="C171" s="32"/>
      <c r="D171" s="27" t="s">
        <v>27</v>
      </c>
      <c r="E171" s="27" t="s">
        <v>39</v>
      </c>
      <c r="F171" s="27" t="s">
        <v>40</v>
      </c>
      <c r="G171" s="27" t="s">
        <v>104</v>
      </c>
      <c r="H171" s="27" t="s">
        <v>40</v>
      </c>
      <c r="I171" s="28">
        <v>43132.0</v>
      </c>
      <c r="J171" s="28">
        <v>44348.0</v>
      </c>
      <c r="K171" s="30">
        <v>45444.0</v>
      </c>
      <c r="L171" s="31">
        <v>2.0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26" t="s">
        <v>555</v>
      </c>
      <c r="B172" s="27" t="s">
        <v>556</v>
      </c>
      <c r="C172" s="27" t="s">
        <v>557</v>
      </c>
      <c r="D172" s="27" t="s">
        <v>317</v>
      </c>
      <c r="E172" s="27" t="s">
        <v>21</v>
      </c>
      <c r="F172" s="27" t="s">
        <v>558</v>
      </c>
      <c r="G172" s="27" t="s">
        <v>137</v>
      </c>
      <c r="H172" s="27" t="s">
        <v>126</v>
      </c>
      <c r="I172" s="28">
        <v>43617.0</v>
      </c>
      <c r="J172" s="28">
        <v>44713.0</v>
      </c>
      <c r="K172" s="30">
        <v>45809.0</v>
      </c>
      <c r="L172" s="31">
        <v>2.0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26" t="s">
        <v>559</v>
      </c>
      <c r="B173" s="27" t="s">
        <v>394</v>
      </c>
      <c r="C173" s="27" t="s">
        <v>560</v>
      </c>
      <c r="D173" s="27" t="s">
        <v>224</v>
      </c>
      <c r="E173" s="27" t="s">
        <v>21</v>
      </c>
      <c r="F173" s="27" t="s">
        <v>380</v>
      </c>
      <c r="G173" s="32"/>
      <c r="H173" s="27" t="s">
        <v>24</v>
      </c>
      <c r="I173" s="28">
        <v>36892.0</v>
      </c>
      <c r="J173" s="29"/>
      <c r="K173" s="30">
        <v>45809.0</v>
      </c>
      <c r="L173" s="31">
        <v>1.0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26" t="s">
        <v>561</v>
      </c>
      <c r="B174" s="27" t="s">
        <v>562</v>
      </c>
      <c r="C174" s="32"/>
      <c r="D174" s="27" t="s">
        <v>27</v>
      </c>
      <c r="E174" s="27" t="s">
        <v>563</v>
      </c>
      <c r="F174" s="27" t="s">
        <v>29</v>
      </c>
      <c r="G174" s="27" t="s">
        <v>488</v>
      </c>
      <c r="H174" s="27" t="s">
        <v>65</v>
      </c>
      <c r="I174" s="28">
        <v>43136.0</v>
      </c>
      <c r="J174" s="28">
        <v>44348.0</v>
      </c>
      <c r="K174" s="30">
        <v>45444.0</v>
      </c>
      <c r="L174" s="31">
        <v>2.0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7.25" customHeight="1">
      <c r="A175" s="26" t="s">
        <v>564</v>
      </c>
      <c r="B175" s="27" t="s">
        <v>537</v>
      </c>
      <c r="C175" s="27" t="s">
        <v>257</v>
      </c>
      <c r="D175" s="27" t="s">
        <v>44</v>
      </c>
      <c r="E175" s="27" t="s">
        <v>21</v>
      </c>
      <c r="F175" s="27" t="s">
        <v>79</v>
      </c>
      <c r="G175" s="27" t="s">
        <v>23</v>
      </c>
      <c r="H175" s="27" t="s">
        <v>258</v>
      </c>
      <c r="I175" s="28">
        <v>42887.0</v>
      </c>
      <c r="J175" s="29"/>
      <c r="K175" s="30">
        <v>43983.0</v>
      </c>
      <c r="L175" s="31">
        <v>1.0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26" t="s">
        <v>565</v>
      </c>
      <c r="B176" s="27" t="s">
        <v>566</v>
      </c>
      <c r="C176" s="32"/>
      <c r="D176" s="27" t="s">
        <v>27</v>
      </c>
      <c r="E176" s="27" t="s">
        <v>70</v>
      </c>
      <c r="F176" s="27" t="s">
        <v>29</v>
      </c>
      <c r="G176" s="27" t="s">
        <v>163</v>
      </c>
      <c r="H176" s="27" t="s">
        <v>29</v>
      </c>
      <c r="I176" s="28">
        <v>42401.0</v>
      </c>
      <c r="J176" s="29"/>
      <c r="K176" s="30">
        <v>44713.0</v>
      </c>
      <c r="L176" s="31">
        <v>1.0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26" t="s">
        <v>567</v>
      </c>
      <c r="B177" s="27" t="s">
        <v>568</v>
      </c>
      <c r="C177" s="27" t="s">
        <v>569</v>
      </c>
      <c r="D177" s="27" t="s">
        <v>313</v>
      </c>
      <c r="E177" s="27" t="s">
        <v>21</v>
      </c>
      <c r="F177" s="27" t="s">
        <v>90</v>
      </c>
      <c r="G177" s="27" t="s">
        <v>36</v>
      </c>
      <c r="H177" s="27" t="s">
        <v>324</v>
      </c>
      <c r="I177" s="28">
        <v>41791.0</v>
      </c>
      <c r="J177" s="29"/>
      <c r="K177" s="30">
        <v>44348.0</v>
      </c>
      <c r="L177" s="31">
        <v>1.0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26" t="s">
        <v>570</v>
      </c>
      <c r="B178" s="27" t="s">
        <v>330</v>
      </c>
      <c r="C178" s="32"/>
      <c r="D178" s="27" t="s">
        <v>27</v>
      </c>
      <c r="E178" s="27" t="s">
        <v>39</v>
      </c>
      <c r="F178" s="27" t="s">
        <v>40</v>
      </c>
      <c r="G178" s="27" t="s">
        <v>571</v>
      </c>
      <c r="H178" s="27" t="s">
        <v>40</v>
      </c>
      <c r="I178" s="28">
        <v>43132.0</v>
      </c>
      <c r="J178" s="28">
        <v>44348.0</v>
      </c>
      <c r="K178" s="30">
        <v>45444.0</v>
      </c>
      <c r="L178" s="31">
        <v>2.0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4.25" customHeight="1">
      <c r="A179" s="26" t="s">
        <v>572</v>
      </c>
      <c r="B179" s="27" t="s">
        <v>573</v>
      </c>
      <c r="C179" s="27" t="s">
        <v>574</v>
      </c>
      <c r="D179" s="27" t="s">
        <v>282</v>
      </c>
      <c r="E179" s="27" t="s">
        <v>21</v>
      </c>
      <c r="F179" s="27" t="s">
        <v>205</v>
      </c>
      <c r="G179" s="27" t="s">
        <v>137</v>
      </c>
      <c r="H179" s="27" t="s">
        <v>207</v>
      </c>
      <c r="I179" s="28">
        <v>42887.0</v>
      </c>
      <c r="J179" s="28">
        <v>43983.0</v>
      </c>
      <c r="K179" s="30">
        <v>45078.0</v>
      </c>
      <c r="L179" s="31">
        <v>2.0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26" t="s">
        <v>575</v>
      </c>
      <c r="B180" s="27" t="s">
        <v>308</v>
      </c>
      <c r="C180" s="32"/>
      <c r="D180" s="27" t="s">
        <v>27</v>
      </c>
      <c r="E180" s="27" t="s">
        <v>60</v>
      </c>
      <c r="F180" s="27" t="s">
        <v>29</v>
      </c>
      <c r="G180" s="27" t="s">
        <v>576</v>
      </c>
      <c r="H180" s="27" t="s">
        <v>29</v>
      </c>
      <c r="I180" s="28">
        <v>42401.0</v>
      </c>
      <c r="J180" s="29"/>
      <c r="K180" s="30">
        <v>44713.0</v>
      </c>
      <c r="L180" s="31">
        <v>1.0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26" t="s">
        <v>577</v>
      </c>
      <c r="B181" s="27" t="s">
        <v>269</v>
      </c>
      <c r="C181" s="32"/>
      <c r="D181" s="27" t="s">
        <v>27</v>
      </c>
      <c r="E181" s="32"/>
      <c r="F181" s="27" t="s">
        <v>155</v>
      </c>
      <c r="G181" s="27" t="s">
        <v>578</v>
      </c>
      <c r="H181" s="27" t="s">
        <v>155</v>
      </c>
      <c r="I181" s="28">
        <v>43132.0</v>
      </c>
      <c r="J181" s="28">
        <v>44348.0</v>
      </c>
      <c r="K181" s="30">
        <v>45444.0</v>
      </c>
      <c r="L181" s="31">
        <v>2.0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20.25" customHeight="1">
      <c r="A182" s="26" t="s">
        <v>579</v>
      </c>
      <c r="B182" s="27" t="s">
        <v>580</v>
      </c>
      <c r="C182" s="27" t="s">
        <v>581</v>
      </c>
      <c r="D182" s="27" t="s">
        <v>420</v>
      </c>
      <c r="E182" s="27" t="s">
        <v>21</v>
      </c>
      <c r="F182" s="27" t="s">
        <v>90</v>
      </c>
      <c r="G182" s="27" t="s">
        <v>23</v>
      </c>
      <c r="H182" s="27" t="s">
        <v>582</v>
      </c>
      <c r="I182" s="28">
        <v>42887.0</v>
      </c>
      <c r="J182" s="29"/>
      <c r="K182" s="30">
        <v>43983.0</v>
      </c>
      <c r="L182" s="31">
        <v>1.0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26" t="s">
        <v>583</v>
      </c>
      <c r="B183" s="27" t="s">
        <v>584</v>
      </c>
      <c r="C183" s="32"/>
      <c r="D183" s="27" t="s">
        <v>27</v>
      </c>
      <c r="E183" s="27" t="s">
        <v>585</v>
      </c>
      <c r="F183" s="27" t="s">
        <v>29</v>
      </c>
      <c r="G183" s="27" t="s">
        <v>586</v>
      </c>
      <c r="H183" s="27" t="s">
        <v>29</v>
      </c>
      <c r="I183" s="28">
        <v>42401.0</v>
      </c>
      <c r="J183" s="29"/>
      <c r="K183" s="30">
        <v>44713.0</v>
      </c>
      <c r="L183" s="31">
        <v>1.0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26" t="s">
        <v>587</v>
      </c>
      <c r="B184" s="27" t="s">
        <v>588</v>
      </c>
      <c r="C184" s="32"/>
      <c r="D184" s="27" t="s">
        <v>27</v>
      </c>
      <c r="E184" s="27" t="s">
        <v>60</v>
      </c>
      <c r="F184" s="27" t="s">
        <v>29</v>
      </c>
      <c r="G184" s="27" t="s">
        <v>163</v>
      </c>
      <c r="H184" s="27" t="s">
        <v>29</v>
      </c>
      <c r="I184" s="28">
        <v>42401.0</v>
      </c>
      <c r="J184" s="29"/>
      <c r="K184" s="30">
        <v>44713.0</v>
      </c>
      <c r="L184" s="31">
        <v>1.0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26" t="s">
        <v>589</v>
      </c>
      <c r="B185" s="27" t="s">
        <v>590</v>
      </c>
      <c r="C185" s="32"/>
      <c r="D185" s="27" t="s">
        <v>27</v>
      </c>
      <c r="E185" s="27" t="s">
        <v>563</v>
      </c>
      <c r="F185" s="27" t="s">
        <v>29</v>
      </c>
      <c r="G185" s="27" t="s">
        <v>544</v>
      </c>
      <c r="H185" s="27" t="s">
        <v>65</v>
      </c>
      <c r="I185" s="28">
        <v>43136.0</v>
      </c>
      <c r="J185" s="28">
        <v>44348.0</v>
      </c>
      <c r="K185" s="30">
        <v>45444.0</v>
      </c>
      <c r="L185" s="31">
        <v>2.0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4.25" customHeight="1">
      <c r="A186" s="26" t="s">
        <v>591</v>
      </c>
      <c r="B186" s="27" t="s">
        <v>223</v>
      </c>
      <c r="C186" s="27" t="s">
        <v>592</v>
      </c>
      <c r="D186" s="27" t="s">
        <v>222</v>
      </c>
      <c r="E186" s="27" t="s">
        <v>21</v>
      </c>
      <c r="F186" s="27" t="s">
        <v>79</v>
      </c>
      <c r="G186" s="27" t="s">
        <v>23</v>
      </c>
      <c r="H186" s="27" t="s">
        <v>339</v>
      </c>
      <c r="I186" s="28">
        <v>42887.0</v>
      </c>
      <c r="J186" s="29"/>
      <c r="K186" s="30">
        <v>44348.0</v>
      </c>
      <c r="L186" s="31">
        <v>1.0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26" t="s">
        <v>593</v>
      </c>
      <c r="B187" s="27" t="s">
        <v>32</v>
      </c>
      <c r="C187" s="27" t="s">
        <v>594</v>
      </c>
      <c r="D187" s="27" t="s">
        <v>34</v>
      </c>
      <c r="E187" s="27" t="s">
        <v>21</v>
      </c>
      <c r="F187" s="27" t="s">
        <v>314</v>
      </c>
      <c r="G187" s="27" t="s">
        <v>36</v>
      </c>
      <c r="H187" s="27" t="s">
        <v>344</v>
      </c>
      <c r="I187" s="28">
        <v>42887.0</v>
      </c>
      <c r="J187" s="29"/>
      <c r="K187" s="30">
        <v>43983.0</v>
      </c>
      <c r="L187" s="31">
        <v>1.0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26" t="s">
        <v>593</v>
      </c>
      <c r="B188" s="27" t="s">
        <v>595</v>
      </c>
      <c r="C188" s="32"/>
      <c r="D188" s="27" t="s">
        <v>27</v>
      </c>
      <c r="E188" s="27" t="s">
        <v>39</v>
      </c>
      <c r="F188" s="27" t="s">
        <v>40</v>
      </c>
      <c r="G188" s="27" t="s">
        <v>596</v>
      </c>
      <c r="H188" s="27" t="s">
        <v>40</v>
      </c>
      <c r="I188" s="28">
        <v>42401.0</v>
      </c>
      <c r="J188" s="29"/>
      <c r="K188" s="30">
        <v>44713.0</v>
      </c>
      <c r="L188" s="31">
        <v>1.0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26" t="s">
        <v>597</v>
      </c>
      <c r="B189" s="27" t="s">
        <v>598</v>
      </c>
      <c r="C189" s="32"/>
      <c r="D189" s="27" t="s">
        <v>27</v>
      </c>
      <c r="E189" s="27" t="s">
        <v>334</v>
      </c>
      <c r="F189" s="27" t="s">
        <v>29</v>
      </c>
      <c r="G189" s="27" t="s">
        <v>544</v>
      </c>
      <c r="H189" s="27" t="s">
        <v>29</v>
      </c>
      <c r="I189" s="28">
        <v>42401.0</v>
      </c>
      <c r="J189" s="29"/>
      <c r="K189" s="30">
        <v>44713.0</v>
      </c>
      <c r="L189" s="31">
        <v>1.0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26" t="s">
        <v>599</v>
      </c>
      <c r="B190" s="27" t="s">
        <v>600</v>
      </c>
      <c r="C190" s="32"/>
      <c r="D190" s="27" t="s">
        <v>27</v>
      </c>
      <c r="E190" s="27" t="s">
        <v>21</v>
      </c>
      <c r="F190" s="27" t="s">
        <v>380</v>
      </c>
      <c r="G190" s="32"/>
      <c r="H190" s="27" t="s">
        <v>24</v>
      </c>
      <c r="I190" s="28">
        <v>36892.0</v>
      </c>
      <c r="J190" s="29"/>
      <c r="K190" s="30">
        <v>45809.0</v>
      </c>
      <c r="L190" s="31">
        <v>1.0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26" t="s">
        <v>601</v>
      </c>
      <c r="B191" s="27" t="s">
        <v>602</v>
      </c>
      <c r="C191" s="32"/>
      <c r="D191" s="27" t="s">
        <v>27</v>
      </c>
      <c r="E191" s="27" t="s">
        <v>39</v>
      </c>
      <c r="F191" s="27" t="s">
        <v>40</v>
      </c>
      <c r="G191" s="27" t="s">
        <v>335</v>
      </c>
      <c r="H191" s="27" t="s">
        <v>40</v>
      </c>
      <c r="I191" s="28">
        <v>43132.0</v>
      </c>
      <c r="J191" s="28">
        <v>44348.0</v>
      </c>
      <c r="K191" s="30">
        <v>45444.0</v>
      </c>
      <c r="L191" s="31">
        <v>2.0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26" t="s">
        <v>603</v>
      </c>
      <c r="B192" s="27" t="s">
        <v>604</v>
      </c>
      <c r="C192" s="27" t="s">
        <v>605</v>
      </c>
      <c r="D192" s="27" t="s">
        <v>130</v>
      </c>
      <c r="E192" s="27" t="s">
        <v>21</v>
      </c>
      <c r="F192" s="27" t="s">
        <v>421</v>
      </c>
      <c r="G192" s="27" t="s">
        <v>36</v>
      </c>
      <c r="H192" s="27" t="s">
        <v>85</v>
      </c>
      <c r="I192" s="28">
        <v>42887.0</v>
      </c>
      <c r="J192" s="29"/>
      <c r="K192" s="30">
        <v>43983.0</v>
      </c>
      <c r="L192" s="31">
        <v>1.0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26" t="s">
        <v>606</v>
      </c>
      <c r="B193" s="27" t="s">
        <v>607</v>
      </c>
      <c r="C193" s="27" t="s">
        <v>228</v>
      </c>
      <c r="D193" s="27" t="s">
        <v>20</v>
      </c>
      <c r="E193" s="27" t="s">
        <v>21</v>
      </c>
      <c r="F193" s="27" t="s">
        <v>90</v>
      </c>
      <c r="G193" s="27" t="s">
        <v>23</v>
      </c>
      <c r="H193" s="27" t="s">
        <v>229</v>
      </c>
      <c r="I193" s="28">
        <v>42887.0</v>
      </c>
      <c r="J193" s="29"/>
      <c r="K193" s="30">
        <v>43983.0</v>
      </c>
      <c r="L193" s="31">
        <v>1.0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26" t="s">
        <v>608</v>
      </c>
      <c r="B194" s="27" t="s">
        <v>534</v>
      </c>
      <c r="C194" s="27" t="s">
        <v>609</v>
      </c>
      <c r="D194" s="27" t="s">
        <v>94</v>
      </c>
      <c r="E194" s="27" t="s">
        <v>21</v>
      </c>
      <c r="F194" s="27" t="s">
        <v>109</v>
      </c>
      <c r="G194" s="27" t="s">
        <v>46</v>
      </c>
      <c r="H194" s="27" t="s">
        <v>37</v>
      </c>
      <c r="I194" s="28">
        <v>43617.0</v>
      </c>
      <c r="J194" s="29"/>
      <c r="K194" s="30">
        <v>44713.0</v>
      </c>
      <c r="L194" s="31">
        <v>1.0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26" t="s">
        <v>610</v>
      </c>
      <c r="B195" s="27" t="s">
        <v>611</v>
      </c>
      <c r="C195" s="27" t="s">
        <v>612</v>
      </c>
      <c r="D195" s="27" t="s">
        <v>222</v>
      </c>
      <c r="E195" s="27" t="s">
        <v>21</v>
      </c>
      <c r="F195" s="27" t="s">
        <v>71</v>
      </c>
      <c r="G195" s="27" t="s">
        <v>23</v>
      </c>
      <c r="H195" s="27" t="s">
        <v>241</v>
      </c>
      <c r="I195" s="28">
        <v>43617.0</v>
      </c>
      <c r="J195" s="29"/>
      <c r="K195" s="30">
        <v>44713.0</v>
      </c>
      <c r="L195" s="31">
        <v>1.0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26" t="s">
        <v>501</v>
      </c>
      <c r="B196" s="27" t="s">
        <v>613</v>
      </c>
      <c r="C196" s="27" t="s">
        <v>614</v>
      </c>
      <c r="D196" s="27" t="s">
        <v>282</v>
      </c>
      <c r="E196" s="27" t="s">
        <v>21</v>
      </c>
      <c r="F196" s="27" t="s">
        <v>90</v>
      </c>
      <c r="G196" s="27" t="s">
        <v>46</v>
      </c>
      <c r="H196" s="27" t="s">
        <v>339</v>
      </c>
      <c r="I196" s="28">
        <v>43252.0</v>
      </c>
      <c r="J196" s="29"/>
      <c r="K196" s="30">
        <v>44348.0</v>
      </c>
      <c r="L196" s="31">
        <v>1.0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26" t="s">
        <v>615</v>
      </c>
      <c r="B197" s="27" t="s">
        <v>245</v>
      </c>
      <c r="C197" s="27" t="s">
        <v>616</v>
      </c>
      <c r="D197" s="27" t="s">
        <v>108</v>
      </c>
      <c r="E197" s="27" t="s">
        <v>21</v>
      </c>
      <c r="F197" s="27" t="s">
        <v>286</v>
      </c>
      <c r="G197" s="27" t="s">
        <v>46</v>
      </c>
      <c r="H197" s="27" t="s">
        <v>258</v>
      </c>
      <c r="I197" s="28">
        <v>42887.0</v>
      </c>
      <c r="J197" s="29"/>
      <c r="K197" s="30">
        <v>43983.0</v>
      </c>
      <c r="L197" s="31">
        <v>1.0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26" t="s">
        <v>615</v>
      </c>
      <c r="B198" s="27" t="s">
        <v>617</v>
      </c>
      <c r="C198" s="27" t="s">
        <v>616</v>
      </c>
      <c r="D198" s="27" t="s">
        <v>108</v>
      </c>
      <c r="E198" s="27" t="s">
        <v>21</v>
      </c>
      <c r="F198" s="27" t="s">
        <v>56</v>
      </c>
      <c r="G198" s="27" t="s">
        <v>36</v>
      </c>
      <c r="H198" s="27" t="s">
        <v>110</v>
      </c>
      <c r="I198" s="28">
        <v>43617.0</v>
      </c>
      <c r="J198" s="29"/>
      <c r="K198" s="30">
        <v>44713.0</v>
      </c>
      <c r="L198" s="31">
        <v>1.0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26" t="s">
        <v>618</v>
      </c>
      <c r="B199" s="27" t="s">
        <v>619</v>
      </c>
      <c r="C199" s="27" t="s">
        <v>620</v>
      </c>
      <c r="D199" s="27" t="s">
        <v>282</v>
      </c>
      <c r="E199" s="27" t="s">
        <v>21</v>
      </c>
      <c r="F199" s="27" t="s">
        <v>79</v>
      </c>
      <c r="G199" s="27" t="s">
        <v>23</v>
      </c>
      <c r="H199" s="27" t="s">
        <v>237</v>
      </c>
      <c r="I199" s="28">
        <v>42887.0</v>
      </c>
      <c r="J199" s="29"/>
      <c r="K199" s="30">
        <v>43983.0</v>
      </c>
      <c r="L199" s="31">
        <v>1.0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26" t="s">
        <v>621</v>
      </c>
      <c r="B200" s="27" t="s">
        <v>358</v>
      </c>
      <c r="C200" s="27" t="s">
        <v>622</v>
      </c>
      <c r="D200" s="27" t="s">
        <v>130</v>
      </c>
      <c r="E200" s="27" t="s">
        <v>21</v>
      </c>
      <c r="F200" s="27" t="s">
        <v>623</v>
      </c>
      <c r="G200" s="27" t="s">
        <v>36</v>
      </c>
      <c r="H200" s="27" t="s">
        <v>126</v>
      </c>
      <c r="I200" s="28">
        <v>43617.0</v>
      </c>
      <c r="J200" s="28">
        <v>44713.0</v>
      </c>
      <c r="K200" s="30">
        <v>45809.0</v>
      </c>
      <c r="L200" s="31">
        <v>2.0</v>
      </c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26" t="s">
        <v>621</v>
      </c>
      <c r="B201" s="27" t="s">
        <v>321</v>
      </c>
      <c r="C201" s="27" t="s">
        <v>624</v>
      </c>
      <c r="D201" s="27" t="s">
        <v>130</v>
      </c>
      <c r="E201" s="27" t="s">
        <v>21</v>
      </c>
      <c r="F201" s="27" t="s">
        <v>623</v>
      </c>
      <c r="G201" s="27" t="s">
        <v>36</v>
      </c>
      <c r="H201" s="27" t="s">
        <v>126</v>
      </c>
      <c r="I201" s="28">
        <v>43617.0</v>
      </c>
      <c r="J201" s="28">
        <v>44713.0</v>
      </c>
      <c r="K201" s="30">
        <v>45809.0</v>
      </c>
      <c r="L201" s="31">
        <v>2.0</v>
      </c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26" t="s">
        <v>625</v>
      </c>
      <c r="B202" s="27" t="s">
        <v>626</v>
      </c>
      <c r="C202" s="27" t="s">
        <v>627</v>
      </c>
      <c r="D202" s="27" t="s">
        <v>78</v>
      </c>
      <c r="E202" s="27" t="s">
        <v>21</v>
      </c>
      <c r="F202" s="27" t="s">
        <v>35</v>
      </c>
      <c r="G202" s="27" t="s">
        <v>36</v>
      </c>
      <c r="H202" s="27" t="s">
        <v>434</v>
      </c>
      <c r="I202" s="28">
        <v>43617.0</v>
      </c>
      <c r="J202" s="29"/>
      <c r="K202" s="30">
        <v>44713.0</v>
      </c>
      <c r="L202" s="31">
        <v>1.0</v>
      </c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26" t="s">
        <v>628</v>
      </c>
      <c r="B203" s="27" t="s">
        <v>92</v>
      </c>
      <c r="C203" s="27" t="s">
        <v>629</v>
      </c>
      <c r="D203" s="27" t="s">
        <v>94</v>
      </c>
      <c r="E203" s="27" t="s">
        <v>21</v>
      </c>
      <c r="F203" s="27" t="s">
        <v>630</v>
      </c>
      <c r="G203" s="27" t="s">
        <v>137</v>
      </c>
      <c r="H203" s="27" t="s">
        <v>287</v>
      </c>
      <c r="I203" s="28">
        <v>42887.0</v>
      </c>
      <c r="J203" s="29"/>
      <c r="K203" s="30">
        <v>43983.0</v>
      </c>
      <c r="L203" s="31">
        <v>1.0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26" t="s">
        <v>628</v>
      </c>
      <c r="B204" s="27" t="s">
        <v>631</v>
      </c>
      <c r="C204" s="27" t="s">
        <v>552</v>
      </c>
      <c r="D204" s="27" t="s">
        <v>78</v>
      </c>
      <c r="E204" s="27" t="s">
        <v>21</v>
      </c>
      <c r="F204" s="27" t="s">
        <v>71</v>
      </c>
      <c r="G204" s="27" t="s">
        <v>36</v>
      </c>
      <c r="H204" s="27" t="s">
        <v>434</v>
      </c>
      <c r="I204" s="28">
        <v>43617.0</v>
      </c>
      <c r="J204" s="29"/>
      <c r="K204" s="30">
        <v>44713.0</v>
      </c>
      <c r="L204" s="31">
        <v>1.0</v>
      </c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26" t="s">
        <v>632</v>
      </c>
      <c r="B205" s="27" t="s">
        <v>269</v>
      </c>
      <c r="C205" s="27" t="s">
        <v>146</v>
      </c>
      <c r="D205" s="27" t="s">
        <v>94</v>
      </c>
      <c r="E205" s="27" t="s">
        <v>21</v>
      </c>
      <c r="F205" s="27" t="s">
        <v>45</v>
      </c>
      <c r="G205" s="27" t="s">
        <v>36</v>
      </c>
      <c r="H205" s="27" t="s">
        <v>339</v>
      </c>
      <c r="I205" s="28">
        <v>42522.0</v>
      </c>
      <c r="J205" s="29"/>
      <c r="K205" s="30">
        <v>44348.0</v>
      </c>
      <c r="L205" s="31">
        <v>1.0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26" t="s">
        <v>560</v>
      </c>
      <c r="B206" s="27" t="s">
        <v>633</v>
      </c>
      <c r="C206" s="27" t="s">
        <v>634</v>
      </c>
      <c r="D206" s="27" t="s">
        <v>143</v>
      </c>
      <c r="E206" s="27" t="s">
        <v>21</v>
      </c>
      <c r="F206" s="27" t="s">
        <v>421</v>
      </c>
      <c r="G206" s="27" t="s">
        <v>137</v>
      </c>
      <c r="H206" s="27" t="s">
        <v>135</v>
      </c>
      <c r="I206" s="28">
        <v>43252.0</v>
      </c>
      <c r="J206" s="29"/>
      <c r="K206" s="30">
        <v>44348.0</v>
      </c>
      <c r="L206" s="31">
        <v>1.0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26" t="s">
        <v>635</v>
      </c>
      <c r="B207" s="27" t="s">
        <v>636</v>
      </c>
      <c r="C207" s="27" t="s">
        <v>637</v>
      </c>
      <c r="D207" s="27" t="s">
        <v>282</v>
      </c>
      <c r="E207" s="27" t="s">
        <v>21</v>
      </c>
      <c r="F207" s="27" t="s">
        <v>638</v>
      </c>
      <c r="G207" s="27" t="s">
        <v>36</v>
      </c>
      <c r="H207" s="27" t="s">
        <v>207</v>
      </c>
      <c r="I207" s="28">
        <v>42887.0</v>
      </c>
      <c r="J207" s="29"/>
      <c r="K207" s="30">
        <v>43983.0</v>
      </c>
      <c r="L207" s="31">
        <v>1.0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26" t="s">
        <v>639</v>
      </c>
      <c r="B208" s="27" t="s">
        <v>116</v>
      </c>
      <c r="C208" s="27" t="s">
        <v>640</v>
      </c>
      <c r="D208" s="27" t="s">
        <v>641</v>
      </c>
      <c r="E208" s="27" t="s">
        <v>21</v>
      </c>
      <c r="F208" s="27" t="s">
        <v>642</v>
      </c>
      <c r="G208" s="27" t="s">
        <v>23</v>
      </c>
      <c r="H208" s="27" t="s">
        <v>425</v>
      </c>
      <c r="I208" s="28">
        <v>42522.0</v>
      </c>
      <c r="J208" s="29"/>
      <c r="K208" s="30">
        <v>44348.0</v>
      </c>
      <c r="L208" s="31">
        <v>1.0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26" t="s">
        <v>643</v>
      </c>
      <c r="B209" s="27" t="s">
        <v>138</v>
      </c>
      <c r="C209" s="27" t="s">
        <v>644</v>
      </c>
      <c r="D209" s="27" t="s">
        <v>20</v>
      </c>
      <c r="E209" s="27" t="s">
        <v>21</v>
      </c>
      <c r="F209" s="27" t="s">
        <v>79</v>
      </c>
      <c r="G209" s="27" t="s">
        <v>36</v>
      </c>
      <c r="H209" s="27" t="s">
        <v>229</v>
      </c>
      <c r="I209" s="28">
        <v>42887.0</v>
      </c>
      <c r="J209" s="29"/>
      <c r="K209" s="30">
        <v>43983.0</v>
      </c>
      <c r="L209" s="31">
        <v>1.0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26" t="s">
        <v>645</v>
      </c>
      <c r="B210" s="27" t="s">
        <v>18</v>
      </c>
      <c r="C210" s="27" t="s">
        <v>646</v>
      </c>
      <c r="D210" s="27" t="s">
        <v>89</v>
      </c>
      <c r="E210" s="27" t="s">
        <v>21</v>
      </c>
      <c r="F210" s="27" t="s">
        <v>35</v>
      </c>
      <c r="G210" s="27" t="s">
        <v>46</v>
      </c>
      <c r="H210" s="27" t="s">
        <v>171</v>
      </c>
      <c r="I210" s="28">
        <v>43617.0</v>
      </c>
      <c r="J210" s="29"/>
      <c r="K210" s="30">
        <v>44713.0</v>
      </c>
      <c r="L210" s="31">
        <v>1.0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26" t="s">
        <v>92</v>
      </c>
      <c r="B211" s="27" t="s">
        <v>647</v>
      </c>
      <c r="C211" s="27" t="s">
        <v>648</v>
      </c>
      <c r="D211" s="27" t="s">
        <v>20</v>
      </c>
      <c r="E211" s="27" t="s">
        <v>21</v>
      </c>
      <c r="F211" s="27" t="s">
        <v>90</v>
      </c>
      <c r="G211" s="27" t="s">
        <v>36</v>
      </c>
      <c r="H211" s="27" t="s">
        <v>237</v>
      </c>
      <c r="I211" s="28">
        <v>42887.0</v>
      </c>
      <c r="J211" s="29"/>
      <c r="K211" s="30">
        <v>43983.0</v>
      </c>
      <c r="L211" s="31">
        <v>1.0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26" t="s">
        <v>649</v>
      </c>
      <c r="B212" s="27" t="s">
        <v>462</v>
      </c>
      <c r="C212" s="27" t="s">
        <v>414</v>
      </c>
      <c r="D212" s="27" t="s">
        <v>130</v>
      </c>
      <c r="E212" s="27" t="s">
        <v>21</v>
      </c>
      <c r="F212" s="27" t="s">
        <v>71</v>
      </c>
      <c r="G212" s="27" t="s">
        <v>36</v>
      </c>
      <c r="H212" s="27" t="s">
        <v>85</v>
      </c>
      <c r="I212" s="28">
        <v>42887.0</v>
      </c>
      <c r="J212" s="29"/>
      <c r="K212" s="30">
        <v>43983.0</v>
      </c>
      <c r="L212" s="31">
        <v>1.0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26" t="s">
        <v>650</v>
      </c>
      <c r="B213" s="27" t="s">
        <v>321</v>
      </c>
      <c r="C213" s="27" t="s">
        <v>634</v>
      </c>
      <c r="D213" s="27" t="s">
        <v>143</v>
      </c>
      <c r="E213" s="27" t="s">
        <v>21</v>
      </c>
      <c r="F213" s="27" t="s">
        <v>56</v>
      </c>
      <c r="G213" s="27" t="s">
        <v>23</v>
      </c>
      <c r="H213" s="27" t="s">
        <v>251</v>
      </c>
      <c r="I213" s="28">
        <v>43617.0</v>
      </c>
      <c r="J213" s="29"/>
      <c r="K213" s="30">
        <v>44713.0</v>
      </c>
      <c r="L213" s="31">
        <v>1.0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26" t="s">
        <v>651</v>
      </c>
      <c r="B214" s="27" t="s">
        <v>220</v>
      </c>
      <c r="C214" s="27" t="s">
        <v>652</v>
      </c>
      <c r="D214" s="27" t="s">
        <v>55</v>
      </c>
      <c r="E214" s="27" t="s">
        <v>21</v>
      </c>
      <c r="F214" s="27" t="s">
        <v>109</v>
      </c>
      <c r="G214" s="27" t="s">
        <v>36</v>
      </c>
      <c r="H214" s="27" t="s">
        <v>57</v>
      </c>
      <c r="I214" s="28">
        <v>43617.0</v>
      </c>
      <c r="J214" s="29"/>
      <c r="K214" s="30">
        <v>44713.0</v>
      </c>
      <c r="L214" s="31">
        <v>1.0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26" t="s">
        <v>653</v>
      </c>
      <c r="B215" s="27" t="s">
        <v>654</v>
      </c>
      <c r="C215" s="32"/>
      <c r="D215" s="27" t="s">
        <v>27</v>
      </c>
      <c r="E215" s="27" t="s">
        <v>27</v>
      </c>
      <c r="F215" s="27" t="s">
        <v>103</v>
      </c>
      <c r="G215" s="27" t="s">
        <v>544</v>
      </c>
      <c r="H215" s="27" t="s">
        <v>103</v>
      </c>
      <c r="I215" s="28">
        <v>42401.0</v>
      </c>
      <c r="J215" s="29"/>
      <c r="K215" s="30">
        <v>44713.0</v>
      </c>
      <c r="L215" s="31">
        <v>1.0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26" t="s">
        <v>655</v>
      </c>
      <c r="B216" s="27" t="s">
        <v>76</v>
      </c>
      <c r="C216" s="27" t="s">
        <v>396</v>
      </c>
      <c r="D216" s="27" t="s">
        <v>44</v>
      </c>
      <c r="E216" s="27" t="s">
        <v>21</v>
      </c>
      <c r="F216" s="27" t="s">
        <v>79</v>
      </c>
      <c r="G216" s="27" t="s">
        <v>46</v>
      </c>
      <c r="H216" s="27" t="s">
        <v>47</v>
      </c>
      <c r="I216" s="28">
        <v>43252.0</v>
      </c>
      <c r="J216" s="29"/>
      <c r="K216" s="30">
        <v>44348.0</v>
      </c>
      <c r="L216" s="31">
        <v>1.0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26" t="s">
        <v>656</v>
      </c>
      <c r="B217" s="27" t="s">
        <v>611</v>
      </c>
      <c r="C217" s="32"/>
      <c r="D217" s="27" t="s">
        <v>27</v>
      </c>
      <c r="E217" s="27" t="s">
        <v>39</v>
      </c>
      <c r="F217" s="27" t="s">
        <v>40</v>
      </c>
      <c r="G217" s="27" t="s">
        <v>23</v>
      </c>
      <c r="H217" s="27" t="s">
        <v>40</v>
      </c>
      <c r="I217" s="28">
        <v>43132.0</v>
      </c>
      <c r="J217" s="28">
        <v>44348.0</v>
      </c>
      <c r="K217" s="30">
        <v>45444.0</v>
      </c>
      <c r="L217" s="31">
        <v>2.0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26" t="s">
        <v>657</v>
      </c>
      <c r="B218" s="27" t="s">
        <v>658</v>
      </c>
      <c r="C218" s="27" t="s">
        <v>338</v>
      </c>
      <c r="D218" s="27" t="s">
        <v>348</v>
      </c>
      <c r="E218" s="27" t="s">
        <v>21</v>
      </c>
      <c r="F218" s="27" t="s">
        <v>90</v>
      </c>
      <c r="G218" s="27" t="s">
        <v>46</v>
      </c>
      <c r="H218" s="27" t="s">
        <v>324</v>
      </c>
      <c r="I218" s="28">
        <v>43252.0</v>
      </c>
      <c r="J218" s="29"/>
      <c r="K218" s="30">
        <v>44348.0</v>
      </c>
      <c r="L218" s="31">
        <v>1.0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26" t="s">
        <v>659</v>
      </c>
      <c r="B219" s="27" t="s">
        <v>660</v>
      </c>
      <c r="C219" s="27" t="s">
        <v>661</v>
      </c>
      <c r="D219" s="27" t="s">
        <v>282</v>
      </c>
      <c r="E219" s="27" t="s">
        <v>21</v>
      </c>
      <c r="F219" s="27" t="s">
        <v>95</v>
      </c>
      <c r="G219" s="27" t="s">
        <v>36</v>
      </c>
      <c r="H219" s="27" t="s">
        <v>207</v>
      </c>
      <c r="I219" s="28">
        <v>42887.0</v>
      </c>
      <c r="J219" s="29"/>
      <c r="K219" s="30">
        <v>43983.0</v>
      </c>
      <c r="L219" s="31">
        <v>1.0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26" t="s">
        <v>662</v>
      </c>
      <c r="B220" s="27" t="s">
        <v>82</v>
      </c>
      <c r="C220" s="27" t="s">
        <v>663</v>
      </c>
      <c r="D220" s="27" t="s">
        <v>641</v>
      </c>
      <c r="E220" s="27" t="s">
        <v>21</v>
      </c>
      <c r="F220" s="27" t="s">
        <v>56</v>
      </c>
      <c r="G220" s="27" t="s">
        <v>36</v>
      </c>
      <c r="H220" s="27" t="s">
        <v>37</v>
      </c>
      <c r="I220" s="28">
        <v>43617.0</v>
      </c>
      <c r="J220" s="29"/>
      <c r="K220" s="30">
        <v>44713.0</v>
      </c>
      <c r="L220" s="31">
        <v>1.0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26" t="s">
        <v>664</v>
      </c>
      <c r="B221" s="27" t="s">
        <v>556</v>
      </c>
      <c r="C221" s="32"/>
      <c r="D221" s="27" t="s">
        <v>27</v>
      </c>
      <c r="E221" s="27" t="s">
        <v>39</v>
      </c>
      <c r="F221" s="27" t="s">
        <v>40</v>
      </c>
      <c r="G221" s="27" t="s">
        <v>665</v>
      </c>
      <c r="H221" s="27" t="s">
        <v>40</v>
      </c>
      <c r="I221" s="28">
        <v>43132.0</v>
      </c>
      <c r="J221" s="28">
        <v>44348.0</v>
      </c>
      <c r="K221" s="30">
        <v>45444.0</v>
      </c>
      <c r="L221" s="31">
        <v>2.0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26" t="s">
        <v>664</v>
      </c>
      <c r="B222" s="27" t="s">
        <v>666</v>
      </c>
      <c r="C222" s="32"/>
      <c r="D222" s="27" t="s">
        <v>224</v>
      </c>
      <c r="E222" s="27" t="s">
        <v>21</v>
      </c>
      <c r="F222" s="27" t="s">
        <v>79</v>
      </c>
      <c r="G222" s="27" t="s">
        <v>46</v>
      </c>
      <c r="H222" s="27" t="s">
        <v>225</v>
      </c>
      <c r="I222" s="28">
        <v>43252.0</v>
      </c>
      <c r="J222" s="29"/>
      <c r="K222" s="30">
        <v>44348.0</v>
      </c>
      <c r="L222" s="31">
        <v>1.0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26" t="s">
        <v>667</v>
      </c>
      <c r="B223" s="27" t="s">
        <v>311</v>
      </c>
      <c r="C223" s="27" t="s">
        <v>668</v>
      </c>
      <c r="D223" s="27" t="s">
        <v>669</v>
      </c>
      <c r="E223" s="27" t="s">
        <v>21</v>
      </c>
      <c r="F223" s="27" t="s">
        <v>155</v>
      </c>
      <c r="G223" s="27" t="s">
        <v>409</v>
      </c>
      <c r="H223" s="27" t="s">
        <v>155</v>
      </c>
      <c r="I223" s="28">
        <v>43132.0</v>
      </c>
      <c r="J223" s="28">
        <v>44348.0</v>
      </c>
      <c r="K223" s="30">
        <v>45444.0</v>
      </c>
      <c r="L223" s="31">
        <v>2.0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26" t="s">
        <v>670</v>
      </c>
      <c r="B224" s="27" t="s">
        <v>82</v>
      </c>
      <c r="C224" s="32"/>
      <c r="D224" s="27" t="s">
        <v>27</v>
      </c>
      <c r="E224" s="27" t="s">
        <v>27</v>
      </c>
      <c r="F224" s="27" t="s">
        <v>103</v>
      </c>
      <c r="G224" s="27" t="s">
        <v>335</v>
      </c>
      <c r="H224" s="27" t="s">
        <v>103</v>
      </c>
      <c r="I224" s="28">
        <v>42401.0</v>
      </c>
      <c r="J224" s="29"/>
      <c r="K224" s="30">
        <v>44713.0</v>
      </c>
      <c r="L224" s="31">
        <v>1.0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26" t="s">
        <v>671</v>
      </c>
      <c r="B225" s="27" t="s">
        <v>223</v>
      </c>
      <c r="C225" s="27" t="s">
        <v>672</v>
      </c>
      <c r="D225" s="27" t="s">
        <v>143</v>
      </c>
      <c r="E225" s="27" t="s">
        <v>21</v>
      </c>
      <c r="F225" s="27" t="s">
        <v>79</v>
      </c>
      <c r="G225" s="27" t="s">
        <v>36</v>
      </c>
      <c r="H225" s="27" t="s">
        <v>135</v>
      </c>
      <c r="I225" s="28">
        <v>43252.0</v>
      </c>
      <c r="J225" s="29"/>
      <c r="K225" s="30">
        <v>44348.0</v>
      </c>
      <c r="L225" s="31">
        <v>1.0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26" t="s">
        <v>673</v>
      </c>
      <c r="B226" s="27" t="s">
        <v>674</v>
      </c>
      <c r="C226" s="27" t="s">
        <v>675</v>
      </c>
      <c r="D226" s="27" t="s">
        <v>130</v>
      </c>
      <c r="E226" s="27" t="s">
        <v>21</v>
      </c>
      <c r="F226" s="27" t="s">
        <v>90</v>
      </c>
      <c r="G226" s="27" t="s">
        <v>23</v>
      </c>
      <c r="H226" s="27" t="s">
        <v>85</v>
      </c>
      <c r="I226" s="28">
        <v>42887.0</v>
      </c>
      <c r="J226" s="29"/>
      <c r="K226" s="30">
        <v>43983.0</v>
      </c>
      <c r="L226" s="31">
        <v>1.0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26" t="s">
        <v>676</v>
      </c>
      <c r="B227" s="27" t="s">
        <v>677</v>
      </c>
      <c r="C227" s="27" t="s">
        <v>678</v>
      </c>
      <c r="D227" s="27" t="s">
        <v>282</v>
      </c>
      <c r="E227" s="27" t="s">
        <v>21</v>
      </c>
      <c r="F227" s="27" t="s">
        <v>45</v>
      </c>
      <c r="G227" s="27" t="s">
        <v>36</v>
      </c>
      <c r="H227" s="27" t="s">
        <v>24</v>
      </c>
      <c r="I227" s="28">
        <v>42522.0</v>
      </c>
      <c r="J227" s="29"/>
      <c r="K227" s="30">
        <v>45809.0</v>
      </c>
      <c r="L227" s="31">
        <v>1.0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26" t="s">
        <v>679</v>
      </c>
      <c r="B228" s="27" t="s">
        <v>102</v>
      </c>
      <c r="C228" s="27" t="s">
        <v>680</v>
      </c>
      <c r="D228" s="27" t="s">
        <v>641</v>
      </c>
      <c r="E228" s="27" t="s">
        <v>21</v>
      </c>
      <c r="F228" s="27" t="s">
        <v>109</v>
      </c>
      <c r="G228" s="27" t="s">
        <v>36</v>
      </c>
      <c r="H228" s="27" t="s">
        <v>37</v>
      </c>
      <c r="I228" s="28">
        <v>43617.0</v>
      </c>
      <c r="J228" s="29"/>
      <c r="K228" s="30">
        <v>44713.0</v>
      </c>
      <c r="L228" s="31">
        <v>1.0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26" t="s">
        <v>681</v>
      </c>
      <c r="B229" s="27" t="s">
        <v>682</v>
      </c>
      <c r="C229" s="27" t="s">
        <v>683</v>
      </c>
      <c r="D229" s="27" t="s">
        <v>348</v>
      </c>
      <c r="E229" s="27" t="s">
        <v>21</v>
      </c>
      <c r="F229" s="27" t="s">
        <v>35</v>
      </c>
      <c r="G229" s="27" t="s">
        <v>23</v>
      </c>
      <c r="H229" s="27" t="s">
        <v>119</v>
      </c>
      <c r="I229" s="28">
        <v>43617.0</v>
      </c>
      <c r="J229" s="29"/>
      <c r="K229" s="30">
        <v>44713.0</v>
      </c>
      <c r="L229" s="31">
        <v>1.0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26" t="s">
        <v>684</v>
      </c>
      <c r="B230" s="27" t="s">
        <v>685</v>
      </c>
      <c r="C230" s="27" t="s">
        <v>686</v>
      </c>
      <c r="D230" s="27" t="s">
        <v>44</v>
      </c>
      <c r="E230" s="27" t="s">
        <v>21</v>
      </c>
      <c r="F230" s="27" t="s">
        <v>364</v>
      </c>
      <c r="G230" s="27" t="s">
        <v>36</v>
      </c>
      <c r="H230" s="27" t="s">
        <v>397</v>
      </c>
      <c r="I230" s="28">
        <v>43617.0</v>
      </c>
      <c r="J230" s="29"/>
      <c r="K230" s="30">
        <v>44713.0</v>
      </c>
      <c r="L230" s="31">
        <v>1.0</v>
      </c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26" t="s">
        <v>687</v>
      </c>
      <c r="B231" s="27" t="s">
        <v>141</v>
      </c>
      <c r="C231" s="27" t="s">
        <v>688</v>
      </c>
      <c r="D231" s="27" t="s">
        <v>108</v>
      </c>
      <c r="E231" s="27" t="s">
        <v>21</v>
      </c>
      <c r="F231" s="27" t="s">
        <v>79</v>
      </c>
      <c r="G231" s="27" t="s">
        <v>23</v>
      </c>
      <c r="H231" s="27" t="s">
        <v>689</v>
      </c>
      <c r="I231" s="28">
        <v>42887.0</v>
      </c>
      <c r="J231" s="29"/>
      <c r="K231" s="30">
        <v>43983.0</v>
      </c>
      <c r="L231" s="31">
        <v>1.0</v>
      </c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26" t="s">
        <v>690</v>
      </c>
      <c r="B232" s="27" t="s">
        <v>691</v>
      </c>
      <c r="C232" s="27" t="s">
        <v>692</v>
      </c>
      <c r="D232" s="27" t="s">
        <v>44</v>
      </c>
      <c r="E232" s="27" t="s">
        <v>21</v>
      </c>
      <c r="F232" s="27" t="s">
        <v>693</v>
      </c>
      <c r="G232" s="27" t="s">
        <v>23</v>
      </c>
      <c r="H232" s="27" t="s">
        <v>135</v>
      </c>
      <c r="I232" s="28">
        <v>43252.0</v>
      </c>
      <c r="J232" s="29"/>
      <c r="K232" s="30">
        <v>44348.0</v>
      </c>
      <c r="L232" s="31">
        <v>1.0</v>
      </c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26" t="s">
        <v>690</v>
      </c>
      <c r="B233" s="27" t="s">
        <v>566</v>
      </c>
      <c r="C233" s="27" t="s">
        <v>694</v>
      </c>
      <c r="D233" s="27" t="s">
        <v>44</v>
      </c>
      <c r="E233" s="27" t="s">
        <v>21</v>
      </c>
      <c r="F233" s="27" t="s">
        <v>90</v>
      </c>
      <c r="G233" s="27" t="s">
        <v>46</v>
      </c>
      <c r="H233" s="27" t="s">
        <v>47</v>
      </c>
      <c r="I233" s="28">
        <v>43252.0</v>
      </c>
      <c r="J233" s="29"/>
      <c r="K233" s="30">
        <v>44348.0</v>
      </c>
      <c r="L233" s="31">
        <v>1.0</v>
      </c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26" t="s">
        <v>690</v>
      </c>
      <c r="B234" s="27" t="s">
        <v>695</v>
      </c>
      <c r="C234" s="27" t="s">
        <v>338</v>
      </c>
      <c r="D234" s="27" t="s">
        <v>222</v>
      </c>
      <c r="E234" s="27" t="s">
        <v>21</v>
      </c>
      <c r="F234" s="27" t="s">
        <v>56</v>
      </c>
      <c r="G234" s="27" t="s">
        <v>23</v>
      </c>
      <c r="H234" s="27" t="s">
        <v>397</v>
      </c>
      <c r="I234" s="28">
        <v>43617.0</v>
      </c>
      <c r="J234" s="29"/>
      <c r="K234" s="30">
        <v>44713.0</v>
      </c>
      <c r="L234" s="31">
        <v>1.0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26" t="s">
        <v>690</v>
      </c>
      <c r="B235" s="27" t="s">
        <v>696</v>
      </c>
      <c r="C235" s="27" t="s">
        <v>697</v>
      </c>
      <c r="D235" s="27" t="s">
        <v>78</v>
      </c>
      <c r="E235" s="27" t="s">
        <v>21</v>
      </c>
      <c r="F235" s="27" t="s">
        <v>79</v>
      </c>
      <c r="G235" s="27" t="s">
        <v>36</v>
      </c>
      <c r="H235" s="27" t="s">
        <v>244</v>
      </c>
      <c r="I235" s="28">
        <v>42887.0</v>
      </c>
      <c r="J235" s="29"/>
      <c r="K235" s="30">
        <v>43983.0</v>
      </c>
      <c r="L235" s="31">
        <v>1.0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26" t="s">
        <v>690</v>
      </c>
      <c r="B236" s="27" t="s">
        <v>18</v>
      </c>
      <c r="C236" s="27" t="s">
        <v>698</v>
      </c>
      <c r="D236" s="27" t="s">
        <v>20</v>
      </c>
      <c r="E236" s="27" t="s">
        <v>21</v>
      </c>
      <c r="F236" s="27" t="s">
        <v>642</v>
      </c>
      <c r="G236" s="27" t="s">
        <v>46</v>
      </c>
      <c r="H236" s="27" t="s">
        <v>328</v>
      </c>
      <c r="I236" s="28">
        <v>42156.0</v>
      </c>
      <c r="J236" s="29"/>
      <c r="K236" s="30">
        <v>44348.0</v>
      </c>
      <c r="L236" s="31">
        <v>1.0</v>
      </c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26" t="s">
        <v>699</v>
      </c>
      <c r="B237" s="27" t="s">
        <v>227</v>
      </c>
      <c r="C237" s="32"/>
      <c r="D237" s="27" t="s">
        <v>27</v>
      </c>
      <c r="E237" s="27" t="s">
        <v>285</v>
      </c>
      <c r="F237" s="27" t="s">
        <v>40</v>
      </c>
      <c r="G237" s="27" t="s">
        <v>700</v>
      </c>
      <c r="H237" s="27" t="s">
        <v>40</v>
      </c>
      <c r="I237" s="28">
        <v>42401.0</v>
      </c>
      <c r="J237" s="29"/>
      <c r="K237" s="30">
        <v>44713.0</v>
      </c>
      <c r="L237" s="31">
        <v>1.0</v>
      </c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33" t="s">
        <v>701</v>
      </c>
      <c r="B238" s="34" t="s">
        <v>702</v>
      </c>
      <c r="C238" s="35"/>
      <c r="D238" s="34" t="s">
        <v>27</v>
      </c>
      <c r="E238" s="34" t="s">
        <v>285</v>
      </c>
      <c r="F238" s="34" t="s">
        <v>40</v>
      </c>
      <c r="G238" s="34" t="s">
        <v>703</v>
      </c>
      <c r="H238" s="34" t="s">
        <v>40</v>
      </c>
      <c r="I238" s="28">
        <v>42401.0</v>
      </c>
      <c r="J238" s="29"/>
      <c r="K238" s="30">
        <v>44713.0</v>
      </c>
      <c r="L238" s="31">
        <v>1.0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26" t="s">
        <v>704</v>
      </c>
      <c r="B239" s="27" t="s">
        <v>705</v>
      </c>
      <c r="C239" s="32"/>
      <c r="D239" s="27" t="s">
        <v>27</v>
      </c>
      <c r="E239" s="27" t="s">
        <v>706</v>
      </c>
      <c r="F239" s="27" t="s">
        <v>40</v>
      </c>
      <c r="G239" s="27" t="s">
        <v>707</v>
      </c>
      <c r="H239" s="27" t="s">
        <v>40</v>
      </c>
      <c r="I239" s="28">
        <v>42401.0</v>
      </c>
      <c r="J239" s="29"/>
      <c r="K239" s="30">
        <v>44713.0</v>
      </c>
      <c r="L239" s="31">
        <v>1.0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26" t="s">
        <v>708</v>
      </c>
      <c r="B240" s="27" t="s">
        <v>702</v>
      </c>
      <c r="C240" s="32"/>
      <c r="D240" s="27" t="s">
        <v>27</v>
      </c>
      <c r="E240" s="27" t="s">
        <v>27</v>
      </c>
      <c r="F240" s="27" t="s">
        <v>40</v>
      </c>
      <c r="G240" s="27" t="s">
        <v>586</v>
      </c>
      <c r="H240" s="27" t="s">
        <v>40</v>
      </c>
      <c r="I240" s="28">
        <v>42401.0</v>
      </c>
      <c r="J240" s="29"/>
      <c r="K240" s="30">
        <v>44713.0</v>
      </c>
      <c r="L240" s="31">
        <v>1.0</v>
      </c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26" t="s">
        <v>709</v>
      </c>
      <c r="B241" s="27" t="s">
        <v>253</v>
      </c>
      <c r="C241" s="32"/>
      <c r="D241" s="27" t="s">
        <v>27</v>
      </c>
      <c r="E241" s="27" t="s">
        <v>27</v>
      </c>
      <c r="F241" s="27" t="s">
        <v>155</v>
      </c>
      <c r="G241" s="27" t="s">
        <v>30</v>
      </c>
      <c r="H241" s="27" t="s">
        <v>155</v>
      </c>
      <c r="I241" s="28">
        <v>43132.0</v>
      </c>
      <c r="J241" s="28">
        <v>44348.0</v>
      </c>
      <c r="K241" s="30">
        <v>45444.0</v>
      </c>
      <c r="L241" s="31">
        <v>2.0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26" t="s">
        <v>710</v>
      </c>
      <c r="B242" s="27" t="s">
        <v>269</v>
      </c>
      <c r="C242" s="27" t="s">
        <v>711</v>
      </c>
      <c r="D242" s="27" t="s">
        <v>143</v>
      </c>
      <c r="E242" s="27" t="s">
        <v>21</v>
      </c>
      <c r="F242" s="27" t="s">
        <v>45</v>
      </c>
      <c r="G242" s="27" t="s">
        <v>46</v>
      </c>
      <c r="H242" s="27" t="s">
        <v>149</v>
      </c>
      <c r="I242" s="28">
        <v>42522.0</v>
      </c>
      <c r="J242" s="29"/>
      <c r="K242" s="30">
        <v>44713.0</v>
      </c>
      <c r="L242" s="31">
        <v>1.0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26" t="s">
        <v>712</v>
      </c>
      <c r="B243" s="27" t="s">
        <v>713</v>
      </c>
      <c r="C243" s="32"/>
      <c r="D243" s="27" t="s">
        <v>27</v>
      </c>
      <c r="E243" s="27" t="s">
        <v>714</v>
      </c>
      <c r="F243" s="27" t="s">
        <v>715</v>
      </c>
      <c r="G243" s="27" t="s">
        <v>137</v>
      </c>
      <c r="H243" s="27" t="s">
        <v>287</v>
      </c>
      <c r="I243" s="28">
        <v>42887.0</v>
      </c>
      <c r="J243" s="29"/>
      <c r="K243" s="30">
        <v>43983.0</v>
      </c>
      <c r="L243" s="31">
        <v>1.0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26" t="s">
        <v>712</v>
      </c>
      <c r="B244" s="27" t="s">
        <v>716</v>
      </c>
      <c r="C244" s="32"/>
      <c r="D244" s="27" t="s">
        <v>27</v>
      </c>
      <c r="E244" s="27" t="s">
        <v>285</v>
      </c>
      <c r="F244" s="27" t="s">
        <v>40</v>
      </c>
      <c r="G244" s="27" t="s">
        <v>50</v>
      </c>
      <c r="H244" s="27" t="s">
        <v>40</v>
      </c>
      <c r="I244" s="28">
        <v>43132.0</v>
      </c>
      <c r="J244" s="28">
        <v>44348.0</v>
      </c>
      <c r="K244" s="30">
        <v>45444.0</v>
      </c>
      <c r="L244" s="31">
        <v>2.0</v>
      </c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26" t="s">
        <v>717</v>
      </c>
      <c r="B245" s="27" t="s">
        <v>718</v>
      </c>
      <c r="C245" s="32"/>
      <c r="D245" s="27" t="s">
        <v>224</v>
      </c>
      <c r="E245" s="27" t="s">
        <v>21</v>
      </c>
      <c r="F245" s="27" t="s">
        <v>99</v>
      </c>
      <c r="G245" s="27" t="s">
        <v>46</v>
      </c>
      <c r="H245" s="27" t="s">
        <v>225</v>
      </c>
      <c r="I245" s="28">
        <v>43252.0</v>
      </c>
      <c r="J245" s="29"/>
      <c r="K245" s="30">
        <v>44348.0</v>
      </c>
      <c r="L245" s="31">
        <v>1.0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>
      <c r="A246" s="26" t="s">
        <v>719</v>
      </c>
      <c r="B246" s="27" t="s">
        <v>214</v>
      </c>
      <c r="C246" s="27" t="s">
        <v>720</v>
      </c>
      <c r="D246" s="27" t="s">
        <v>458</v>
      </c>
      <c r="E246" s="27" t="s">
        <v>21</v>
      </c>
      <c r="F246" s="27" t="s">
        <v>721</v>
      </c>
      <c r="G246" s="27" t="s">
        <v>46</v>
      </c>
      <c r="H246" s="27" t="s">
        <v>126</v>
      </c>
      <c r="I246" s="28">
        <v>43617.0</v>
      </c>
      <c r="J246" s="28">
        <v>44713.0</v>
      </c>
      <c r="K246" s="30">
        <v>45809.0</v>
      </c>
      <c r="L246" s="31">
        <v>2.0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26" t="s">
        <v>722</v>
      </c>
      <c r="B247" s="27" t="s">
        <v>154</v>
      </c>
      <c r="C247" s="32"/>
      <c r="D247" s="27" t="s">
        <v>27</v>
      </c>
      <c r="E247" s="27" t="s">
        <v>21</v>
      </c>
      <c r="F247" s="27" t="s">
        <v>155</v>
      </c>
      <c r="G247" s="27" t="s">
        <v>159</v>
      </c>
      <c r="H247" s="27" t="s">
        <v>155</v>
      </c>
      <c r="I247" s="28">
        <v>43344.0</v>
      </c>
      <c r="J247" s="29"/>
      <c r="K247" s="30">
        <v>44348.0</v>
      </c>
      <c r="L247" s="31">
        <v>1.0</v>
      </c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26" t="s">
        <v>723</v>
      </c>
      <c r="B248" s="27" t="s">
        <v>169</v>
      </c>
      <c r="C248" s="27" t="s">
        <v>511</v>
      </c>
      <c r="D248" s="27" t="s">
        <v>512</v>
      </c>
      <c r="E248" s="27" t="s">
        <v>21</v>
      </c>
      <c r="F248" s="27" t="s">
        <v>109</v>
      </c>
      <c r="G248" s="27" t="s">
        <v>23</v>
      </c>
      <c r="H248" s="27" t="s">
        <v>171</v>
      </c>
      <c r="I248" s="28">
        <v>43617.0</v>
      </c>
      <c r="J248" s="29"/>
      <c r="K248" s="30">
        <v>44713.0</v>
      </c>
      <c r="L248" s="31">
        <v>1.0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26" t="s">
        <v>724</v>
      </c>
      <c r="B249" s="27" t="s">
        <v>725</v>
      </c>
      <c r="C249" s="27" t="s">
        <v>363</v>
      </c>
      <c r="D249" s="27" t="s">
        <v>143</v>
      </c>
      <c r="E249" s="27" t="s">
        <v>21</v>
      </c>
      <c r="F249" s="27" t="s">
        <v>84</v>
      </c>
      <c r="G249" s="27" t="s">
        <v>726</v>
      </c>
      <c r="H249" s="27" t="s">
        <v>24</v>
      </c>
      <c r="I249" s="28">
        <v>36892.0</v>
      </c>
      <c r="J249" s="29"/>
      <c r="K249" s="30">
        <v>45809.0</v>
      </c>
      <c r="L249" s="31">
        <v>1.0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26" t="s">
        <v>727</v>
      </c>
      <c r="B250" s="27" t="s">
        <v>728</v>
      </c>
      <c r="C250" s="27" t="s">
        <v>729</v>
      </c>
      <c r="D250" s="27" t="s">
        <v>20</v>
      </c>
      <c r="E250" s="27" t="s">
        <v>21</v>
      </c>
      <c r="F250" s="27" t="s">
        <v>383</v>
      </c>
      <c r="G250" s="27" t="s">
        <v>23</v>
      </c>
      <c r="H250" s="27" t="s">
        <v>152</v>
      </c>
      <c r="I250" s="28">
        <v>43252.0</v>
      </c>
      <c r="J250" s="28">
        <v>44348.0</v>
      </c>
      <c r="K250" s="30">
        <v>45444.0</v>
      </c>
      <c r="L250" s="31">
        <v>2.0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26" t="s">
        <v>730</v>
      </c>
      <c r="B251" s="27" t="s">
        <v>731</v>
      </c>
      <c r="C251" s="27" t="s">
        <v>732</v>
      </c>
      <c r="D251" s="27" t="s">
        <v>458</v>
      </c>
      <c r="E251" s="27" t="s">
        <v>21</v>
      </c>
      <c r="F251" s="27" t="s">
        <v>79</v>
      </c>
      <c r="G251" s="27" t="s">
        <v>46</v>
      </c>
      <c r="H251" s="27" t="s">
        <v>689</v>
      </c>
      <c r="I251" s="28">
        <v>42887.0</v>
      </c>
      <c r="J251" s="29"/>
      <c r="K251" s="30">
        <v>43983.0</v>
      </c>
      <c r="L251" s="31">
        <v>1.0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26" t="s">
        <v>730</v>
      </c>
      <c r="B252" s="27" t="s">
        <v>150</v>
      </c>
      <c r="C252" s="27" t="s">
        <v>732</v>
      </c>
      <c r="D252" s="27" t="s">
        <v>458</v>
      </c>
      <c r="E252" s="27" t="s">
        <v>21</v>
      </c>
      <c r="F252" s="27" t="s">
        <v>90</v>
      </c>
      <c r="G252" s="27" t="s">
        <v>36</v>
      </c>
      <c r="H252" s="27" t="s">
        <v>689</v>
      </c>
      <c r="I252" s="28">
        <v>42887.0</v>
      </c>
      <c r="J252" s="29"/>
      <c r="K252" s="30">
        <v>43983.0</v>
      </c>
      <c r="L252" s="31">
        <v>1.0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26" t="s">
        <v>249</v>
      </c>
      <c r="B253" s="27" t="s">
        <v>351</v>
      </c>
      <c r="C253" s="27" t="s">
        <v>210</v>
      </c>
      <c r="D253" s="27" t="s">
        <v>44</v>
      </c>
      <c r="E253" s="27" t="s">
        <v>21</v>
      </c>
      <c r="F253" s="27" t="s">
        <v>733</v>
      </c>
      <c r="G253" s="27" t="s">
        <v>36</v>
      </c>
      <c r="H253" s="27" t="s">
        <v>397</v>
      </c>
      <c r="I253" s="28">
        <v>43617.0</v>
      </c>
      <c r="J253" s="29"/>
      <c r="K253" s="30">
        <v>44713.0</v>
      </c>
      <c r="L253" s="31">
        <v>1.0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26" t="s">
        <v>734</v>
      </c>
      <c r="B254" s="27" t="s">
        <v>636</v>
      </c>
      <c r="C254" s="27" t="s">
        <v>735</v>
      </c>
      <c r="D254" s="27" t="s">
        <v>512</v>
      </c>
      <c r="E254" s="27" t="s">
        <v>21</v>
      </c>
      <c r="F254" s="27" t="s">
        <v>103</v>
      </c>
      <c r="G254" s="27" t="s">
        <v>736</v>
      </c>
      <c r="H254" s="27" t="s">
        <v>103</v>
      </c>
      <c r="I254" s="28">
        <v>42401.0</v>
      </c>
      <c r="J254" s="29"/>
      <c r="K254" s="30">
        <v>44713.0</v>
      </c>
      <c r="L254" s="31">
        <v>1.0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33" t="s">
        <v>737</v>
      </c>
      <c r="B255" s="34" t="s">
        <v>738</v>
      </c>
      <c r="C255" s="34" t="s">
        <v>363</v>
      </c>
      <c r="D255" s="34" t="s">
        <v>143</v>
      </c>
      <c r="E255" s="34" t="s">
        <v>21</v>
      </c>
      <c r="F255" s="34" t="s">
        <v>739</v>
      </c>
      <c r="G255" s="34" t="s">
        <v>23</v>
      </c>
      <c r="H255" s="34" t="s">
        <v>126</v>
      </c>
      <c r="I255" s="28">
        <v>43617.0</v>
      </c>
      <c r="J255" s="28">
        <v>44713.0</v>
      </c>
      <c r="K255" s="30">
        <v>45809.0</v>
      </c>
      <c r="L255" s="31">
        <v>2.0</v>
      </c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26" t="s">
        <v>740</v>
      </c>
      <c r="B256" s="27" t="s">
        <v>145</v>
      </c>
      <c r="C256" s="27" t="s">
        <v>741</v>
      </c>
      <c r="D256" s="27" t="s">
        <v>94</v>
      </c>
      <c r="E256" s="27" t="s">
        <v>21</v>
      </c>
      <c r="F256" s="27" t="s">
        <v>45</v>
      </c>
      <c r="G256" s="27" t="s">
        <v>137</v>
      </c>
      <c r="H256" s="27" t="s">
        <v>135</v>
      </c>
      <c r="I256" s="28">
        <v>43252.0</v>
      </c>
      <c r="J256" s="28">
        <v>44348.0</v>
      </c>
      <c r="K256" s="30">
        <v>45444.0</v>
      </c>
      <c r="L256" s="31">
        <v>2.0</v>
      </c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26" t="s">
        <v>742</v>
      </c>
      <c r="B257" s="27" t="s">
        <v>266</v>
      </c>
      <c r="C257" s="27" t="s">
        <v>743</v>
      </c>
      <c r="D257" s="27" t="s">
        <v>744</v>
      </c>
      <c r="E257" s="27" t="s">
        <v>21</v>
      </c>
      <c r="F257" s="27" t="s">
        <v>56</v>
      </c>
      <c r="G257" s="27" t="s">
        <v>46</v>
      </c>
      <c r="H257" s="27" t="s">
        <v>57</v>
      </c>
      <c r="I257" s="28">
        <v>43617.0</v>
      </c>
      <c r="J257" s="29"/>
      <c r="K257" s="30">
        <v>44713.0</v>
      </c>
      <c r="L257" s="31">
        <v>1.0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26" t="s">
        <v>745</v>
      </c>
      <c r="B258" s="27" t="s">
        <v>154</v>
      </c>
      <c r="C258" s="27" t="s">
        <v>746</v>
      </c>
      <c r="D258" s="27" t="s">
        <v>282</v>
      </c>
      <c r="E258" s="27" t="s">
        <v>21</v>
      </c>
      <c r="F258" s="27" t="s">
        <v>367</v>
      </c>
      <c r="G258" s="27" t="s">
        <v>46</v>
      </c>
      <c r="H258" s="27" t="s">
        <v>207</v>
      </c>
      <c r="I258" s="28">
        <v>42887.0</v>
      </c>
      <c r="J258" s="28">
        <v>43983.0</v>
      </c>
      <c r="K258" s="30">
        <v>45078.0</v>
      </c>
      <c r="L258" s="31">
        <v>2.0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26" t="s">
        <v>747</v>
      </c>
      <c r="B259" s="27" t="s">
        <v>748</v>
      </c>
      <c r="C259" s="27" t="s">
        <v>749</v>
      </c>
      <c r="D259" s="27" t="s">
        <v>130</v>
      </c>
      <c r="E259" s="27" t="s">
        <v>21</v>
      </c>
      <c r="F259" s="27" t="s">
        <v>71</v>
      </c>
      <c r="G259" s="27" t="s">
        <v>46</v>
      </c>
      <c r="H259" s="27" t="s">
        <v>72</v>
      </c>
      <c r="I259" s="28">
        <v>43252.0</v>
      </c>
      <c r="J259" s="29"/>
      <c r="K259" s="30">
        <v>44348.0</v>
      </c>
      <c r="L259" s="31">
        <v>1.0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26" t="s">
        <v>750</v>
      </c>
      <c r="B260" s="27" t="s">
        <v>647</v>
      </c>
      <c r="C260" s="27" t="s">
        <v>751</v>
      </c>
      <c r="D260" s="27" t="s">
        <v>89</v>
      </c>
      <c r="E260" s="27" t="s">
        <v>21</v>
      </c>
      <c r="F260" s="27" t="s">
        <v>79</v>
      </c>
      <c r="G260" s="27" t="s">
        <v>36</v>
      </c>
      <c r="H260" s="27" t="s">
        <v>237</v>
      </c>
      <c r="I260" s="28">
        <v>42887.0</v>
      </c>
      <c r="J260" s="29"/>
      <c r="K260" s="30">
        <v>43983.0</v>
      </c>
      <c r="L260" s="31">
        <v>1.0</v>
      </c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26" t="s">
        <v>752</v>
      </c>
      <c r="B261" s="27" t="s">
        <v>753</v>
      </c>
      <c r="C261" s="27" t="s">
        <v>754</v>
      </c>
      <c r="D261" s="27" t="s">
        <v>222</v>
      </c>
      <c r="E261" s="27" t="s">
        <v>21</v>
      </c>
      <c r="F261" s="27" t="s">
        <v>408</v>
      </c>
      <c r="G261" s="27" t="s">
        <v>417</v>
      </c>
      <c r="H261" s="27" t="s">
        <v>408</v>
      </c>
      <c r="I261" s="28">
        <v>42772.0</v>
      </c>
      <c r="J261" s="28">
        <v>43983.0</v>
      </c>
      <c r="K261" s="30">
        <v>45078.0</v>
      </c>
      <c r="L261" s="31">
        <v>2.0</v>
      </c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26" t="s">
        <v>755</v>
      </c>
      <c r="B262" s="27" t="s">
        <v>517</v>
      </c>
      <c r="C262" s="32"/>
      <c r="D262" s="27" t="s">
        <v>27</v>
      </c>
      <c r="E262" s="27" t="s">
        <v>39</v>
      </c>
      <c r="F262" s="27" t="s">
        <v>40</v>
      </c>
      <c r="G262" s="27" t="s">
        <v>578</v>
      </c>
      <c r="H262" s="27" t="s">
        <v>40</v>
      </c>
      <c r="I262" s="28">
        <v>43132.0</v>
      </c>
      <c r="J262" s="28">
        <v>44348.0</v>
      </c>
      <c r="K262" s="30">
        <v>45444.0</v>
      </c>
      <c r="L262" s="31">
        <v>2.0</v>
      </c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26" t="s">
        <v>756</v>
      </c>
      <c r="B263" s="27" t="s">
        <v>757</v>
      </c>
      <c r="C263" s="32"/>
      <c r="D263" s="27" t="s">
        <v>27</v>
      </c>
      <c r="E263" s="27" t="s">
        <v>758</v>
      </c>
      <c r="F263" s="27" t="s">
        <v>40</v>
      </c>
      <c r="G263" s="27" t="s">
        <v>759</v>
      </c>
      <c r="H263" s="27" t="s">
        <v>40</v>
      </c>
      <c r="I263" s="28">
        <v>42401.0</v>
      </c>
      <c r="J263" s="29"/>
      <c r="K263" s="30">
        <v>44713.0</v>
      </c>
      <c r="L263" s="31">
        <v>1.0</v>
      </c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26" t="s">
        <v>760</v>
      </c>
      <c r="B264" s="27" t="s">
        <v>534</v>
      </c>
      <c r="C264" s="27" t="s">
        <v>620</v>
      </c>
      <c r="D264" s="27" t="s">
        <v>282</v>
      </c>
      <c r="E264" s="27" t="s">
        <v>21</v>
      </c>
      <c r="F264" s="27" t="s">
        <v>109</v>
      </c>
      <c r="G264" s="27" t="s">
        <v>46</v>
      </c>
      <c r="H264" s="27" t="s">
        <v>57</v>
      </c>
      <c r="I264" s="28">
        <v>43617.0</v>
      </c>
      <c r="J264" s="29"/>
      <c r="K264" s="30">
        <v>44713.0</v>
      </c>
      <c r="L264" s="31">
        <v>1.0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26" t="s">
        <v>761</v>
      </c>
      <c r="B265" s="27" t="s">
        <v>762</v>
      </c>
      <c r="C265" s="32"/>
      <c r="D265" s="27" t="s">
        <v>27</v>
      </c>
      <c r="E265" s="27" t="s">
        <v>763</v>
      </c>
      <c r="F265" s="27" t="s">
        <v>40</v>
      </c>
      <c r="G265" s="27" t="s">
        <v>764</v>
      </c>
      <c r="H265" s="27" t="s">
        <v>40</v>
      </c>
      <c r="I265" s="28">
        <v>43132.0</v>
      </c>
      <c r="J265" s="28">
        <v>44348.0</v>
      </c>
      <c r="K265" s="30">
        <v>45444.0</v>
      </c>
      <c r="L265" s="31">
        <v>2.0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26" t="s">
        <v>765</v>
      </c>
      <c r="B266" s="27" t="s">
        <v>42</v>
      </c>
      <c r="C266" s="27" t="s">
        <v>411</v>
      </c>
      <c r="D266" s="27" t="s">
        <v>282</v>
      </c>
      <c r="E266" s="27" t="s">
        <v>21</v>
      </c>
      <c r="F266" s="27" t="s">
        <v>79</v>
      </c>
      <c r="G266" s="27" t="s">
        <v>23</v>
      </c>
      <c r="H266" s="27" t="s">
        <v>135</v>
      </c>
      <c r="I266" s="28">
        <v>43252.0</v>
      </c>
      <c r="J266" s="29"/>
      <c r="K266" s="30">
        <v>44348.0</v>
      </c>
      <c r="L266" s="31">
        <v>1.0</v>
      </c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26" t="s">
        <v>766</v>
      </c>
      <c r="B267" s="27" t="s">
        <v>87</v>
      </c>
      <c r="C267" s="27" t="s">
        <v>767</v>
      </c>
      <c r="D267" s="27" t="s">
        <v>222</v>
      </c>
      <c r="E267" s="27" t="s">
        <v>21</v>
      </c>
      <c r="F267" s="27" t="s">
        <v>79</v>
      </c>
      <c r="G267" s="27" t="s">
        <v>46</v>
      </c>
      <c r="H267" s="27" t="s">
        <v>229</v>
      </c>
      <c r="I267" s="28">
        <v>42887.0</v>
      </c>
      <c r="J267" s="29"/>
      <c r="K267" s="30">
        <v>43983.0</v>
      </c>
      <c r="L267" s="31">
        <v>1.0</v>
      </c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26" t="s">
        <v>768</v>
      </c>
      <c r="B268" s="27" t="s">
        <v>413</v>
      </c>
      <c r="C268" s="27" t="s">
        <v>769</v>
      </c>
      <c r="D268" s="27" t="s">
        <v>222</v>
      </c>
      <c r="E268" s="27" t="s">
        <v>21</v>
      </c>
      <c r="F268" s="27" t="s">
        <v>35</v>
      </c>
      <c r="G268" s="27" t="s">
        <v>23</v>
      </c>
      <c r="H268" s="27" t="s">
        <v>241</v>
      </c>
      <c r="I268" s="28">
        <v>43617.0</v>
      </c>
      <c r="J268" s="29"/>
      <c r="K268" s="30">
        <v>44713.0</v>
      </c>
      <c r="L268" s="31">
        <v>1.0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26" t="s">
        <v>770</v>
      </c>
      <c r="B269" s="27" t="s">
        <v>771</v>
      </c>
      <c r="C269" s="32"/>
      <c r="D269" s="27" t="s">
        <v>27</v>
      </c>
      <c r="E269" s="27" t="s">
        <v>21</v>
      </c>
      <c r="F269" s="27" t="s">
        <v>155</v>
      </c>
      <c r="G269" s="27" t="s">
        <v>772</v>
      </c>
      <c r="H269" s="27" t="s">
        <v>155</v>
      </c>
      <c r="I269" s="28">
        <v>43132.0</v>
      </c>
      <c r="J269" s="28">
        <v>44348.0</v>
      </c>
      <c r="K269" s="30">
        <v>45444.0</v>
      </c>
      <c r="L269" s="31">
        <v>2.0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26" t="s">
        <v>773</v>
      </c>
      <c r="B270" s="27" t="s">
        <v>351</v>
      </c>
      <c r="C270" s="27" t="s">
        <v>774</v>
      </c>
      <c r="D270" s="27" t="s">
        <v>44</v>
      </c>
      <c r="E270" s="27" t="s">
        <v>21</v>
      </c>
      <c r="F270" s="27" t="s">
        <v>79</v>
      </c>
      <c r="G270" s="27" t="s">
        <v>36</v>
      </c>
      <c r="H270" s="27" t="s">
        <v>47</v>
      </c>
      <c r="I270" s="28">
        <v>43252.0</v>
      </c>
      <c r="J270" s="29"/>
      <c r="K270" s="30">
        <v>44348.0</v>
      </c>
      <c r="L270" s="31">
        <v>1.0</v>
      </c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26" t="s">
        <v>775</v>
      </c>
      <c r="B271" s="27" t="s">
        <v>776</v>
      </c>
      <c r="C271" s="27" t="s">
        <v>777</v>
      </c>
      <c r="D271" s="27" t="s">
        <v>44</v>
      </c>
      <c r="E271" s="27" t="s">
        <v>21</v>
      </c>
      <c r="F271" s="27" t="s">
        <v>109</v>
      </c>
      <c r="G271" s="27" t="s">
        <v>36</v>
      </c>
      <c r="H271" s="27" t="s">
        <v>397</v>
      </c>
      <c r="I271" s="28">
        <v>43617.0</v>
      </c>
      <c r="J271" s="29"/>
      <c r="K271" s="30">
        <v>44713.0</v>
      </c>
      <c r="L271" s="31">
        <v>1.0</v>
      </c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26" t="s">
        <v>778</v>
      </c>
      <c r="B272" s="27" t="s">
        <v>447</v>
      </c>
      <c r="C272" s="27" t="s">
        <v>779</v>
      </c>
      <c r="D272" s="27" t="s">
        <v>143</v>
      </c>
      <c r="E272" s="27" t="s">
        <v>21</v>
      </c>
      <c r="F272" s="27" t="s">
        <v>780</v>
      </c>
      <c r="G272" s="27" t="s">
        <v>36</v>
      </c>
      <c r="H272" s="27" t="s">
        <v>582</v>
      </c>
      <c r="I272" s="28">
        <v>42887.0</v>
      </c>
      <c r="J272" s="29"/>
      <c r="K272" s="30">
        <v>43983.0</v>
      </c>
      <c r="L272" s="31">
        <v>1.0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33" t="s">
        <v>781</v>
      </c>
      <c r="B273" s="34" t="s">
        <v>782</v>
      </c>
      <c r="C273" s="34" t="s">
        <v>273</v>
      </c>
      <c r="D273" s="34" t="s">
        <v>94</v>
      </c>
      <c r="E273" s="34" t="s">
        <v>21</v>
      </c>
      <c r="F273" s="34" t="s">
        <v>79</v>
      </c>
      <c r="G273" s="34" t="s">
        <v>23</v>
      </c>
      <c r="H273" s="34" t="s">
        <v>331</v>
      </c>
      <c r="I273" s="28">
        <v>43252.0</v>
      </c>
      <c r="J273" s="29"/>
      <c r="K273" s="30">
        <v>44348.0</v>
      </c>
      <c r="L273" s="31">
        <v>1.0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26" t="s">
        <v>783</v>
      </c>
      <c r="B274" s="27" t="s">
        <v>227</v>
      </c>
      <c r="C274" s="27" t="s">
        <v>784</v>
      </c>
      <c r="D274" s="27" t="s">
        <v>20</v>
      </c>
      <c r="E274" s="27" t="s">
        <v>21</v>
      </c>
      <c r="F274" s="27" t="s">
        <v>383</v>
      </c>
      <c r="G274" s="27" t="s">
        <v>23</v>
      </c>
      <c r="H274" s="27" t="s">
        <v>233</v>
      </c>
      <c r="I274" s="28">
        <v>43617.0</v>
      </c>
      <c r="J274" s="29"/>
      <c r="K274" s="30">
        <v>44713.0</v>
      </c>
      <c r="L274" s="31">
        <v>1.0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26" t="s">
        <v>785</v>
      </c>
      <c r="B275" s="27" t="s">
        <v>786</v>
      </c>
      <c r="C275" s="32"/>
      <c r="D275" s="27" t="s">
        <v>27</v>
      </c>
      <c r="E275" s="27" t="s">
        <v>706</v>
      </c>
      <c r="F275" s="27" t="s">
        <v>380</v>
      </c>
      <c r="G275" s="32"/>
      <c r="H275" s="27" t="s">
        <v>24</v>
      </c>
      <c r="I275" s="28">
        <v>36892.0</v>
      </c>
      <c r="J275" s="29"/>
      <c r="K275" s="30">
        <v>45809.0</v>
      </c>
      <c r="L275" s="31">
        <v>1.0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26" t="s">
        <v>787</v>
      </c>
      <c r="B276" s="27" t="s">
        <v>32</v>
      </c>
      <c r="C276" s="27" t="s">
        <v>788</v>
      </c>
      <c r="D276" s="27" t="s">
        <v>222</v>
      </c>
      <c r="E276" s="27" t="s">
        <v>21</v>
      </c>
      <c r="F276" s="27" t="s">
        <v>56</v>
      </c>
      <c r="G276" s="27" t="s">
        <v>46</v>
      </c>
      <c r="H276" s="27" t="s">
        <v>233</v>
      </c>
      <c r="I276" s="28">
        <v>43617.0</v>
      </c>
      <c r="J276" s="29"/>
      <c r="K276" s="30">
        <v>44713.0</v>
      </c>
      <c r="L276" s="31">
        <v>1.0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33" t="s">
        <v>789</v>
      </c>
      <c r="B277" s="34" t="s">
        <v>790</v>
      </c>
      <c r="C277" s="34" t="s">
        <v>791</v>
      </c>
      <c r="D277" s="34" t="s">
        <v>389</v>
      </c>
      <c r="E277" s="34" t="s">
        <v>21</v>
      </c>
      <c r="F277" s="34" t="s">
        <v>179</v>
      </c>
      <c r="G277" s="34" t="s">
        <v>137</v>
      </c>
      <c r="H277" s="34" t="s">
        <v>126</v>
      </c>
      <c r="I277" s="30">
        <v>43617.0</v>
      </c>
      <c r="J277" s="36"/>
      <c r="K277" s="30">
        <v>44713.0</v>
      </c>
      <c r="L277" s="31">
        <v>1.0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26" t="s">
        <v>792</v>
      </c>
      <c r="B278" s="27" t="s">
        <v>150</v>
      </c>
      <c r="C278" s="27" t="s">
        <v>652</v>
      </c>
      <c r="D278" s="27" t="s">
        <v>55</v>
      </c>
      <c r="E278" s="27" t="s">
        <v>21</v>
      </c>
      <c r="F278" s="27" t="s">
        <v>364</v>
      </c>
      <c r="G278" s="27" t="s">
        <v>46</v>
      </c>
      <c r="H278" s="27" t="s">
        <v>57</v>
      </c>
      <c r="I278" s="28">
        <v>43617.0</v>
      </c>
      <c r="J278" s="29"/>
      <c r="K278" s="30">
        <v>44713.0</v>
      </c>
      <c r="L278" s="31">
        <v>1.0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26" t="s">
        <v>793</v>
      </c>
      <c r="B279" s="27" t="s">
        <v>794</v>
      </c>
      <c r="C279" s="27" t="s">
        <v>634</v>
      </c>
      <c r="D279" s="27" t="s">
        <v>143</v>
      </c>
      <c r="E279" s="27" t="s">
        <v>21</v>
      </c>
      <c r="F279" s="27" t="s">
        <v>79</v>
      </c>
      <c r="G279" s="27" t="s">
        <v>23</v>
      </c>
      <c r="H279" s="27" t="s">
        <v>795</v>
      </c>
      <c r="I279" s="28">
        <v>41426.0</v>
      </c>
      <c r="J279" s="29"/>
      <c r="K279" s="30">
        <v>44348.0</v>
      </c>
      <c r="L279" s="31">
        <v>1.0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26" t="s">
        <v>796</v>
      </c>
      <c r="B280" s="27" t="s">
        <v>546</v>
      </c>
      <c r="C280" s="32"/>
      <c r="D280" s="27" t="s">
        <v>27</v>
      </c>
      <c r="E280" s="27" t="s">
        <v>21</v>
      </c>
      <c r="F280" s="27" t="s">
        <v>445</v>
      </c>
      <c r="G280" s="27" t="s">
        <v>797</v>
      </c>
      <c r="H280" s="27" t="s">
        <v>445</v>
      </c>
      <c r="I280" s="28">
        <v>42765.0</v>
      </c>
      <c r="J280" s="28">
        <v>43983.0</v>
      </c>
      <c r="K280" s="30">
        <v>45078.0</v>
      </c>
      <c r="L280" s="31">
        <v>2.0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26" t="s">
        <v>798</v>
      </c>
      <c r="B281" s="27" t="s">
        <v>799</v>
      </c>
      <c r="C281" s="32"/>
      <c r="D281" s="27" t="s">
        <v>27</v>
      </c>
      <c r="E281" s="27" t="s">
        <v>39</v>
      </c>
      <c r="F281" s="27" t="s">
        <v>40</v>
      </c>
      <c r="G281" s="27" t="s">
        <v>50</v>
      </c>
      <c r="H281" s="27" t="s">
        <v>40</v>
      </c>
      <c r="I281" s="28">
        <v>42401.0</v>
      </c>
      <c r="J281" s="29"/>
      <c r="K281" s="30">
        <v>44713.0</v>
      </c>
      <c r="L281" s="31">
        <v>1.0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26" t="s">
        <v>800</v>
      </c>
      <c r="B282" s="27" t="s">
        <v>416</v>
      </c>
      <c r="C282" s="27" t="s">
        <v>281</v>
      </c>
      <c r="D282" s="27" t="s">
        <v>282</v>
      </c>
      <c r="E282" s="27" t="s">
        <v>21</v>
      </c>
      <c r="F282" s="27" t="s">
        <v>45</v>
      </c>
      <c r="G282" s="27" t="s">
        <v>46</v>
      </c>
      <c r="H282" s="27" t="s">
        <v>24</v>
      </c>
      <c r="I282" s="28">
        <v>36892.0</v>
      </c>
      <c r="J282" s="29"/>
      <c r="K282" s="30">
        <v>45809.0</v>
      </c>
      <c r="L282" s="31">
        <v>1.0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26" t="s">
        <v>801</v>
      </c>
      <c r="B283" s="27" t="s">
        <v>227</v>
      </c>
      <c r="C283" s="27" t="s">
        <v>802</v>
      </c>
      <c r="D283" s="27" t="s">
        <v>313</v>
      </c>
      <c r="E283" s="27" t="s">
        <v>21</v>
      </c>
      <c r="F283" s="27" t="s">
        <v>803</v>
      </c>
      <c r="G283" s="27" t="s">
        <v>137</v>
      </c>
      <c r="H283" s="27" t="s">
        <v>135</v>
      </c>
      <c r="I283" s="28">
        <v>41791.0</v>
      </c>
      <c r="J283" s="29"/>
      <c r="K283" s="30">
        <v>44348.0</v>
      </c>
      <c r="L283" s="31">
        <v>1.0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26" t="s">
        <v>804</v>
      </c>
      <c r="B284" s="27" t="s">
        <v>346</v>
      </c>
      <c r="C284" s="27" t="s">
        <v>805</v>
      </c>
      <c r="D284" s="27" t="s">
        <v>323</v>
      </c>
      <c r="E284" s="27" t="s">
        <v>21</v>
      </c>
      <c r="F284" s="27" t="s">
        <v>79</v>
      </c>
      <c r="G284" s="27" t="s">
        <v>36</v>
      </c>
      <c r="H284" s="27" t="s">
        <v>324</v>
      </c>
      <c r="I284" s="28">
        <v>43252.0</v>
      </c>
      <c r="J284" s="29"/>
      <c r="K284" s="30">
        <v>44348.0</v>
      </c>
      <c r="L284" s="31">
        <v>1.0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26" t="s">
        <v>806</v>
      </c>
      <c r="B285" s="27" t="s">
        <v>807</v>
      </c>
      <c r="C285" s="27" t="s">
        <v>808</v>
      </c>
      <c r="D285" s="27" t="s">
        <v>323</v>
      </c>
      <c r="E285" s="27" t="s">
        <v>21</v>
      </c>
      <c r="F285" s="27" t="s">
        <v>125</v>
      </c>
      <c r="G285" s="27" t="s">
        <v>23</v>
      </c>
      <c r="H285" s="27" t="s">
        <v>126</v>
      </c>
      <c r="I285" s="28">
        <v>43617.0</v>
      </c>
      <c r="J285" s="29"/>
      <c r="K285" s="30">
        <v>44713.0</v>
      </c>
      <c r="L285" s="31">
        <v>1.0</v>
      </c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26" t="s">
        <v>809</v>
      </c>
      <c r="B286" s="27" t="s">
        <v>106</v>
      </c>
      <c r="C286" s="27" t="s">
        <v>300</v>
      </c>
      <c r="D286" s="27" t="s">
        <v>222</v>
      </c>
      <c r="E286" s="27" t="s">
        <v>21</v>
      </c>
      <c r="F286" s="27" t="s">
        <v>314</v>
      </c>
      <c r="G286" s="27" t="s">
        <v>23</v>
      </c>
      <c r="H286" s="27" t="s">
        <v>344</v>
      </c>
      <c r="I286" s="28">
        <v>42887.0</v>
      </c>
      <c r="J286" s="29"/>
      <c r="K286" s="30">
        <v>43983.0</v>
      </c>
      <c r="L286" s="31">
        <v>1.0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26" t="s">
        <v>810</v>
      </c>
      <c r="B287" s="27" t="s">
        <v>811</v>
      </c>
      <c r="C287" s="27" t="s">
        <v>812</v>
      </c>
      <c r="D287" s="27" t="s">
        <v>44</v>
      </c>
      <c r="E287" s="27" t="s">
        <v>21</v>
      </c>
      <c r="F287" s="27" t="s">
        <v>421</v>
      </c>
      <c r="G287" s="27" t="s">
        <v>36</v>
      </c>
      <c r="H287" s="27" t="s">
        <v>211</v>
      </c>
      <c r="I287" s="28">
        <v>43252.0</v>
      </c>
      <c r="J287" s="29"/>
      <c r="K287" s="30">
        <v>44348.0</v>
      </c>
      <c r="L287" s="31">
        <v>1.0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26" t="s">
        <v>813</v>
      </c>
      <c r="B288" s="27" t="s">
        <v>814</v>
      </c>
      <c r="C288" s="32"/>
      <c r="D288" s="27" t="s">
        <v>27</v>
      </c>
      <c r="E288" s="27" t="s">
        <v>70</v>
      </c>
      <c r="F288" s="27" t="s">
        <v>408</v>
      </c>
      <c r="G288" s="27" t="s">
        <v>815</v>
      </c>
      <c r="H288" s="27" t="s">
        <v>408</v>
      </c>
      <c r="I288" s="28">
        <v>42772.0</v>
      </c>
      <c r="J288" s="28">
        <v>43983.0</v>
      </c>
      <c r="K288" s="30">
        <v>45078.0</v>
      </c>
      <c r="L288" s="31">
        <v>2.0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26" t="s">
        <v>816</v>
      </c>
      <c r="B289" s="27" t="s">
        <v>475</v>
      </c>
      <c r="C289" s="27" t="s">
        <v>817</v>
      </c>
      <c r="D289" s="27" t="s">
        <v>44</v>
      </c>
      <c r="E289" s="27" t="s">
        <v>21</v>
      </c>
      <c r="F289" s="27" t="s">
        <v>56</v>
      </c>
      <c r="G289" s="27" t="s">
        <v>46</v>
      </c>
      <c r="H289" s="27" t="s">
        <v>397</v>
      </c>
      <c r="I289" s="28">
        <v>43617.0</v>
      </c>
      <c r="J289" s="29"/>
      <c r="K289" s="30">
        <v>44713.0</v>
      </c>
      <c r="L289" s="31">
        <v>1.0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26" t="s">
        <v>818</v>
      </c>
      <c r="B290" s="27" t="s">
        <v>573</v>
      </c>
      <c r="C290" s="32"/>
      <c r="D290" s="27" t="s">
        <v>819</v>
      </c>
      <c r="E290" s="27" t="s">
        <v>21</v>
      </c>
      <c r="F290" s="27" t="s">
        <v>155</v>
      </c>
      <c r="G290" s="27" t="s">
        <v>104</v>
      </c>
      <c r="H290" s="27" t="s">
        <v>155</v>
      </c>
      <c r="I290" s="28">
        <v>43132.0</v>
      </c>
      <c r="J290" s="28">
        <v>44348.0</v>
      </c>
      <c r="K290" s="30">
        <v>45444.0</v>
      </c>
      <c r="L290" s="31">
        <v>2.0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26" t="s">
        <v>820</v>
      </c>
      <c r="B291" s="27" t="s">
        <v>821</v>
      </c>
      <c r="C291" s="32"/>
      <c r="D291" s="27" t="s">
        <v>27</v>
      </c>
      <c r="E291" s="27" t="s">
        <v>28</v>
      </c>
      <c r="F291" s="27" t="s">
        <v>29</v>
      </c>
      <c r="G291" s="27" t="s">
        <v>822</v>
      </c>
      <c r="H291" s="27" t="s">
        <v>65</v>
      </c>
      <c r="I291" s="28">
        <v>43136.0</v>
      </c>
      <c r="J291" s="28">
        <v>44348.0</v>
      </c>
      <c r="K291" s="30">
        <v>45444.0</v>
      </c>
      <c r="L291" s="31">
        <v>2.0</v>
      </c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26" t="s">
        <v>823</v>
      </c>
      <c r="B292" s="27" t="s">
        <v>32</v>
      </c>
      <c r="C292" s="27" t="s">
        <v>824</v>
      </c>
      <c r="D292" s="27" t="s">
        <v>20</v>
      </c>
      <c r="E292" s="27" t="s">
        <v>21</v>
      </c>
      <c r="F292" s="27" t="s">
        <v>90</v>
      </c>
      <c r="G292" s="27" t="s">
        <v>23</v>
      </c>
      <c r="H292" s="27" t="s">
        <v>328</v>
      </c>
      <c r="I292" s="28">
        <v>43252.0</v>
      </c>
      <c r="J292" s="29"/>
      <c r="K292" s="30">
        <v>44348.0</v>
      </c>
      <c r="L292" s="31">
        <v>1.0</v>
      </c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33" t="s">
        <v>825</v>
      </c>
      <c r="B293" s="34" t="s">
        <v>116</v>
      </c>
      <c r="C293" s="34" t="s">
        <v>826</v>
      </c>
      <c r="D293" s="34" t="s">
        <v>641</v>
      </c>
      <c r="E293" s="34" t="s">
        <v>21</v>
      </c>
      <c r="F293" s="34" t="s">
        <v>45</v>
      </c>
      <c r="G293" s="34" t="s">
        <v>36</v>
      </c>
      <c r="H293" s="34" t="s">
        <v>339</v>
      </c>
      <c r="I293" s="28">
        <v>42887.0</v>
      </c>
      <c r="J293" s="29"/>
      <c r="K293" s="30">
        <v>44348.0</v>
      </c>
      <c r="L293" s="31">
        <v>1.0</v>
      </c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33" t="s">
        <v>827</v>
      </c>
      <c r="B294" s="34" t="s">
        <v>42</v>
      </c>
      <c r="C294" s="34" t="s">
        <v>828</v>
      </c>
      <c r="D294" s="34" t="s">
        <v>143</v>
      </c>
      <c r="E294" s="34" t="s">
        <v>21</v>
      </c>
      <c r="F294" s="34" t="s">
        <v>45</v>
      </c>
      <c r="G294" s="34" t="s">
        <v>46</v>
      </c>
      <c r="H294" s="34" t="s">
        <v>795</v>
      </c>
      <c r="I294" s="30">
        <v>42887.0</v>
      </c>
      <c r="J294" s="36"/>
      <c r="K294" s="30">
        <v>44348.0</v>
      </c>
      <c r="L294" s="31">
        <v>1.0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26" t="s">
        <v>829</v>
      </c>
      <c r="B295" s="27" t="s">
        <v>92</v>
      </c>
      <c r="C295" s="27" t="s">
        <v>170</v>
      </c>
      <c r="D295" s="27" t="s">
        <v>89</v>
      </c>
      <c r="E295" s="27" t="s">
        <v>21</v>
      </c>
      <c r="F295" s="27" t="s">
        <v>45</v>
      </c>
      <c r="G295" s="27" t="s">
        <v>23</v>
      </c>
      <c r="H295" s="27" t="s">
        <v>331</v>
      </c>
      <c r="I295" s="28">
        <v>42887.0</v>
      </c>
      <c r="J295" s="29"/>
      <c r="K295" s="30">
        <v>44348.0</v>
      </c>
      <c r="L295" s="31">
        <v>1.0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26" t="s">
        <v>830</v>
      </c>
      <c r="B296" s="27" t="s">
        <v>76</v>
      </c>
      <c r="C296" s="27" t="s">
        <v>831</v>
      </c>
      <c r="D296" s="27" t="s">
        <v>89</v>
      </c>
      <c r="E296" s="27" t="s">
        <v>21</v>
      </c>
      <c r="F296" s="27" t="s">
        <v>290</v>
      </c>
      <c r="G296" s="27" t="s">
        <v>832</v>
      </c>
      <c r="H296" s="27" t="s">
        <v>287</v>
      </c>
      <c r="I296" s="28">
        <v>42887.0</v>
      </c>
      <c r="J296" s="29"/>
      <c r="K296" s="30">
        <v>43983.0</v>
      </c>
      <c r="L296" s="31">
        <v>1.0</v>
      </c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26" t="s">
        <v>833</v>
      </c>
      <c r="B297" s="27" t="s">
        <v>116</v>
      </c>
      <c r="C297" s="27" t="s">
        <v>834</v>
      </c>
      <c r="D297" s="27" t="s">
        <v>458</v>
      </c>
      <c r="E297" s="27" t="s">
        <v>21</v>
      </c>
      <c r="F297" s="27" t="s">
        <v>71</v>
      </c>
      <c r="G297" s="27" t="s">
        <v>36</v>
      </c>
      <c r="H297" s="27" t="s">
        <v>110</v>
      </c>
      <c r="I297" s="28">
        <v>43617.0</v>
      </c>
      <c r="J297" s="29"/>
      <c r="K297" s="30">
        <v>44713.0</v>
      </c>
      <c r="L297" s="31">
        <v>1.0</v>
      </c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26" t="s">
        <v>835</v>
      </c>
      <c r="B298" s="27" t="s">
        <v>836</v>
      </c>
      <c r="C298" s="32"/>
      <c r="D298" s="27" t="s">
        <v>27</v>
      </c>
      <c r="E298" s="27" t="s">
        <v>706</v>
      </c>
      <c r="F298" s="27" t="s">
        <v>837</v>
      </c>
      <c r="G298" s="27" t="s">
        <v>36</v>
      </c>
      <c r="H298" s="27" t="s">
        <v>207</v>
      </c>
      <c r="I298" s="28">
        <v>42887.0</v>
      </c>
      <c r="J298" s="28">
        <v>43983.0</v>
      </c>
      <c r="K298" s="30">
        <v>45078.0</v>
      </c>
      <c r="L298" s="31">
        <v>2.0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26" t="s">
        <v>838</v>
      </c>
      <c r="B299" s="27" t="s">
        <v>839</v>
      </c>
      <c r="C299" s="27" t="s">
        <v>840</v>
      </c>
      <c r="D299" s="27" t="s">
        <v>222</v>
      </c>
      <c r="E299" s="27" t="s">
        <v>21</v>
      </c>
      <c r="F299" s="27" t="s">
        <v>192</v>
      </c>
      <c r="G299" s="27" t="s">
        <v>23</v>
      </c>
      <c r="H299" s="27" t="s">
        <v>126</v>
      </c>
      <c r="I299" s="28">
        <v>43617.0</v>
      </c>
      <c r="J299" s="28">
        <v>44713.0</v>
      </c>
      <c r="K299" s="30">
        <v>45809.0</v>
      </c>
      <c r="L299" s="31">
        <v>2.0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26" t="s">
        <v>841</v>
      </c>
      <c r="B300" s="27" t="s">
        <v>842</v>
      </c>
      <c r="C300" s="32"/>
      <c r="D300" s="27" t="s">
        <v>27</v>
      </c>
      <c r="E300" s="27" t="s">
        <v>28</v>
      </c>
      <c r="F300" s="27" t="s">
        <v>29</v>
      </c>
      <c r="G300" s="27" t="s">
        <v>843</v>
      </c>
      <c r="H300" s="27" t="s">
        <v>29</v>
      </c>
      <c r="I300" s="28">
        <v>43136.0</v>
      </c>
      <c r="J300" s="28">
        <v>44348.0</v>
      </c>
      <c r="K300" s="30">
        <v>45444.0</v>
      </c>
      <c r="L300" s="31">
        <v>2.0</v>
      </c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26" t="s">
        <v>844</v>
      </c>
      <c r="B301" s="27" t="s">
        <v>469</v>
      </c>
      <c r="C301" s="32"/>
      <c r="D301" s="27" t="s">
        <v>27</v>
      </c>
      <c r="E301" s="27" t="s">
        <v>166</v>
      </c>
      <c r="F301" s="27" t="s">
        <v>29</v>
      </c>
      <c r="G301" s="27" t="s">
        <v>845</v>
      </c>
      <c r="H301" s="27" t="s">
        <v>29</v>
      </c>
      <c r="I301" s="28">
        <v>42401.0</v>
      </c>
      <c r="J301" s="29"/>
      <c r="K301" s="30">
        <v>44713.0</v>
      </c>
      <c r="L301" s="31">
        <v>1.0</v>
      </c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26" t="s">
        <v>846</v>
      </c>
      <c r="B302" s="27" t="s">
        <v>847</v>
      </c>
      <c r="C302" s="32"/>
      <c r="D302" s="27" t="s">
        <v>27</v>
      </c>
      <c r="E302" s="27" t="s">
        <v>162</v>
      </c>
      <c r="F302" s="27" t="s">
        <v>848</v>
      </c>
      <c r="G302" s="27" t="s">
        <v>46</v>
      </c>
      <c r="H302" s="27" t="s">
        <v>507</v>
      </c>
      <c r="I302" s="28">
        <v>42828.0</v>
      </c>
      <c r="J302" s="28">
        <v>43983.0</v>
      </c>
      <c r="K302" s="30">
        <v>45078.0</v>
      </c>
      <c r="L302" s="31">
        <v>2.0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26" t="s">
        <v>849</v>
      </c>
      <c r="B303" s="27" t="s">
        <v>141</v>
      </c>
      <c r="C303" s="27" t="s">
        <v>850</v>
      </c>
      <c r="D303" s="27" t="s">
        <v>851</v>
      </c>
      <c r="E303" s="27" t="s">
        <v>21</v>
      </c>
      <c r="F303" s="27" t="s">
        <v>852</v>
      </c>
      <c r="G303" s="27" t="s">
        <v>36</v>
      </c>
      <c r="H303" s="27" t="s">
        <v>207</v>
      </c>
      <c r="I303" s="28">
        <v>42887.0</v>
      </c>
      <c r="J303" s="29"/>
      <c r="K303" s="30">
        <v>43983.0</v>
      </c>
      <c r="L303" s="31">
        <v>1.0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26" t="s">
        <v>853</v>
      </c>
      <c r="B304" s="27" t="s">
        <v>150</v>
      </c>
      <c r="C304" s="32"/>
      <c r="D304" s="27" t="s">
        <v>27</v>
      </c>
      <c r="E304" s="27" t="s">
        <v>21</v>
      </c>
      <c r="F304" s="27" t="s">
        <v>155</v>
      </c>
      <c r="G304" s="27" t="s">
        <v>854</v>
      </c>
      <c r="H304" s="27" t="s">
        <v>155</v>
      </c>
      <c r="I304" s="28">
        <v>43132.0</v>
      </c>
      <c r="J304" s="28">
        <v>44348.0</v>
      </c>
      <c r="K304" s="30">
        <v>45444.0</v>
      </c>
      <c r="L304" s="31">
        <v>2.0</v>
      </c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26" t="s">
        <v>855</v>
      </c>
      <c r="B305" s="27" t="s">
        <v>106</v>
      </c>
      <c r="C305" s="27" t="s">
        <v>856</v>
      </c>
      <c r="D305" s="27" t="s">
        <v>282</v>
      </c>
      <c r="E305" s="27" t="s">
        <v>21</v>
      </c>
      <c r="F305" s="27" t="s">
        <v>35</v>
      </c>
      <c r="G305" s="27" t="s">
        <v>36</v>
      </c>
      <c r="H305" s="27" t="s">
        <v>119</v>
      </c>
      <c r="I305" s="28">
        <v>43617.0</v>
      </c>
      <c r="J305" s="29"/>
      <c r="K305" s="30">
        <v>44713.0</v>
      </c>
      <c r="L305" s="31">
        <v>1.0</v>
      </c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26" t="s">
        <v>857</v>
      </c>
      <c r="B306" s="27" t="s">
        <v>858</v>
      </c>
      <c r="C306" s="32"/>
      <c r="D306" s="27" t="s">
        <v>27</v>
      </c>
      <c r="E306" s="27" t="s">
        <v>39</v>
      </c>
      <c r="F306" s="27" t="s">
        <v>40</v>
      </c>
      <c r="G306" s="27" t="s">
        <v>399</v>
      </c>
      <c r="H306" s="27" t="s">
        <v>40</v>
      </c>
      <c r="I306" s="28">
        <v>42767.0</v>
      </c>
      <c r="J306" s="28">
        <v>43983.0</v>
      </c>
      <c r="K306" s="30">
        <v>45078.0</v>
      </c>
      <c r="L306" s="31">
        <v>2.0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26" t="s">
        <v>857</v>
      </c>
      <c r="B307" s="27" t="s">
        <v>311</v>
      </c>
      <c r="C307" s="27" t="s">
        <v>859</v>
      </c>
      <c r="D307" s="27" t="s">
        <v>44</v>
      </c>
      <c r="E307" s="27" t="s">
        <v>21</v>
      </c>
      <c r="F307" s="27" t="s">
        <v>109</v>
      </c>
      <c r="G307" s="27" t="s">
        <v>23</v>
      </c>
      <c r="H307" s="27" t="s">
        <v>397</v>
      </c>
      <c r="I307" s="28">
        <v>43617.0</v>
      </c>
      <c r="J307" s="29"/>
      <c r="K307" s="30">
        <v>44713.0</v>
      </c>
      <c r="L307" s="31">
        <v>1.0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26" t="s">
        <v>860</v>
      </c>
      <c r="B308" s="27" t="s">
        <v>861</v>
      </c>
      <c r="C308" s="27" t="s">
        <v>300</v>
      </c>
      <c r="D308" s="27" t="s">
        <v>222</v>
      </c>
      <c r="E308" s="27" t="s">
        <v>21</v>
      </c>
      <c r="F308" s="27" t="s">
        <v>90</v>
      </c>
      <c r="G308" s="27" t="s">
        <v>23</v>
      </c>
      <c r="H308" s="27" t="s">
        <v>344</v>
      </c>
      <c r="I308" s="28">
        <v>42887.0</v>
      </c>
      <c r="J308" s="29"/>
      <c r="K308" s="30">
        <v>43983.0</v>
      </c>
      <c r="L308" s="31">
        <v>1.0</v>
      </c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26" t="s">
        <v>862</v>
      </c>
      <c r="B309" s="27" t="s">
        <v>654</v>
      </c>
      <c r="C309" s="27" t="s">
        <v>863</v>
      </c>
      <c r="D309" s="27" t="s">
        <v>20</v>
      </c>
      <c r="E309" s="27" t="s">
        <v>21</v>
      </c>
      <c r="F309" s="27" t="s">
        <v>408</v>
      </c>
      <c r="G309" s="27" t="s">
        <v>772</v>
      </c>
      <c r="H309" s="27" t="s">
        <v>408</v>
      </c>
      <c r="I309" s="28">
        <v>42772.0</v>
      </c>
      <c r="J309" s="28">
        <v>43983.0</v>
      </c>
      <c r="K309" s="30">
        <v>45078.0</v>
      </c>
      <c r="L309" s="31">
        <v>2.0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26" t="s">
        <v>864</v>
      </c>
      <c r="B310" s="27" t="s">
        <v>169</v>
      </c>
      <c r="C310" s="27" t="s">
        <v>865</v>
      </c>
      <c r="D310" s="27" t="s">
        <v>183</v>
      </c>
      <c r="E310" s="27" t="s">
        <v>21</v>
      </c>
      <c r="F310" s="27" t="s">
        <v>370</v>
      </c>
      <c r="G310" s="27" t="s">
        <v>137</v>
      </c>
      <c r="H310" s="27" t="s">
        <v>24</v>
      </c>
      <c r="I310" s="28">
        <v>43132.0</v>
      </c>
      <c r="J310" s="29"/>
      <c r="K310" s="30">
        <v>45809.0</v>
      </c>
      <c r="L310" s="31">
        <v>1.0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26" t="s">
        <v>866</v>
      </c>
      <c r="B311" s="27" t="s">
        <v>867</v>
      </c>
      <c r="C311" s="27" t="s">
        <v>868</v>
      </c>
      <c r="D311" s="27" t="s">
        <v>34</v>
      </c>
      <c r="E311" s="27" t="s">
        <v>21</v>
      </c>
      <c r="F311" s="27" t="s">
        <v>623</v>
      </c>
      <c r="G311" s="27" t="s">
        <v>46</v>
      </c>
      <c r="H311" s="27" t="s">
        <v>126</v>
      </c>
      <c r="I311" s="28">
        <v>43617.0</v>
      </c>
      <c r="J311" s="28">
        <v>44713.0</v>
      </c>
      <c r="K311" s="30">
        <v>45809.0</v>
      </c>
      <c r="L311" s="31">
        <v>2.0</v>
      </c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26" t="s">
        <v>869</v>
      </c>
      <c r="B312" s="27" t="s">
        <v>169</v>
      </c>
      <c r="C312" s="27" t="s">
        <v>870</v>
      </c>
      <c r="D312" s="27" t="s">
        <v>222</v>
      </c>
      <c r="E312" s="27" t="s">
        <v>21</v>
      </c>
      <c r="F312" s="27" t="s">
        <v>642</v>
      </c>
      <c r="G312" s="27" t="s">
        <v>46</v>
      </c>
      <c r="H312" s="27" t="s">
        <v>149</v>
      </c>
      <c r="I312" s="28">
        <v>42522.0</v>
      </c>
      <c r="J312" s="29"/>
      <c r="K312" s="30">
        <v>44713.0</v>
      </c>
      <c r="L312" s="31">
        <v>1.0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26" t="s">
        <v>871</v>
      </c>
      <c r="B313" s="27" t="s">
        <v>811</v>
      </c>
      <c r="C313" s="27" t="s">
        <v>872</v>
      </c>
      <c r="D313" s="27" t="s">
        <v>20</v>
      </c>
      <c r="E313" s="27" t="s">
        <v>21</v>
      </c>
      <c r="F313" s="27" t="s">
        <v>71</v>
      </c>
      <c r="G313" s="27" t="s">
        <v>46</v>
      </c>
      <c r="H313" s="27" t="s">
        <v>233</v>
      </c>
      <c r="I313" s="28">
        <v>43617.0</v>
      </c>
      <c r="J313" s="29"/>
      <c r="K313" s="30">
        <v>44713.0</v>
      </c>
      <c r="L313" s="31">
        <v>1.0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26" t="s">
        <v>873</v>
      </c>
      <c r="B314" s="27" t="s">
        <v>423</v>
      </c>
      <c r="C314" s="27" t="s">
        <v>874</v>
      </c>
      <c r="D314" s="27" t="s">
        <v>94</v>
      </c>
      <c r="E314" s="27" t="s">
        <v>21</v>
      </c>
      <c r="F314" s="27" t="s">
        <v>875</v>
      </c>
      <c r="G314" s="27" t="s">
        <v>137</v>
      </c>
      <c r="H314" s="27" t="s">
        <v>207</v>
      </c>
      <c r="I314" s="28">
        <v>42887.0</v>
      </c>
      <c r="J314" s="28">
        <v>44348.0</v>
      </c>
      <c r="K314" s="30">
        <v>45444.0</v>
      </c>
      <c r="L314" s="31">
        <v>2.0</v>
      </c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26" t="s">
        <v>876</v>
      </c>
      <c r="B315" s="27" t="s">
        <v>877</v>
      </c>
      <c r="C315" s="32"/>
      <c r="D315" s="27" t="s">
        <v>27</v>
      </c>
      <c r="E315" s="27" t="s">
        <v>162</v>
      </c>
      <c r="F315" s="27" t="s">
        <v>878</v>
      </c>
      <c r="G315" s="27" t="s">
        <v>23</v>
      </c>
      <c r="H315" s="27" t="s">
        <v>879</v>
      </c>
      <c r="I315" s="28">
        <v>42828.0</v>
      </c>
      <c r="J315" s="28">
        <v>43983.0</v>
      </c>
      <c r="K315" s="30">
        <v>45078.0</v>
      </c>
      <c r="L315" s="31">
        <v>2.0</v>
      </c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26" t="s">
        <v>880</v>
      </c>
      <c r="B316" s="27" t="s">
        <v>881</v>
      </c>
      <c r="C316" s="27" t="s">
        <v>882</v>
      </c>
      <c r="D316" s="27" t="s">
        <v>222</v>
      </c>
      <c r="E316" s="27" t="s">
        <v>21</v>
      </c>
      <c r="F316" s="27" t="s">
        <v>109</v>
      </c>
      <c r="G316" s="27" t="s">
        <v>46</v>
      </c>
      <c r="H316" s="27" t="s">
        <v>241</v>
      </c>
      <c r="I316" s="28">
        <v>43617.0</v>
      </c>
      <c r="J316" s="29"/>
      <c r="K316" s="30">
        <v>44713.0</v>
      </c>
      <c r="L316" s="31">
        <v>1.0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26" t="s">
        <v>883</v>
      </c>
      <c r="B317" s="27" t="s">
        <v>160</v>
      </c>
      <c r="C317" s="27" t="s">
        <v>884</v>
      </c>
      <c r="D317" s="27" t="s">
        <v>27</v>
      </c>
      <c r="E317" s="27" t="s">
        <v>884</v>
      </c>
      <c r="F317" s="27" t="s">
        <v>878</v>
      </c>
      <c r="G317" s="27" t="s">
        <v>46</v>
      </c>
      <c r="H317" s="27" t="s">
        <v>885</v>
      </c>
      <c r="I317" s="28">
        <v>42828.0</v>
      </c>
      <c r="J317" s="28">
        <v>43983.0</v>
      </c>
      <c r="K317" s="30">
        <v>45078.0</v>
      </c>
      <c r="L317" s="31">
        <v>2.0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26" t="s">
        <v>886</v>
      </c>
      <c r="B318" s="27" t="s">
        <v>887</v>
      </c>
      <c r="C318" s="27" t="s">
        <v>888</v>
      </c>
      <c r="D318" s="27" t="s">
        <v>317</v>
      </c>
      <c r="E318" s="27" t="s">
        <v>21</v>
      </c>
      <c r="F318" s="27" t="s">
        <v>45</v>
      </c>
      <c r="G318" s="27" t="s">
        <v>46</v>
      </c>
      <c r="H318" s="27" t="s">
        <v>258</v>
      </c>
      <c r="I318" s="28">
        <v>42887.0</v>
      </c>
      <c r="J318" s="29"/>
      <c r="K318" s="30">
        <v>43983.0</v>
      </c>
      <c r="L318" s="31">
        <v>1.0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26" t="s">
        <v>889</v>
      </c>
      <c r="B319" s="27" t="s">
        <v>890</v>
      </c>
      <c r="C319" s="32"/>
      <c r="D319" s="27" t="s">
        <v>27</v>
      </c>
      <c r="E319" s="27" t="s">
        <v>891</v>
      </c>
      <c r="F319" s="27" t="s">
        <v>40</v>
      </c>
      <c r="G319" s="27" t="s">
        <v>892</v>
      </c>
      <c r="H319" s="27" t="s">
        <v>40</v>
      </c>
      <c r="I319" s="28">
        <v>42401.0</v>
      </c>
      <c r="J319" s="29"/>
      <c r="K319" s="30">
        <v>44713.0</v>
      </c>
      <c r="L319" s="31">
        <v>1.0</v>
      </c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26" t="s">
        <v>893</v>
      </c>
      <c r="B320" s="27" t="s">
        <v>266</v>
      </c>
      <c r="C320" s="27" t="s">
        <v>894</v>
      </c>
      <c r="D320" s="27" t="s">
        <v>512</v>
      </c>
      <c r="E320" s="27" t="s">
        <v>21</v>
      </c>
      <c r="F320" s="27" t="s">
        <v>895</v>
      </c>
      <c r="G320" s="27" t="s">
        <v>46</v>
      </c>
      <c r="H320" s="27" t="s">
        <v>126</v>
      </c>
      <c r="I320" s="28">
        <v>43617.0</v>
      </c>
      <c r="J320" s="29"/>
      <c r="K320" s="30">
        <v>44713.0</v>
      </c>
      <c r="L320" s="31">
        <v>1.0</v>
      </c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26" t="s">
        <v>896</v>
      </c>
      <c r="B321" s="27" t="s">
        <v>677</v>
      </c>
      <c r="C321" s="27" t="s">
        <v>27</v>
      </c>
      <c r="D321" s="27" t="s">
        <v>27</v>
      </c>
      <c r="E321" s="27" t="s">
        <v>21</v>
      </c>
      <c r="F321" s="27" t="s">
        <v>155</v>
      </c>
      <c r="G321" s="27" t="s">
        <v>665</v>
      </c>
      <c r="H321" s="27" t="s">
        <v>155</v>
      </c>
      <c r="I321" s="28">
        <v>43132.0</v>
      </c>
      <c r="J321" s="28">
        <v>44348.0</v>
      </c>
      <c r="K321" s="30">
        <v>45444.0</v>
      </c>
      <c r="L321" s="31">
        <v>2.0</v>
      </c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26" t="s">
        <v>897</v>
      </c>
      <c r="B322" s="27" t="s">
        <v>898</v>
      </c>
      <c r="C322" s="27" t="s">
        <v>899</v>
      </c>
      <c r="D322" s="27" t="s">
        <v>130</v>
      </c>
      <c r="E322" s="27" t="s">
        <v>21</v>
      </c>
      <c r="F322" s="27" t="s">
        <v>56</v>
      </c>
      <c r="G322" s="27" t="s">
        <v>36</v>
      </c>
      <c r="H322" s="27" t="s">
        <v>152</v>
      </c>
      <c r="I322" s="28">
        <v>43617.0</v>
      </c>
      <c r="J322" s="29"/>
      <c r="K322" s="30">
        <v>44713.0</v>
      </c>
      <c r="L322" s="31">
        <v>1.0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26" t="s">
        <v>900</v>
      </c>
      <c r="B323" s="27" t="s">
        <v>169</v>
      </c>
      <c r="C323" s="27" t="s">
        <v>743</v>
      </c>
      <c r="D323" s="27" t="s">
        <v>527</v>
      </c>
      <c r="E323" s="27" t="s">
        <v>21</v>
      </c>
      <c r="F323" s="27" t="s">
        <v>45</v>
      </c>
      <c r="G323" s="27" t="s">
        <v>46</v>
      </c>
      <c r="H323" s="27" t="s">
        <v>184</v>
      </c>
      <c r="I323" s="28">
        <v>42887.0</v>
      </c>
      <c r="J323" s="29"/>
      <c r="K323" s="30">
        <v>43983.0</v>
      </c>
      <c r="L323" s="31">
        <v>1.0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26" t="s">
        <v>900</v>
      </c>
      <c r="B324" s="27" t="s">
        <v>266</v>
      </c>
      <c r="C324" s="27" t="s">
        <v>743</v>
      </c>
      <c r="D324" s="27" t="s">
        <v>527</v>
      </c>
      <c r="E324" s="27" t="s">
        <v>21</v>
      </c>
      <c r="F324" s="27" t="s">
        <v>79</v>
      </c>
      <c r="G324" s="27" t="s">
        <v>23</v>
      </c>
      <c r="H324" s="27" t="s">
        <v>184</v>
      </c>
      <c r="I324" s="28">
        <v>42887.0</v>
      </c>
      <c r="J324" s="29"/>
      <c r="K324" s="30">
        <v>43983.0</v>
      </c>
      <c r="L324" s="31">
        <v>1.0</v>
      </c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26" t="s">
        <v>901</v>
      </c>
      <c r="B325" s="27" t="s">
        <v>416</v>
      </c>
      <c r="C325" s="27" t="s">
        <v>902</v>
      </c>
      <c r="D325" s="27" t="s">
        <v>108</v>
      </c>
      <c r="E325" s="27" t="s">
        <v>21</v>
      </c>
      <c r="F325" s="27" t="s">
        <v>364</v>
      </c>
      <c r="G325" s="27" t="s">
        <v>46</v>
      </c>
      <c r="H325" s="27" t="s">
        <v>110</v>
      </c>
      <c r="I325" s="28">
        <v>43617.0</v>
      </c>
      <c r="J325" s="29"/>
      <c r="K325" s="30">
        <v>44713.0</v>
      </c>
      <c r="L325" s="31">
        <v>1.0</v>
      </c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26" t="s">
        <v>903</v>
      </c>
      <c r="B326" s="27" t="s">
        <v>904</v>
      </c>
      <c r="C326" s="32"/>
      <c r="D326" s="27" t="s">
        <v>27</v>
      </c>
      <c r="E326" s="27" t="s">
        <v>113</v>
      </c>
      <c r="F326" s="27" t="s">
        <v>29</v>
      </c>
      <c r="G326" s="27" t="s">
        <v>188</v>
      </c>
      <c r="H326" s="27" t="s">
        <v>29</v>
      </c>
      <c r="I326" s="28">
        <v>42401.0</v>
      </c>
      <c r="J326" s="29"/>
      <c r="K326" s="30">
        <v>44713.0</v>
      </c>
      <c r="L326" s="31">
        <v>1.0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26" t="s">
        <v>905</v>
      </c>
      <c r="B327" s="27" t="s">
        <v>906</v>
      </c>
      <c r="C327" s="27" t="s">
        <v>907</v>
      </c>
      <c r="D327" s="27" t="s">
        <v>78</v>
      </c>
      <c r="E327" s="27" t="s">
        <v>21</v>
      </c>
      <c r="F327" s="27" t="s">
        <v>71</v>
      </c>
      <c r="G327" s="27" t="s">
        <v>23</v>
      </c>
      <c r="H327" s="27" t="s">
        <v>80</v>
      </c>
      <c r="I327" s="28">
        <v>43252.0</v>
      </c>
      <c r="J327" s="29"/>
      <c r="K327" s="30">
        <v>44348.0</v>
      </c>
      <c r="L327" s="31">
        <v>1.0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26" t="s">
        <v>908</v>
      </c>
      <c r="B328" s="27" t="s">
        <v>76</v>
      </c>
      <c r="C328" s="32"/>
      <c r="D328" s="27" t="s">
        <v>27</v>
      </c>
      <c r="E328" s="27" t="s">
        <v>21</v>
      </c>
      <c r="F328" s="27" t="s">
        <v>155</v>
      </c>
      <c r="G328" s="27" t="s">
        <v>909</v>
      </c>
      <c r="H328" s="27" t="s">
        <v>155</v>
      </c>
      <c r="I328" s="28">
        <v>43132.0</v>
      </c>
      <c r="J328" s="28">
        <v>44348.0</v>
      </c>
      <c r="K328" s="30">
        <v>45444.0</v>
      </c>
      <c r="L328" s="31">
        <v>2.0</v>
      </c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26" t="s">
        <v>910</v>
      </c>
      <c r="B329" s="27" t="s">
        <v>911</v>
      </c>
      <c r="C329" s="27" t="s">
        <v>912</v>
      </c>
      <c r="D329" s="27" t="s">
        <v>94</v>
      </c>
      <c r="E329" s="27" t="s">
        <v>21</v>
      </c>
      <c r="F329" s="32"/>
      <c r="G329" s="32"/>
      <c r="H329" s="27" t="s">
        <v>913</v>
      </c>
      <c r="I329" s="28">
        <v>43252.0</v>
      </c>
      <c r="J329" s="29"/>
      <c r="K329" s="30">
        <v>44348.0</v>
      </c>
      <c r="L329" s="31">
        <v>1.0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26" t="s">
        <v>914</v>
      </c>
      <c r="B330" s="27" t="s">
        <v>82</v>
      </c>
      <c r="C330" s="27" t="s">
        <v>915</v>
      </c>
      <c r="D330" s="27" t="s">
        <v>118</v>
      </c>
      <c r="E330" s="27" t="s">
        <v>21</v>
      </c>
      <c r="F330" s="27" t="s">
        <v>56</v>
      </c>
      <c r="G330" s="27" t="s">
        <v>36</v>
      </c>
      <c r="H330" s="27" t="s">
        <v>171</v>
      </c>
      <c r="I330" s="28">
        <v>43617.0</v>
      </c>
      <c r="J330" s="29"/>
      <c r="K330" s="30">
        <v>44713.0</v>
      </c>
      <c r="L330" s="31">
        <v>1.0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26" t="s">
        <v>916</v>
      </c>
      <c r="B331" s="27" t="s">
        <v>617</v>
      </c>
      <c r="C331" s="27" t="s">
        <v>347</v>
      </c>
      <c r="D331" s="27" t="s">
        <v>348</v>
      </c>
      <c r="E331" s="27" t="s">
        <v>21</v>
      </c>
      <c r="F331" s="32"/>
      <c r="G331" s="32"/>
      <c r="H331" s="27" t="s">
        <v>913</v>
      </c>
      <c r="I331" s="28">
        <v>43252.0</v>
      </c>
      <c r="J331" s="29"/>
      <c r="K331" s="30">
        <v>44348.0</v>
      </c>
      <c r="L331" s="31">
        <v>1.0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26" t="s">
        <v>917</v>
      </c>
      <c r="B332" s="27" t="s">
        <v>18</v>
      </c>
      <c r="C332" s="27" t="s">
        <v>518</v>
      </c>
      <c r="D332" s="27" t="s">
        <v>108</v>
      </c>
      <c r="E332" s="27" t="s">
        <v>21</v>
      </c>
      <c r="F332" s="27" t="s">
        <v>79</v>
      </c>
      <c r="G332" s="27" t="s">
        <v>36</v>
      </c>
      <c r="H332" s="27" t="s">
        <v>258</v>
      </c>
      <c r="I332" s="28">
        <v>42887.0</v>
      </c>
      <c r="J332" s="29"/>
      <c r="K332" s="30">
        <v>43983.0</v>
      </c>
      <c r="L332" s="31">
        <v>1.0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26" t="s">
        <v>918</v>
      </c>
      <c r="B333" s="27" t="s">
        <v>369</v>
      </c>
      <c r="C333" s="27" t="s">
        <v>919</v>
      </c>
      <c r="D333" s="27" t="s">
        <v>44</v>
      </c>
      <c r="E333" s="27" t="s">
        <v>21</v>
      </c>
      <c r="F333" s="27" t="s">
        <v>56</v>
      </c>
      <c r="G333" s="27" t="s">
        <v>46</v>
      </c>
      <c r="H333" s="27" t="s">
        <v>397</v>
      </c>
      <c r="I333" s="28">
        <v>43617.0</v>
      </c>
      <c r="J333" s="29"/>
      <c r="K333" s="30">
        <v>44713.0</v>
      </c>
      <c r="L333" s="31">
        <v>1.0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26" t="s">
        <v>920</v>
      </c>
      <c r="B334" s="27" t="s">
        <v>42</v>
      </c>
      <c r="C334" s="27" t="s">
        <v>921</v>
      </c>
      <c r="D334" s="27" t="s">
        <v>20</v>
      </c>
      <c r="E334" s="27" t="s">
        <v>21</v>
      </c>
      <c r="F334" s="27" t="s">
        <v>45</v>
      </c>
      <c r="G334" s="27" t="s">
        <v>46</v>
      </c>
      <c r="H334" s="27" t="s">
        <v>24</v>
      </c>
      <c r="I334" s="28">
        <v>36892.0</v>
      </c>
      <c r="J334" s="29"/>
      <c r="K334" s="30">
        <v>45809.0</v>
      </c>
      <c r="L334" s="31">
        <v>1.0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26" t="s">
        <v>922</v>
      </c>
      <c r="B335" s="27" t="s">
        <v>82</v>
      </c>
      <c r="C335" s="27" t="s">
        <v>923</v>
      </c>
      <c r="D335" s="27" t="s">
        <v>222</v>
      </c>
      <c r="E335" s="27" t="s">
        <v>21</v>
      </c>
      <c r="F335" s="27" t="s">
        <v>79</v>
      </c>
      <c r="G335" s="27" t="s">
        <v>23</v>
      </c>
      <c r="H335" s="27" t="s">
        <v>339</v>
      </c>
      <c r="I335" s="28">
        <v>43252.0</v>
      </c>
      <c r="J335" s="29"/>
      <c r="K335" s="30">
        <v>44348.0</v>
      </c>
      <c r="L335" s="31">
        <v>1.0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26" t="s">
        <v>924</v>
      </c>
      <c r="B336" s="27" t="s">
        <v>925</v>
      </c>
      <c r="C336" s="27" t="s">
        <v>926</v>
      </c>
      <c r="D336" s="27" t="s">
        <v>20</v>
      </c>
      <c r="E336" s="27" t="s">
        <v>21</v>
      </c>
      <c r="F336" s="27" t="s">
        <v>109</v>
      </c>
      <c r="G336" s="27" t="s">
        <v>36</v>
      </c>
      <c r="H336" s="27" t="s">
        <v>233</v>
      </c>
      <c r="I336" s="28">
        <v>43617.0</v>
      </c>
      <c r="J336" s="29"/>
      <c r="K336" s="30">
        <v>44713.0</v>
      </c>
      <c r="L336" s="31">
        <v>1.0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26" t="s">
        <v>927</v>
      </c>
      <c r="B337" s="27" t="s">
        <v>74</v>
      </c>
      <c r="C337" s="32"/>
      <c r="D337" s="27" t="s">
        <v>27</v>
      </c>
      <c r="E337" s="27" t="s">
        <v>28</v>
      </c>
      <c r="F337" s="27" t="s">
        <v>29</v>
      </c>
      <c r="G337" s="27" t="s">
        <v>772</v>
      </c>
      <c r="H337" s="27" t="s">
        <v>65</v>
      </c>
      <c r="I337" s="28">
        <v>43136.0</v>
      </c>
      <c r="J337" s="28">
        <v>44348.0</v>
      </c>
      <c r="K337" s="30">
        <v>45444.0</v>
      </c>
      <c r="L337" s="31">
        <v>2.0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26" t="s">
        <v>928</v>
      </c>
      <c r="B338" s="27" t="s">
        <v>929</v>
      </c>
      <c r="C338" s="32"/>
      <c r="D338" s="27" t="s">
        <v>27</v>
      </c>
      <c r="E338" s="27" t="s">
        <v>930</v>
      </c>
      <c r="F338" s="27" t="s">
        <v>29</v>
      </c>
      <c r="G338" s="27" t="s">
        <v>736</v>
      </c>
      <c r="H338" s="27" t="s">
        <v>65</v>
      </c>
      <c r="I338" s="28">
        <v>43136.0</v>
      </c>
      <c r="J338" s="28">
        <v>44348.0</v>
      </c>
      <c r="K338" s="30">
        <v>45444.0</v>
      </c>
      <c r="L338" s="31">
        <v>2.0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26" t="s">
        <v>931</v>
      </c>
      <c r="B339" s="27" t="s">
        <v>932</v>
      </c>
      <c r="C339" s="27" t="s">
        <v>933</v>
      </c>
      <c r="D339" s="27" t="s">
        <v>130</v>
      </c>
      <c r="E339" s="27" t="s">
        <v>21</v>
      </c>
      <c r="F339" s="27" t="s">
        <v>45</v>
      </c>
      <c r="G339" s="27" t="s">
        <v>46</v>
      </c>
      <c r="H339" s="27" t="s">
        <v>72</v>
      </c>
      <c r="I339" s="28">
        <v>42887.0</v>
      </c>
      <c r="J339" s="29"/>
      <c r="K339" s="30">
        <v>44348.0</v>
      </c>
      <c r="L339" s="31">
        <v>1.0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26" t="s">
        <v>934</v>
      </c>
      <c r="B340" s="27" t="s">
        <v>799</v>
      </c>
      <c r="C340" s="27" t="s">
        <v>935</v>
      </c>
      <c r="D340" s="27" t="s">
        <v>282</v>
      </c>
      <c r="E340" s="27" t="s">
        <v>21</v>
      </c>
      <c r="F340" s="27" t="s">
        <v>936</v>
      </c>
      <c r="G340" s="27" t="s">
        <v>137</v>
      </c>
      <c r="H340" s="27" t="s">
        <v>24</v>
      </c>
      <c r="I340" s="28">
        <v>40695.0</v>
      </c>
      <c r="J340" s="29"/>
      <c r="K340" s="30">
        <v>45809.0</v>
      </c>
      <c r="L340" s="31">
        <v>1.0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26" t="s">
        <v>937</v>
      </c>
      <c r="B341" s="27" t="s">
        <v>369</v>
      </c>
      <c r="C341" s="27" t="s">
        <v>243</v>
      </c>
      <c r="D341" s="27" t="s">
        <v>78</v>
      </c>
      <c r="E341" s="27" t="s">
        <v>21</v>
      </c>
      <c r="F341" s="27" t="s">
        <v>90</v>
      </c>
      <c r="G341" s="27" t="s">
        <v>23</v>
      </c>
      <c r="H341" s="27" t="s">
        <v>689</v>
      </c>
      <c r="I341" s="28">
        <v>42887.0</v>
      </c>
      <c r="J341" s="29"/>
      <c r="K341" s="30">
        <v>43983.0</v>
      </c>
      <c r="L341" s="31">
        <v>1.0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26" t="s">
        <v>938</v>
      </c>
      <c r="B342" s="27" t="s">
        <v>145</v>
      </c>
      <c r="C342" s="27" t="s">
        <v>243</v>
      </c>
      <c r="D342" s="27" t="s">
        <v>78</v>
      </c>
      <c r="E342" s="27" t="s">
        <v>21</v>
      </c>
      <c r="F342" s="27" t="s">
        <v>367</v>
      </c>
      <c r="G342" s="27" t="s">
        <v>137</v>
      </c>
      <c r="H342" s="27" t="s">
        <v>207</v>
      </c>
      <c r="I342" s="28">
        <v>42887.0</v>
      </c>
      <c r="J342" s="28">
        <v>43983.0</v>
      </c>
      <c r="K342" s="30">
        <v>45078.0</v>
      </c>
      <c r="L342" s="31">
        <v>2.0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26" t="s">
        <v>939</v>
      </c>
      <c r="B343" s="27" t="s">
        <v>275</v>
      </c>
      <c r="C343" s="27" t="s">
        <v>151</v>
      </c>
      <c r="D343" s="27" t="s">
        <v>20</v>
      </c>
      <c r="E343" s="27" t="s">
        <v>21</v>
      </c>
      <c r="F343" s="27" t="s">
        <v>79</v>
      </c>
      <c r="G343" s="27" t="s">
        <v>46</v>
      </c>
      <c r="H343" s="27" t="s">
        <v>85</v>
      </c>
      <c r="I343" s="28">
        <v>42887.0</v>
      </c>
      <c r="J343" s="29"/>
      <c r="K343" s="30">
        <v>43983.0</v>
      </c>
      <c r="L343" s="31">
        <v>1.0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26" t="s">
        <v>940</v>
      </c>
      <c r="B344" s="27" t="s">
        <v>941</v>
      </c>
      <c r="C344" s="32"/>
      <c r="D344" s="32"/>
      <c r="E344" s="27" t="s">
        <v>334</v>
      </c>
      <c r="F344" s="27" t="s">
        <v>367</v>
      </c>
      <c r="G344" s="27" t="s">
        <v>36</v>
      </c>
      <c r="H344" s="27" t="s">
        <v>135</v>
      </c>
      <c r="I344" s="28">
        <v>42887.0</v>
      </c>
      <c r="J344" s="28">
        <v>44348.0</v>
      </c>
      <c r="K344" s="30">
        <v>45444.0</v>
      </c>
      <c r="L344" s="31">
        <v>2.0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26" t="s">
        <v>942</v>
      </c>
      <c r="B345" s="27" t="s">
        <v>87</v>
      </c>
      <c r="C345" s="27" t="s">
        <v>943</v>
      </c>
      <c r="D345" s="27" t="s">
        <v>20</v>
      </c>
      <c r="E345" s="27" t="s">
        <v>21</v>
      </c>
      <c r="F345" s="27" t="s">
        <v>45</v>
      </c>
      <c r="G345" s="27" t="s">
        <v>46</v>
      </c>
      <c r="H345" s="27" t="s">
        <v>229</v>
      </c>
      <c r="I345" s="28">
        <v>42887.0</v>
      </c>
      <c r="J345" s="29"/>
      <c r="K345" s="30">
        <v>43983.0</v>
      </c>
      <c r="L345" s="31">
        <v>1.0</v>
      </c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26" t="s">
        <v>944</v>
      </c>
      <c r="B346" s="27" t="s">
        <v>120</v>
      </c>
      <c r="C346" s="27" t="s">
        <v>401</v>
      </c>
      <c r="D346" s="27" t="s">
        <v>44</v>
      </c>
      <c r="E346" s="27" t="s">
        <v>21</v>
      </c>
      <c r="F346" s="27" t="s">
        <v>79</v>
      </c>
      <c r="G346" s="27" t="s">
        <v>23</v>
      </c>
      <c r="H346" s="27" t="s">
        <v>211</v>
      </c>
      <c r="I346" s="28">
        <v>43252.0</v>
      </c>
      <c r="J346" s="29"/>
      <c r="K346" s="30">
        <v>44348.0</v>
      </c>
      <c r="L346" s="31">
        <v>1.0</v>
      </c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26" t="s">
        <v>945</v>
      </c>
      <c r="B347" s="27" t="s">
        <v>946</v>
      </c>
      <c r="C347" s="27" t="s">
        <v>947</v>
      </c>
      <c r="D347" s="27" t="s">
        <v>282</v>
      </c>
      <c r="E347" s="27" t="s">
        <v>21</v>
      </c>
      <c r="F347" s="27" t="s">
        <v>642</v>
      </c>
      <c r="G347" s="27" t="s">
        <v>23</v>
      </c>
      <c r="H347" s="27" t="s">
        <v>948</v>
      </c>
      <c r="I347" s="28">
        <v>42887.0</v>
      </c>
      <c r="J347" s="28">
        <v>44348.0</v>
      </c>
      <c r="K347" s="30">
        <v>45444.0</v>
      </c>
      <c r="L347" s="31">
        <v>2.0</v>
      </c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26" t="s">
        <v>949</v>
      </c>
      <c r="B348" s="27" t="s">
        <v>517</v>
      </c>
      <c r="C348" s="27" t="s">
        <v>77</v>
      </c>
      <c r="D348" s="27" t="s">
        <v>78</v>
      </c>
      <c r="E348" s="27" t="s">
        <v>21</v>
      </c>
      <c r="F348" s="27" t="s">
        <v>421</v>
      </c>
      <c r="G348" s="27" t="s">
        <v>36</v>
      </c>
      <c r="H348" s="27" t="s">
        <v>244</v>
      </c>
      <c r="I348" s="28">
        <v>42887.0</v>
      </c>
      <c r="J348" s="29"/>
      <c r="K348" s="30">
        <v>43983.0</v>
      </c>
      <c r="L348" s="31">
        <v>1.0</v>
      </c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26" t="s">
        <v>950</v>
      </c>
      <c r="B349" s="27" t="s">
        <v>249</v>
      </c>
      <c r="C349" s="27" t="s">
        <v>951</v>
      </c>
      <c r="D349" s="27" t="s">
        <v>222</v>
      </c>
      <c r="E349" s="27" t="s">
        <v>21</v>
      </c>
      <c r="F349" s="27" t="s">
        <v>109</v>
      </c>
      <c r="G349" s="27" t="s">
        <v>46</v>
      </c>
      <c r="H349" s="27" t="s">
        <v>233</v>
      </c>
      <c r="I349" s="28">
        <v>43617.0</v>
      </c>
      <c r="J349" s="29"/>
      <c r="K349" s="30">
        <v>44713.0</v>
      </c>
      <c r="L349" s="31">
        <v>1.0</v>
      </c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26" t="s">
        <v>952</v>
      </c>
      <c r="B350" s="27" t="s">
        <v>953</v>
      </c>
      <c r="C350" s="27" t="s">
        <v>954</v>
      </c>
      <c r="D350" s="27" t="s">
        <v>55</v>
      </c>
      <c r="E350" s="27" t="s">
        <v>21</v>
      </c>
      <c r="F350" s="27" t="s">
        <v>79</v>
      </c>
      <c r="G350" s="27" t="s">
        <v>46</v>
      </c>
      <c r="H350" s="27" t="s">
        <v>582</v>
      </c>
      <c r="I350" s="28">
        <v>42887.0</v>
      </c>
      <c r="J350" s="29"/>
      <c r="K350" s="30">
        <v>43983.0</v>
      </c>
      <c r="L350" s="31">
        <v>1.0</v>
      </c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26" t="s">
        <v>955</v>
      </c>
      <c r="B351" s="27" t="s">
        <v>169</v>
      </c>
      <c r="C351" s="32"/>
      <c r="D351" s="27" t="s">
        <v>27</v>
      </c>
      <c r="E351" s="27" t="s">
        <v>162</v>
      </c>
      <c r="F351" s="27" t="s">
        <v>878</v>
      </c>
      <c r="G351" s="27" t="s">
        <v>23</v>
      </c>
      <c r="H351" s="27" t="s">
        <v>879</v>
      </c>
      <c r="I351" s="28">
        <v>42828.0</v>
      </c>
      <c r="J351" s="28">
        <v>43983.0</v>
      </c>
      <c r="K351" s="30">
        <v>45078.0</v>
      </c>
      <c r="L351" s="31">
        <v>2.0</v>
      </c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26" t="s">
        <v>956</v>
      </c>
      <c r="B352" s="27" t="s">
        <v>223</v>
      </c>
      <c r="C352" s="32"/>
      <c r="D352" s="27" t="s">
        <v>27</v>
      </c>
      <c r="E352" s="27" t="s">
        <v>27</v>
      </c>
      <c r="F352" s="27" t="s">
        <v>103</v>
      </c>
      <c r="G352" s="27" t="s">
        <v>909</v>
      </c>
      <c r="H352" s="27" t="s">
        <v>103</v>
      </c>
      <c r="I352" s="28">
        <v>42401.0</v>
      </c>
      <c r="J352" s="29"/>
      <c r="K352" s="30">
        <v>44713.0</v>
      </c>
      <c r="L352" s="31">
        <v>1.0</v>
      </c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26" t="s">
        <v>956</v>
      </c>
      <c r="B353" s="27" t="s">
        <v>957</v>
      </c>
      <c r="C353" s="27" t="s">
        <v>243</v>
      </c>
      <c r="D353" s="27" t="s">
        <v>78</v>
      </c>
      <c r="E353" s="27" t="s">
        <v>21</v>
      </c>
      <c r="F353" s="27" t="s">
        <v>90</v>
      </c>
      <c r="G353" s="27" t="s">
        <v>137</v>
      </c>
      <c r="H353" s="27" t="s">
        <v>207</v>
      </c>
      <c r="I353" s="28">
        <v>42887.0</v>
      </c>
      <c r="J353" s="29"/>
      <c r="K353" s="30">
        <v>43983.0</v>
      </c>
      <c r="L353" s="31">
        <v>1.0</v>
      </c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26" t="s">
        <v>958</v>
      </c>
      <c r="B354" s="27" t="s">
        <v>959</v>
      </c>
      <c r="C354" s="27" t="s">
        <v>243</v>
      </c>
      <c r="D354" s="27" t="s">
        <v>78</v>
      </c>
      <c r="E354" s="27" t="s">
        <v>21</v>
      </c>
      <c r="F354" s="27" t="s">
        <v>739</v>
      </c>
      <c r="G354" s="27" t="s">
        <v>23</v>
      </c>
      <c r="H354" s="27" t="s">
        <v>126</v>
      </c>
      <c r="I354" s="28">
        <v>43617.0</v>
      </c>
      <c r="J354" s="28">
        <v>44713.0</v>
      </c>
      <c r="K354" s="30">
        <v>45809.0</v>
      </c>
      <c r="L354" s="31">
        <v>2.0</v>
      </c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33" t="s">
        <v>960</v>
      </c>
      <c r="B355" s="34" t="s">
        <v>341</v>
      </c>
      <c r="C355" s="34" t="s">
        <v>961</v>
      </c>
      <c r="D355" s="34" t="s">
        <v>143</v>
      </c>
      <c r="E355" s="34" t="s">
        <v>21</v>
      </c>
      <c r="F355" s="27" t="s">
        <v>144</v>
      </c>
      <c r="G355" s="27" t="s">
        <v>23</v>
      </c>
      <c r="H355" s="34" t="s">
        <v>135</v>
      </c>
      <c r="I355" s="30">
        <v>43252.0</v>
      </c>
      <c r="J355" s="36"/>
      <c r="K355" s="30">
        <v>44348.0</v>
      </c>
      <c r="L355" s="31">
        <v>1.0</v>
      </c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33" t="s">
        <v>962</v>
      </c>
      <c r="B356" s="34" t="s">
        <v>963</v>
      </c>
      <c r="C356" s="34" t="s">
        <v>964</v>
      </c>
      <c r="D356" s="34" t="s">
        <v>108</v>
      </c>
      <c r="E356" s="34" t="s">
        <v>21</v>
      </c>
      <c r="F356" s="27" t="s">
        <v>90</v>
      </c>
      <c r="G356" s="27" t="s">
        <v>46</v>
      </c>
      <c r="H356" s="34" t="s">
        <v>689</v>
      </c>
      <c r="I356" s="30">
        <v>42887.0</v>
      </c>
      <c r="J356" s="36"/>
      <c r="K356" s="30">
        <v>43983.0</v>
      </c>
      <c r="L356" s="31">
        <v>1.0</v>
      </c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33" t="s">
        <v>965</v>
      </c>
      <c r="B357" s="34" t="s">
        <v>966</v>
      </c>
      <c r="C357" s="34" t="s">
        <v>967</v>
      </c>
      <c r="D357" s="34" t="s">
        <v>282</v>
      </c>
      <c r="E357" s="34" t="s">
        <v>21</v>
      </c>
      <c r="F357" s="34" t="s">
        <v>56</v>
      </c>
      <c r="G357" s="34" t="s">
        <v>46</v>
      </c>
      <c r="H357" s="34" t="s">
        <v>57</v>
      </c>
      <c r="I357" s="30">
        <v>43617.0</v>
      </c>
      <c r="J357" s="36"/>
      <c r="K357" s="30">
        <v>44713.0</v>
      </c>
      <c r="L357" s="31">
        <v>1.0</v>
      </c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26" t="s">
        <v>968</v>
      </c>
      <c r="B358" s="27" t="s">
        <v>580</v>
      </c>
      <c r="C358" s="27" t="s">
        <v>535</v>
      </c>
      <c r="D358" s="27" t="s">
        <v>143</v>
      </c>
      <c r="E358" s="27" t="s">
        <v>21</v>
      </c>
      <c r="F358" s="27" t="s">
        <v>367</v>
      </c>
      <c r="G358" s="27" t="s">
        <v>46</v>
      </c>
      <c r="H358" s="27" t="s">
        <v>149</v>
      </c>
      <c r="I358" s="28">
        <v>42522.0</v>
      </c>
      <c r="J358" s="29"/>
      <c r="K358" s="30">
        <v>44713.0</v>
      </c>
      <c r="L358" s="31">
        <v>1.0</v>
      </c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26" t="s">
        <v>968</v>
      </c>
      <c r="B359" s="27" t="s">
        <v>227</v>
      </c>
      <c r="C359" s="27" t="s">
        <v>969</v>
      </c>
      <c r="D359" s="27" t="s">
        <v>143</v>
      </c>
      <c r="E359" s="27" t="s">
        <v>21</v>
      </c>
      <c r="F359" s="27" t="s">
        <v>970</v>
      </c>
      <c r="G359" s="27" t="s">
        <v>137</v>
      </c>
      <c r="H359" s="27" t="s">
        <v>126</v>
      </c>
      <c r="I359" s="28">
        <v>43617.0</v>
      </c>
      <c r="J359" s="28">
        <v>44713.0</v>
      </c>
      <c r="K359" s="30">
        <v>45809.0</v>
      </c>
      <c r="L359" s="31">
        <v>2.0</v>
      </c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26" t="s">
        <v>971</v>
      </c>
      <c r="B360" s="27" t="s">
        <v>972</v>
      </c>
      <c r="C360" s="27" t="s">
        <v>301</v>
      </c>
      <c r="D360" s="27" t="s">
        <v>34</v>
      </c>
      <c r="E360" s="27" t="s">
        <v>21</v>
      </c>
      <c r="F360" s="27" t="s">
        <v>35</v>
      </c>
      <c r="G360" s="27" t="s">
        <v>36</v>
      </c>
      <c r="H360" s="27" t="s">
        <v>37</v>
      </c>
      <c r="I360" s="28">
        <v>43617.0</v>
      </c>
      <c r="J360" s="29"/>
      <c r="K360" s="30">
        <v>44713.0</v>
      </c>
      <c r="L360" s="31">
        <v>1.0</v>
      </c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26" t="s">
        <v>973</v>
      </c>
      <c r="B361" s="27" t="s">
        <v>974</v>
      </c>
      <c r="C361" s="32"/>
      <c r="D361" s="27" t="s">
        <v>224</v>
      </c>
      <c r="E361" s="27" t="s">
        <v>21</v>
      </c>
      <c r="F361" s="27" t="s">
        <v>99</v>
      </c>
      <c r="G361" s="27" t="s">
        <v>23</v>
      </c>
      <c r="H361" s="27" t="s">
        <v>975</v>
      </c>
      <c r="I361" s="28">
        <v>43252.0</v>
      </c>
      <c r="J361" s="28">
        <v>44348.0</v>
      </c>
      <c r="K361" s="30">
        <v>45444.0</v>
      </c>
      <c r="L361" s="31">
        <v>2.0</v>
      </c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26" t="s">
        <v>976</v>
      </c>
      <c r="B362" s="27" t="s">
        <v>266</v>
      </c>
      <c r="C362" s="27" t="s">
        <v>977</v>
      </c>
      <c r="D362" s="27" t="s">
        <v>94</v>
      </c>
      <c r="E362" s="27" t="s">
        <v>21</v>
      </c>
      <c r="F362" s="27" t="s">
        <v>79</v>
      </c>
      <c r="G362" s="27" t="s">
        <v>46</v>
      </c>
      <c r="H362" s="27" t="s">
        <v>147</v>
      </c>
      <c r="I362" s="28">
        <v>42887.0</v>
      </c>
      <c r="J362" s="29"/>
      <c r="K362" s="30">
        <v>43983.0</v>
      </c>
      <c r="L362" s="31">
        <v>1.0</v>
      </c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26" t="s">
        <v>978</v>
      </c>
      <c r="B363" s="27" t="s">
        <v>87</v>
      </c>
      <c r="C363" s="32"/>
      <c r="D363" s="27" t="s">
        <v>27</v>
      </c>
      <c r="E363" s="27" t="s">
        <v>39</v>
      </c>
      <c r="F363" s="27" t="s">
        <v>40</v>
      </c>
      <c r="G363" s="27" t="s">
        <v>979</v>
      </c>
      <c r="H363" s="27" t="s">
        <v>40</v>
      </c>
      <c r="I363" s="28">
        <v>42767.0</v>
      </c>
      <c r="J363" s="28">
        <v>43983.0</v>
      </c>
      <c r="K363" s="30">
        <v>45078.0</v>
      </c>
      <c r="L363" s="31">
        <v>2.0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26" t="s">
        <v>980</v>
      </c>
      <c r="B364" s="27" t="s">
        <v>981</v>
      </c>
      <c r="C364" s="27" t="s">
        <v>982</v>
      </c>
      <c r="D364" s="27" t="s">
        <v>458</v>
      </c>
      <c r="E364" s="27" t="s">
        <v>21</v>
      </c>
      <c r="F364" s="27" t="s">
        <v>623</v>
      </c>
      <c r="G364" s="27" t="s">
        <v>23</v>
      </c>
      <c r="H364" s="27" t="s">
        <v>126</v>
      </c>
      <c r="I364" s="28">
        <v>43617.0</v>
      </c>
      <c r="J364" s="28">
        <v>44713.0</v>
      </c>
      <c r="K364" s="30">
        <v>45809.0</v>
      </c>
      <c r="L364" s="31">
        <v>2.0</v>
      </c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26" t="s">
        <v>983</v>
      </c>
      <c r="B365" s="27" t="s">
        <v>556</v>
      </c>
      <c r="C365" s="27" t="s">
        <v>170</v>
      </c>
      <c r="D365" s="27" t="s">
        <v>89</v>
      </c>
      <c r="E365" s="27" t="s">
        <v>21</v>
      </c>
      <c r="F365" s="27" t="s">
        <v>109</v>
      </c>
      <c r="G365" s="27" t="s">
        <v>46</v>
      </c>
      <c r="H365" s="27" t="s">
        <v>171</v>
      </c>
      <c r="I365" s="28">
        <v>43617.0</v>
      </c>
      <c r="J365" s="29"/>
      <c r="K365" s="30">
        <v>44713.0</v>
      </c>
      <c r="L365" s="31">
        <v>1.0</v>
      </c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26" t="s">
        <v>984</v>
      </c>
      <c r="B366" s="27" t="s">
        <v>18</v>
      </c>
      <c r="C366" s="27" t="s">
        <v>985</v>
      </c>
      <c r="D366" s="27" t="s">
        <v>44</v>
      </c>
      <c r="E366" s="27" t="s">
        <v>21</v>
      </c>
      <c r="F366" s="27" t="s">
        <v>539</v>
      </c>
      <c r="G366" s="27" t="s">
        <v>46</v>
      </c>
      <c r="H366" s="27" t="s">
        <v>287</v>
      </c>
      <c r="I366" s="28">
        <v>42887.0</v>
      </c>
      <c r="J366" s="29"/>
      <c r="K366" s="30">
        <v>43983.0</v>
      </c>
      <c r="L366" s="31">
        <v>1.0</v>
      </c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26" t="s">
        <v>986</v>
      </c>
      <c r="B367" s="27" t="s">
        <v>987</v>
      </c>
      <c r="C367" s="32"/>
      <c r="D367" s="27" t="s">
        <v>27</v>
      </c>
      <c r="E367" s="27" t="s">
        <v>706</v>
      </c>
      <c r="F367" s="27" t="s">
        <v>380</v>
      </c>
      <c r="G367" s="32"/>
      <c r="H367" s="27" t="s">
        <v>24</v>
      </c>
      <c r="I367" s="28">
        <v>36892.0</v>
      </c>
      <c r="J367" s="29"/>
      <c r="K367" s="30">
        <v>45809.0</v>
      </c>
      <c r="L367" s="31">
        <v>1.0</v>
      </c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26" t="s">
        <v>988</v>
      </c>
      <c r="B368" s="27" t="s">
        <v>161</v>
      </c>
      <c r="C368" s="27" t="s">
        <v>243</v>
      </c>
      <c r="D368" s="27" t="s">
        <v>78</v>
      </c>
      <c r="E368" s="27" t="s">
        <v>21</v>
      </c>
      <c r="F368" s="27" t="s">
        <v>90</v>
      </c>
      <c r="G368" s="27" t="s">
        <v>137</v>
      </c>
      <c r="H368" s="27" t="s">
        <v>207</v>
      </c>
      <c r="I368" s="28">
        <v>42887.0</v>
      </c>
      <c r="J368" s="29"/>
      <c r="K368" s="30">
        <v>43983.0</v>
      </c>
      <c r="L368" s="31">
        <v>1.0</v>
      </c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26" t="s">
        <v>989</v>
      </c>
      <c r="B369" s="27" t="s">
        <v>522</v>
      </c>
      <c r="C369" s="27" t="s">
        <v>215</v>
      </c>
      <c r="D369" s="27" t="s">
        <v>44</v>
      </c>
      <c r="E369" s="27" t="s">
        <v>21</v>
      </c>
      <c r="F369" s="27" t="s">
        <v>45</v>
      </c>
      <c r="G369" s="27" t="s">
        <v>137</v>
      </c>
      <c r="H369" s="27" t="s">
        <v>207</v>
      </c>
      <c r="I369" s="28">
        <v>42887.0</v>
      </c>
      <c r="J369" s="28">
        <v>43983.0</v>
      </c>
      <c r="K369" s="30">
        <v>45078.0</v>
      </c>
      <c r="L369" s="31">
        <v>2.0</v>
      </c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26" t="s">
        <v>990</v>
      </c>
      <c r="B370" s="27" t="s">
        <v>269</v>
      </c>
      <c r="C370" s="27" t="s">
        <v>301</v>
      </c>
      <c r="D370" s="27" t="s">
        <v>108</v>
      </c>
      <c r="E370" s="27" t="s">
        <v>21</v>
      </c>
      <c r="F370" s="27" t="s">
        <v>45</v>
      </c>
      <c r="G370" s="27" t="s">
        <v>23</v>
      </c>
      <c r="H370" s="27" t="s">
        <v>689</v>
      </c>
      <c r="I370" s="28">
        <v>42887.0</v>
      </c>
      <c r="J370" s="29"/>
      <c r="K370" s="30">
        <v>43983.0</v>
      </c>
      <c r="L370" s="31">
        <v>1.0</v>
      </c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26" t="s">
        <v>991</v>
      </c>
      <c r="B371" s="27" t="s">
        <v>580</v>
      </c>
      <c r="C371" s="27" t="s">
        <v>992</v>
      </c>
      <c r="D371" s="27" t="s">
        <v>143</v>
      </c>
      <c r="E371" s="27" t="s">
        <v>21</v>
      </c>
      <c r="F371" s="27" t="s">
        <v>481</v>
      </c>
      <c r="G371" s="27" t="s">
        <v>36</v>
      </c>
      <c r="H371" s="27" t="s">
        <v>287</v>
      </c>
      <c r="I371" s="28">
        <v>42887.0</v>
      </c>
      <c r="J371" s="29"/>
      <c r="K371" s="30">
        <v>43983.0</v>
      </c>
      <c r="L371" s="31">
        <v>1.0</v>
      </c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26" t="s">
        <v>993</v>
      </c>
      <c r="B372" s="27" t="s">
        <v>304</v>
      </c>
      <c r="C372" s="27" t="s">
        <v>994</v>
      </c>
      <c r="D372" s="27" t="s">
        <v>222</v>
      </c>
      <c r="E372" s="27" t="s">
        <v>21</v>
      </c>
      <c r="F372" s="27" t="s">
        <v>45</v>
      </c>
      <c r="G372" s="27" t="s">
        <v>23</v>
      </c>
      <c r="H372" s="27" t="s">
        <v>344</v>
      </c>
      <c r="I372" s="28">
        <v>42887.0</v>
      </c>
      <c r="J372" s="29"/>
      <c r="K372" s="30">
        <v>43983.0</v>
      </c>
      <c r="L372" s="31">
        <v>1.0</v>
      </c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26" t="s">
        <v>995</v>
      </c>
      <c r="B373" s="27" t="s">
        <v>116</v>
      </c>
      <c r="C373" s="27" t="s">
        <v>996</v>
      </c>
      <c r="D373" s="27" t="s">
        <v>130</v>
      </c>
      <c r="E373" s="27" t="s">
        <v>21</v>
      </c>
      <c r="F373" s="27" t="s">
        <v>71</v>
      </c>
      <c r="G373" s="27" t="s">
        <v>46</v>
      </c>
      <c r="H373" s="27" t="s">
        <v>72</v>
      </c>
      <c r="I373" s="28">
        <v>43252.0</v>
      </c>
      <c r="J373" s="29"/>
      <c r="K373" s="30">
        <v>44348.0</v>
      </c>
      <c r="L373" s="31">
        <v>1.0</v>
      </c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26" t="s">
        <v>997</v>
      </c>
      <c r="B374" s="27" t="s">
        <v>106</v>
      </c>
      <c r="C374" s="27" t="s">
        <v>557</v>
      </c>
      <c r="D374" s="27" t="s">
        <v>317</v>
      </c>
      <c r="E374" s="27" t="s">
        <v>21</v>
      </c>
      <c r="F374" s="27" t="s">
        <v>364</v>
      </c>
      <c r="G374" s="27" t="s">
        <v>36</v>
      </c>
      <c r="H374" s="27" t="s">
        <v>110</v>
      </c>
      <c r="I374" s="28">
        <v>43617.0</v>
      </c>
      <c r="J374" s="29"/>
      <c r="K374" s="30">
        <v>44713.0</v>
      </c>
      <c r="L374" s="31">
        <v>1.0</v>
      </c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26" t="s">
        <v>998</v>
      </c>
      <c r="B375" s="27" t="s">
        <v>999</v>
      </c>
      <c r="C375" s="32"/>
      <c r="D375" s="27" t="s">
        <v>27</v>
      </c>
      <c r="E375" s="27" t="s">
        <v>39</v>
      </c>
      <c r="F375" s="27" t="s">
        <v>29</v>
      </c>
      <c r="G375" s="27" t="s">
        <v>417</v>
      </c>
      <c r="H375" s="27" t="s">
        <v>65</v>
      </c>
      <c r="I375" s="28">
        <v>43136.0</v>
      </c>
      <c r="J375" s="28">
        <v>44348.0</v>
      </c>
      <c r="K375" s="30">
        <v>45444.0</v>
      </c>
      <c r="L375" s="31">
        <v>2.0</v>
      </c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26" t="s">
        <v>998</v>
      </c>
      <c r="B376" s="27" t="s">
        <v>266</v>
      </c>
      <c r="C376" s="27" t="s">
        <v>1000</v>
      </c>
      <c r="D376" s="27" t="s">
        <v>183</v>
      </c>
      <c r="E376" s="27" t="s">
        <v>21</v>
      </c>
      <c r="F376" s="27" t="s">
        <v>380</v>
      </c>
      <c r="G376" s="32"/>
      <c r="H376" s="27" t="s">
        <v>24</v>
      </c>
      <c r="I376" s="28">
        <v>36892.0</v>
      </c>
      <c r="J376" s="29"/>
      <c r="K376" s="30">
        <v>45809.0</v>
      </c>
      <c r="L376" s="31">
        <v>1.0</v>
      </c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26" t="s">
        <v>1001</v>
      </c>
      <c r="B377" s="27" t="s">
        <v>214</v>
      </c>
      <c r="C377" s="27" t="s">
        <v>1002</v>
      </c>
      <c r="D377" s="27" t="s">
        <v>143</v>
      </c>
      <c r="E377" s="27" t="s">
        <v>21</v>
      </c>
      <c r="F377" s="27" t="s">
        <v>79</v>
      </c>
      <c r="G377" s="27" t="s">
        <v>23</v>
      </c>
      <c r="H377" s="27" t="s">
        <v>255</v>
      </c>
      <c r="I377" s="28">
        <v>42887.0</v>
      </c>
      <c r="J377" s="29"/>
      <c r="K377" s="30">
        <v>43983.0</v>
      </c>
      <c r="L377" s="31">
        <v>1.0</v>
      </c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26" t="s">
        <v>1001</v>
      </c>
      <c r="B378" s="27" t="s">
        <v>1003</v>
      </c>
      <c r="C378" s="32"/>
      <c r="D378" s="27" t="s">
        <v>27</v>
      </c>
      <c r="E378" s="27" t="s">
        <v>39</v>
      </c>
      <c r="F378" s="27" t="s">
        <v>40</v>
      </c>
      <c r="G378" s="27" t="s">
        <v>1004</v>
      </c>
      <c r="H378" s="27" t="s">
        <v>40</v>
      </c>
      <c r="I378" s="28">
        <v>43132.0</v>
      </c>
      <c r="J378" s="28">
        <v>44348.0</v>
      </c>
      <c r="K378" s="30">
        <v>45444.0</v>
      </c>
      <c r="L378" s="31">
        <v>2.0</v>
      </c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26" t="s">
        <v>1005</v>
      </c>
      <c r="B379" s="27" t="s">
        <v>141</v>
      </c>
      <c r="C379" s="27" t="s">
        <v>771</v>
      </c>
      <c r="D379" s="27" t="s">
        <v>851</v>
      </c>
      <c r="E379" s="27" t="s">
        <v>21</v>
      </c>
      <c r="F379" s="27" t="s">
        <v>481</v>
      </c>
      <c r="G379" s="27" t="s">
        <v>23</v>
      </c>
      <c r="H379" s="27" t="s">
        <v>287</v>
      </c>
      <c r="I379" s="28">
        <v>42887.0</v>
      </c>
      <c r="J379" s="29"/>
      <c r="K379" s="30">
        <v>43983.0</v>
      </c>
      <c r="L379" s="31">
        <v>1.0</v>
      </c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26" t="s">
        <v>1006</v>
      </c>
      <c r="B380" s="27" t="s">
        <v>537</v>
      </c>
      <c r="C380" s="27" t="s">
        <v>514</v>
      </c>
      <c r="D380" s="27" t="s">
        <v>78</v>
      </c>
      <c r="E380" s="27" t="s">
        <v>21</v>
      </c>
      <c r="F380" s="27" t="s">
        <v>79</v>
      </c>
      <c r="G380" s="27" t="s">
        <v>23</v>
      </c>
      <c r="H380" s="27" t="s">
        <v>80</v>
      </c>
      <c r="I380" s="28">
        <v>43252.0</v>
      </c>
      <c r="J380" s="29"/>
      <c r="K380" s="30">
        <v>44348.0</v>
      </c>
      <c r="L380" s="31">
        <v>1.0</v>
      </c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26" t="s">
        <v>273</v>
      </c>
      <c r="B381" s="27" t="s">
        <v>227</v>
      </c>
      <c r="C381" s="27" t="s">
        <v>1007</v>
      </c>
      <c r="D381" s="27" t="s">
        <v>282</v>
      </c>
      <c r="E381" s="27" t="s">
        <v>21</v>
      </c>
      <c r="F381" s="32"/>
      <c r="G381" s="32"/>
      <c r="H381" s="27" t="s">
        <v>913</v>
      </c>
      <c r="I381" s="28">
        <v>43252.0</v>
      </c>
      <c r="J381" s="29"/>
      <c r="K381" s="30">
        <v>44348.0</v>
      </c>
      <c r="L381" s="31">
        <v>1.0</v>
      </c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26" t="s">
        <v>887</v>
      </c>
      <c r="B382" s="27" t="s">
        <v>346</v>
      </c>
      <c r="C382" s="27" t="s">
        <v>1008</v>
      </c>
      <c r="D382" s="27" t="s">
        <v>348</v>
      </c>
      <c r="E382" s="27" t="s">
        <v>21</v>
      </c>
      <c r="F382" s="27" t="s">
        <v>1009</v>
      </c>
      <c r="G382" s="27" t="s">
        <v>137</v>
      </c>
      <c r="H382" s="27" t="s">
        <v>126</v>
      </c>
      <c r="I382" s="28">
        <v>43617.0</v>
      </c>
      <c r="J382" s="28">
        <v>44713.0</v>
      </c>
      <c r="K382" s="30">
        <v>45809.0</v>
      </c>
      <c r="L382" s="31">
        <v>2.0</v>
      </c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26" t="s">
        <v>1010</v>
      </c>
      <c r="B383" s="27" t="s">
        <v>145</v>
      </c>
      <c r="C383" s="27" t="s">
        <v>743</v>
      </c>
      <c r="D383" s="27" t="s">
        <v>527</v>
      </c>
      <c r="E383" s="27" t="s">
        <v>21</v>
      </c>
      <c r="F383" s="27" t="s">
        <v>79</v>
      </c>
      <c r="G383" s="27" t="s">
        <v>23</v>
      </c>
      <c r="H383" s="27" t="s">
        <v>184</v>
      </c>
      <c r="I383" s="28">
        <v>42887.0</v>
      </c>
      <c r="J383" s="29"/>
      <c r="K383" s="30">
        <v>43983.0</v>
      </c>
      <c r="L383" s="31">
        <v>1.0</v>
      </c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26" t="s">
        <v>1011</v>
      </c>
      <c r="B384" s="27" t="s">
        <v>249</v>
      </c>
      <c r="C384" s="27" t="s">
        <v>1012</v>
      </c>
      <c r="D384" s="27" t="s">
        <v>143</v>
      </c>
      <c r="E384" s="27" t="s">
        <v>21</v>
      </c>
      <c r="F384" s="27" t="s">
        <v>367</v>
      </c>
      <c r="G384" s="27" t="s">
        <v>23</v>
      </c>
      <c r="H384" s="27" t="s">
        <v>135</v>
      </c>
      <c r="I384" s="28">
        <v>43252.0</v>
      </c>
      <c r="J384" s="28">
        <v>44348.0</v>
      </c>
      <c r="K384" s="30">
        <v>45444.0</v>
      </c>
      <c r="L384" s="31">
        <v>2.0</v>
      </c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26" t="s">
        <v>1013</v>
      </c>
      <c r="B385" s="27" t="s">
        <v>141</v>
      </c>
      <c r="C385" s="27" t="s">
        <v>1014</v>
      </c>
      <c r="D385" s="27" t="s">
        <v>348</v>
      </c>
      <c r="E385" s="27" t="s">
        <v>21</v>
      </c>
      <c r="F385" s="27" t="s">
        <v>79</v>
      </c>
      <c r="G385" s="27" t="s">
        <v>36</v>
      </c>
      <c r="H385" s="27" t="s">
        <v>211</v>
      </c>
      <c r="I385" s="28">
        <v>43252.0</v>
      </c>
      <c r="J385" s="29"/>
      <c r="K385" s="30">
        <v>44348.0</v>
      </c>
      <c r="L385" s="31">
        <v>1.0</v>
      </c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26" t="s">
        <v>1015</v>
      </c>
      <c r="B386" s="27" t="s">
        <v>636</v>
      </c>
      <c r="C386" s="27" t="s">
        <v>1016</v>
      </c>
      <c r="D386" s="27" t="s">
        <v>118</v>
      </c>
      <c r="E386" s="27" t="s">
        <v>21</v>
      </c>
      <c r="F386" s="27" t="s">
        <v>364</v>
      </c>
      <c r="G386" s="27" t="s">
        <v>23</v>
      </c>
      <c r="H386" s="27" t="s">
        <v>233</v>
      </c>
      <c r="I386" s="28">
        <v>43617.0</v>
      </c>
      <c r="J386" s="29"/>
      <c r="K386" s="30">
        <v>44713.0</v>
      </c>
      <c r="L386" s="31">
        <v>1.0</v>
      </c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26" t="s">
        <v>1017</v>
      </c>
      <c r="B387" s="27" t="s">
        <v>1018</v>
      </c>
      <c r="C387" s="32"/>
      <c r="D387" s="27" t="s">
        <v>27</v>
      </c>
      <c r="E387" s="27" t="s">
        <v>334</v>
      </c>
      <c r="F387" s="27" t="s">
        <v>29</v>
      </c>
      <c r="G387" s="27" t="s">
        <v>163</v>
      </c>
      <c r="H387" s="27" t="s">
        <v>29</v>
      </c>
      <c r="I387" s="28">
        <v>42401.0</v>
      </c>
      <c r="J387" s="29"/>
      <c r="K387" s="30">
        <v>44713.0</v>
      </c>
      <c r="L387" s="31">
        <v>1.0</v>
      </c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26" t="s">
        <v>1019</v>
      </c>
      <c r="B388" s="27" t="s">
        <v>1020</v>
      </c>
      <c r="C388" s="27" t="s">
        <v>1021</v>
      </c>
      <c r="D388" s="27" t="s">
        <v>133</v>
      </c>
      <c r="E388" s="27" t="s">
        <v>21</v>
      </c>
      <c r="F388" s="27" t="s">
        <v>421</v>
      </c>
      <c r="G388" s="27" t="s">
        <v>23</v>
      </c>
      <c r="H388" s="27" t="s">
        <v>135</v>
      </c>
      <c r="I388" s="28">
        <v>43252.0</v>
      </c>
      <c r="J388" s="29"/>
      <c r="K388" s="30">
        <v>44348.0</v>
      </c>
      <c r="L388" s="31">
        <v>1.0</v>
      </c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26" t="s">
        <v>1022</v>
      </c>
      <c r="B389" s="27" t="s">
        <v>1020</v>
      </c>
      <c r="C389" s="27" t="s">
        <v>1023</v>
      </c>
      <c r="D389" s="27" t="s">
        <v>133</v>
      </c>
      <c r="E389" s="27" t="s">
        <v>21</v>
      </c>
      <c r="F389" s="27" t="s">
        <v>421</v>
      </c>
      <c r="G389" s="27" t="s">
        <v>23</v>
      </c>
      <c r="H389" s="27" t="s">
        <v>135</v>
      </c>
      <c r="I389" s="28">
        <v>43252.0</v>
      </c>
      <c r="J389" s="29"/>
      <c r="K389" s="30">
        <v>44348.0</v>
      </c>
      <c r="L389" s="31">
        <v>1.0</v>
      </c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26" t="s">
        <v>1024</v>
      </c>
      <c r="B390" s="27" t="s">
        <v>1025</v>
      </c>
      <c r="C390" s="32"/>
      <c r="D390" s="27" t="s">
        <v>27</v>
      </c>
      <c r="E390" s="27" t="s">
        <v>763</v>
      </c>
      <c r="F390" s="27" t="s">
        <v>40</v>
      </c>
      <c r="G390" s="27" t="s">
        <v>1026</v>
      </c>
      <c r="H390" s="27" t="s">
        <v>40</v>
      </c>
      <c r="I390" s="28">
        <v>43132.0</v>
      </c>
      <c r="J390" s="28">
        <v>44348.0</v>
      </c>
      <c r="K390" s="30">
        <v>45444.0</v>
      </c>
      <c r="L390" s="31">
        <v>2.0</v>
      </c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26" t="s">
        <v>1027</v>
      </c>
      <c r="B391" s="27" t="s">
        <v>351</v>
      </c>
      <c r="C391" s="27" t="s">
        <v>1028</v>
      </c>
      <c r="D391" s="27" t="s">
        <v>20</v>
      </c>
      <c r="E391" s="27" t="s">
        <v>21</v>
      </c>
      <c r="F391" s="27" t="s">
        <v>79</v>
      </c>
      <c r="G391" s="27" t="s">
        <v>23</v>
      </c>
      <c r="H391" s="27" t="s">
        <v>229</v>
      </c>
      <c r="I391" s="28">
        <v>42887.0</v>
      </c>
      <c r="J391" s="29"/>
      <c r="K391" s="30">
        <v>43983.0</v>
      </c>
      <c r="L391" s="31">
        <v>1.0</v>
      </c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26" t="s">
        <v>1029</v>
      </c>
      <c r="B392" s="27" t="s">
        <v>1030</v>
      </c>
      <c r="C392" s="32"/>
      <c r="D392" s="27" t="s">
        <v>27</v>
      </c>
      <c r="E392" s="27" t="s">
        <v>1031</v>
      </c>
      <c r="F392" s="27" t="s">
        <v>29</v>
      </c>
      <c r="G392" s="27" t="s">
        <v>156</v>
      </c>
      <c r="H392" s="27" t="s">
        <v>29</v>
      </c>
      <c r="I392" s="28">
        <v>42767.0</v>
      </c>
      <c r="J392" s="28">
        <v>43983.0</v>
      </c>
      <c r="K392" s="30">
        <v>45078.0</v>
      </c>
      <c r="L392" s="31">
        <v>2.0</v>
      </c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26" t="s">
        <v>1032</v>
      </c>
      <c r="B393" s="27" t="s">
        <v>1033</v>
      </c>
      <c r="C393" s="27" t="s">
        <v>1034</v>
      </c>
      <c r="D393" s="27" t="s">
        <v>130</v>
      </c>
      <c r="E393" s="27" t="s">
        <v>21</v>
      </c>
      <c r="F393" s="27" t="s">
        <v>56</v>
      </c>
      <c r="G393" s="27" t="s">
        <v>36</v>
      </c>
      <c r="H393" s="27" t="s">
        <v>152</v>
      </c>
      <c r="I393" s="28">
        <v>43617.0</v>
      </c>
      <c r="J393" s="29"/>
      <c r="K393" s="30">
        <v>44713.0</v>
      </c>
      <c r="L393" s="31">
        <v>1.0</v>
      </c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26" t="s">
        <v>1035</v>
      </c>
      <c r="B394" s="27" t="s">
        <v>469</v>
      </c>
      <c r="C394" s="27" t="s">
        <v>1036</v>
      </c>
      <c r="D394" s="27" t="s">
        <v>20</v>
      </c>
      <c r="E394" s="27" t="s">
        <v>21</v>
      </c>
      <c r="F394" s="27" t="s">
        <v>383</v>
      </c>
      <c r="G394" s="27" t="s">
        <v>46</v>
      </c>
      <c r="H394" s="27" t="s">
        <v>171</v>
      </c>
      <c r="I394" s="28">
        <v>43617.0</v>
      </c>
      <c r="J394" s="29"/>
      <c r="K394" s="30">
        <v>44713.0</v>
      </c>
      <c r="L394" s="31">
        <v>1.0</v>
      </c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26" t="s">
        <v>1037</v>
      </c>
      <c r="B395" s="27" t="s">
        <v>811</v>
      </c>
      <c r="C395" s="27" t="s">
        <v>1000</v>
      </c>
      <c r="D395" s="27" t="s">
        <v>183</v>
      </c>
      <c r="E395" s="27" t="s">
        <v>21</v>
      </c>
      <c r="F395" s="27" t="s">
        <v>380</v>
      </c>
      <c r="G395" s="32"/>
      <c r="H395" s="27" t="s">
        <v>24</v>
      </c>
      <c r="I395" s="28">
        <v>36892.0</v>
      </c>
      <c r="J395" s="29"/>
      <c r="K395" s="30">
        <v>45809.0</v>
      </c>
      <c r="L395" s="31">
        <v>1.0</v>
      </c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26" t="s">
        <v>1038</v>
      </c>
      <c r="B396" s="27" t="s">
        <v>1039</v>
      </c>
      <c r="C396" s="27" t="s">
        <v>1040</v>
      </c>
      <c r="D396" s="27" t="s">
        <v>78</v>
      </c>
      <c r="E396" s="27" t="s">
        <v>21</v>
      </c>
      <c r="F396" s="27" t="s">
        <v>45</v>
      </c>
      <c r="G396" s="27" t="s">
        <v>23</v>
      </c>
      <c r="H396" s="27" t="s">
        <v>244</v>
      </c>
      <c r="I396" s="28">
        <v>42887.0</v>
      </c>
      <c r="J396" s="29"/>
      <c r="K396" s="30">
        <v>43983.0</v>
      </c>
      <c r="L396" s="31">
        <v>1.0</v>
      </c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26" t="s">
        <v>403</v>
      </c>
      <c r="B397" s="27" t="s">
        <v>391</v>
      </c>
      <c r="C397" s="32"/>
      <c r="D397" s="27" t="s">
        <v>27</v>
      </c>
      <c r="E397" s="27" t="s">
        <v>39</v>
      </c>
      <c r="F397" s="27" t="s">
        <v>40</v>
      </c>
      <c r="G397" s="27" t="s">
        <v>772</v>
      </c>
      <c r="H397" s="27" t="s">
        <v>40</v>
      </c>
      <c r="I397" s="28">
        <v>42401.0</v>
      </c>
      <c r="J397" s="29"/>
      <c r="K397" s="30">
        <v>44713.0</v>
      </c>
      <c r="L397" s="31">
        <v>1.0</v>
      </c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26" t="s">
        <v>1041</v>
      </c>
      <c r="B398" s="27" t="s">
        <v>116</v>
      </c>
      <c r="C398" s="27" t="s">
        <v>1042</v>
      </c>
      <c r="D398" s="27" t="s">
        <v>420</v>
      </c>
      <c r="E398" s="27" t="s">
        <v>21</v>
      </c>
      <c r="F398" s="27" t="s">
        <v>421</v>
      </c>
      <c r="G398" s="27" t="s">
        <v>36</v>
      </c>
      <c r="H398" s="27" t="s">
        <v>582</v>
      </c>
      <c r="I398" s="28">
        <v>42887.0</v>
      </c>
      <c r="J398" s="29"/>
      <c r="K398" s="30">
        <v>43983.0</v>
      </c>
      <c r="L398" s="31">
        <v>1.0</v>
      </c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26" t="s">
        <v>1043</v>
      </c>
      <c r="B399" s="27" t="s">
        <v>887</v>
      </c>
      <c r="C399" s="27" t="s">
        <v>1044</v>
      </c>
      <c r="D399" s="27" t="s">
        <v>323</v>
      </c>
      <c r="E399" s="27" t="s">
        <v>21</v>
      </c>
      <c r="F399" s="27" t="s">
        <v>56</v>
      </c>
      <c r="G399" s="27" t="s">
        <v>36</v>
      </c>
      <c r="H399" s="27" t="s">
        <v>57</v>
      </c>
      <c r="I399" s="28">
        <v>43617.0</v>
      </c>
      <c r="J399" s="29"/>
      <c r="K399" s="30">
        <v>44713.0</v>
      </c>
      <c r="L399" s="31">
        <v>1.0</v>
      </c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26" t="s">
        <v>1045</v>
      </c>
      <c r="B400" s="27" t="s">
        <v>617</v>
      </c>
      <c r="C400" s="27" t="s">
        <v>1046</v>
      </c>
      <c r="D400" s="27" t="s">
        <v>222</v>
      </c>
      <c r="E400" s="27" t="s">
        <v>21</v>
      </c>
      <c r="F400" s="27" t="s">
        <v>367</v>
      </c>
      <c r="G400" s="27" t="s">
        <v>46</v>
      </c>
      <c r="H400" s="27" t="s">
        <v>135</v>
      </c>
      <c r="I400" s="28">
        <v>43252.0</v>
      </c>
      <c r="J400" s="28">
        <v>44348.0</v>
      </c>
      <c r="K400" s="30">
        <v>45444.0</v>
      </c>
      <c r="L400" s="31">
        <v>2.0</v>
      </c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26" t="s">
        <v>1047</v>
      </c>
      <c r="B401" s="27" t="s">
        <v>18</v>
      </c>
      <c r="C401" s="27" t="s">
        <v>1048</v>
      </c>
      <c r="D401" s="27" t="s">
        <v>94</v>
      </c>
      <c r="E401" s="27" t="s">
        <v>21</v>
      </c>
      <c r="F401" s="32"/>
      <c r="G401" s="32"/>
      <c r="H401" s="27" t="s">
        <v>913</v>
      </c>
      <c r="I401" s="28">
        <v>43252.0</v>
      </c>
      <c r="J401" s="29"/>
      <c r="K401" s="30">
        <v>44348.0</v>
      </c>
      <c r="L401" s="31">
        <v>1.0</v>
      </c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26" t="s">
        <v>1049</v>
      </c>
      <c r="B402" s="27" t="s">
        <v>1050</v>
      </c>
      <c r="C402" s="32"/>
      <c r="D402" s="27" t="s">
        <v>27</v>
      </c>
      <c r="E402" s="27" t="s">
        <v>285</v>
      </c>
      <c r="F402" s="27" t="s">
        <v>40</v>
      </c>
      <c r="G402" s="27" t="s">
        <v>1051</v>
      </c>
      <c r="H402" s="27" t="s">
        <v>40</v>
      </c>
      <c r="I402" s="28">
        <v>42401.0</v>
      </c>
      <c r="J402" s="29"/>
      <c r="K402" s="30">
        <v>44713.0</v>
      </c>
      <c r="L402" s="31">
        <v>1.0</v>
      </c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26" t="s">
        <v>1052</v>
      </c>
      <c r="B403" s="27" t="s">
        <v>493</v>
      </c>
      <c r="C403" s="27" t="s">
        <v>1053</v>
      </c>
      <c r="D403" s="27" t="s">
        <v>222</v>
      </c>
      <c r="E403" s="27" t="s">
        <v>21</v>
      </c>
      <c r="F403" s="27" t="s">
        <v>421</v>
      </c>
      <c r="G403" s="27" t="s">
        <v>36</v>
      </c>
      <c r="H403" s="27" t="s">
        <v>344</v>
      </c>
      <c r="I403" s="28">
        <v>42887.0</v>
      </c>
      <c r="J403" s="29"/>
      <c r="K403" s="30">
        <v>43983.0</v>
      </c>
      <c r="L403" s="31">
        <v>1.0</v>
      </c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26" t="s">
        <v>557</v>
      </c>
      <c r="B404" s="27" t="s">
        <v>231</v>
      </c>
      <c r="C404" s="32"/>
      <c r="D404" s="27" t="s">
        <v>27</v>
      </c>
      <c r="E404" s="27" t="s">
        <v>21</v>
      </c>
      <c r="F404" s="27" t="s">
        <v>155</v>
      </c>
      <c r="G404" s="27" t="s">
        <v>417</v>
      </c>
      <c r="H404" s="27" t="s">
        <v>155</v>
      </c>
      <c r="I404" s="28">
        <v>43132.0</v>
      </c>
      <c r="J404" s="28">
        <v>44348.0</v>
      </c>
      <c r="K404" s="30">
        <v>45444.0</v>
      </c>
      <c r="L404" s="31">
        <v>2.0</v>
      </c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26" t="s">
        <v>1054</v>
      </c>
      <c r="B405" s="27" t="s">
        <v>1055</v>
      </c>
      <c r="C405" s="27" t="s">
        <v>1056</v>
      </c>
      <c r="D405" s="27" t="s">
        <v>428</v>
      </c>
      <c r="E405" s="27" t="s">
        <v>21</v>
      </c>
      <c r="F405" s="27" t="s">
        <v>45</v>
      </c>
      <c r="G405" s="27" t="s">
        <v>23</v>
      </c>
      <c r="H405" s="27" t="s">
        <v>425</v>
      </c>
      <c r="I405" s="28">
        <v>42522.0</v>
      </c>
      <c r="J405" s="29"/>
      <c r="K405" s="30">
        <v>44348.0</v>
      </c>
      <c r="L405" s="31">
        <v>1.0</v>
      </c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26" t="s">
        <v>1057</v>
      </c>
      <c r="B406" s="27" t="s">
        <v>231</v>
      </c>
      <c r="C406" s="27" t="s">
        <v>1058</v>
      </c>
      <c r="D406" s="27" t="s">
        <v>94</v>
      </c>
      <c r="E406" s="27" t="s">
        <v>21</v>
      </c>
      <c r="F406" s="27" t="s">
        <v>79</v>
      </c>
      <c r="G406" s="27" t="s">
        <v>46</v>
      </c>
      <c r="H406" s="27" t="s">
        <v>147</v>
      </c>
      <c r="I406" s="28">
        <v>42887.0</v>
      </c>
      <c r="J406" s="29"/>
      <c r="K406" s="30">
        <v>43983.0</v>
      </c>
      <c r="L406" s="31">
        <v>1.0</v>
      </c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26" t="s">
        <v>1059</v>
      </c>
      <c r="B407" s="27" t="s">
        <v>266</v>
      </c>
      <c r="C407" s="32"/>
      <c r="D407" s="27" t="s">
        <v>27</v>
      </c>
      <c r="E407" s="27" t="s">
        <v>27</v>
      </c>
      <c r="F407" s="27" t="s">
        <v>103</v>
      </c>
      <c r="G407" s="27" t="s">
        <v>201</v>
      </c>
      <c r="H407" s="27" t="s">
        <v>103</v>
      </c>
      <c r="I407" s="28">
        <v>42401.0</v>
      </c>
      <c r="J407" s="29"/>
      <c r="K407" s="30">
        <v>44713.0</v>
      </c>
      <c r="L407" s="31">
        <v>1.0</v>
      </c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26" t="s">
        <v>1060</v>
      </c>
      <c r="B408" s="27" t="s">
        <v>214</v>
      </c>
      <c r="C408" s="27" t="s">
        <v>1061</v>
      </c>
      <c r="D408" s="27" t="s">
        <v>78</v>
      </c>
      <c r="E408" s="27" t="s">
        <v>21</v>
      </c>
      <c r="F408" s="27" t="s">
        <v>56</v>
      </c>
      <c r="G408" s="27" t="s">
        <v>36</v>
      </c>
      <c r="H408" s="27" t="s">
        <v>434</v>
      </c>
      <c r="I408" s="28">
        <v>43617.0</v>
      </c>
      <c r="J408" s="29"/>
      <c r="K408" s="30">
        <v>44713.0</v>
      </c>
      <c r="L408" s="31">
        <v>1.0</v>
      </c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26" t="s">
        <v>1062</v>
      </c>
      <c r="B409" s="27" t="s">
        <v>580</v>
      </c>
      <c r="C409" s="27" t="s">
        <v>93</v>
      </c>
      <c r="D409" s="27" t="s">
        <v>94</v>
      </c>
      <c r="E409" s="27" t="s">
        <v>21</v>
      </c>
      <c r="F409" s="27" t="s">
        <v>421</v>
      </c>
      <c r="G409" s="27" t="s">
        <v>36</v>
      </c>
      <c r="H409" s="27" t="s">
        <v>147</v>
      </c>
      <c r="I409" s="28">
        <v>42887.0</v>
      </c>
      <c r="J409" s="29"/>
      <c r="K409" s="30">
        <v>43983.0</v>
      </c>
      <c r="L409" s="31">
        <v>1.0</v>
      </c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26" t="s">
        <v>1063</v>
      </c>
      <c r="B410" s="27" t="s">
        <v>311</v>
      </c>
      <c r="C410" s="27" t="s">
        <v>1064</v>
      </c>
      <c r="D410" s="27" t="s">
        <v>89</v>
      </c>
      <c r="E410" s="27" t="s">
        <v>21</v>
      </c>
      <c r="F410" s="27" t="s">
        <v>90</v>
      </c>
      <c r="G410" s="27" t="s">
        <v>36</v>
      </c>
      <c r="H410" s="27" t="s">
        <v>331</v>
      </c>
      <c r="I410" s="28">
        <v>43252.0</v>
      </c>
      <c r="J410" s="29"/>
      <c r="K410" s="30">
        <v>44348.0</v>
      </c>
      <c r="L410" s="31">
        <v>1.0</v>
      </c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26" t="s">
        <v>1065</v>
      </c>
      <c r="B411" s="27" t="s">
        <v>145</v>
      </c>
      <c r="C411" s="27" t="s">
        <v>1066</v>
      </c>
      <c r="D411" s="27" t="s">
        <v>224</v>
      </c>
      <c r="E411" s="27" t="s">
        <v>21</v>
      </c>
      <c r="F411" s="27" t="s">
        <v>936</v>
      </c>
      <c r="G411" s="27" t="s">
        <v>36</v>
      </c>
      <c r="H411" s="27" t="s">
        <v>24</v>
      </c>
      <c r="I411" s="28">
        <v>40695.0</v>
      </c>
      <c r="J411" s="29"/>
      <c r="K411" s="30">
        <v>45809.0</v>
      </c>
      <c r="L411" s="31">
        <v>1.0</v>
      </c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26" t="s">
        <v>1067</v>
      </c>
      <c r="B412" s="27" t="s">
        <v>556</v>
      </c>
      <c r="C412" s="27" t="s">
        <v>1068</v>
      </c>
      <c r="D412" s="27" t="s">
        <v>222</v>
      </c>
      <c r="E412" s="27" t="s">
        <v>21</v>
      </c>
      <c r="F412" s="27" t="s">
        <v>109</v>
      </c>
      <c r="G412" s="27" t="s">
        <v>36</v>
      </c>
      <c r="H412" s="27" t="s">
        <v>241</v>
      </c>
      <c r="I412" s="28">
        <v>43617.0</v>
      </c>
      <c r="J412" s="29"/>
      <c r="K412" s="30">
        <v>44713.0</v>
      </c>
      <c r="L412" s="31">
        <v>1.0</v>
      </c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26" t="s">
        <v>1069</v>
      </c>
      <c r="B413" s="27" t="s">
        <v>1070</v>
      </c>
      <c r="C413" s="32"/>
      <c r="D413" s="27" t="s">
        <v>27</v>
      </c>
      <c r="E413" s="27" t="s">
        <v>376</v>
      </c>
      <c r="F413" s="27" t="s">
        <v>29</v>
      </c>
      <c r="G413" s="27" t="s">
        <v>815</v>
      </c>
      <c r="H413" s="27" t="s">
        <v>65</v>
      </c>
      <c r="I413" s="28">
        <v>43136.0</v>
      </c>
      <c r="J413" s="28">
        <v>44348.0</v>
      </c>
      <c r="K413" s="30">
        <v>45444.0</v>
      </c>
      <c r="L413" s="31">
        <v>2.0</v>
      </c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26" t="s">
        <v>1071</v>
      </c>
      <c r="B414" s="27" t="s">
        <v>18</v>
      </c>
      <c r="C414" s="27" t="s">
        <v>1072</v>
      </c>
      <c r="D414" s="27" t="s">
        <v>89</v>
      </c>
      <c r="E414" s="27" t="s">
        <v>21</v>
      </c>
      <c r="F414" s="27" t="s">
        <v>35</v>
      </c>
      <c r="G414" s="27" t="s">
        <v>46</v>
      </c>
      <c r="H414" s="27" t="s">
        <v>171</v>
      </c>
      <c r="I414" s="28">
        <v>43617.0</v>
      </c>
      <c r="J414" s="29"/>
      <c r="K414" s="30">
        <v>44713.0</v>
      </c>
      <c r="L414" s="31">
        <v>1.0</v>
      </c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26" t="s">
        <v>1073</v>
      </c>
      <c r="B415" s="27" t="s">
        <v>1074</v>
      </c>
      <c r="C415" s="27" t="s">
        <v>1075</v>
      </c>
      <c r="D415" s="27" t="s">
        <v>143</v>
      </c>
      <c r="E415" s="27" t="s">
        <v>21</v>
      </c>
      <c r="F415" s="27" t="s">
        <v>1076</v>
      </c>
      <c r="G415" s="27" t="s">
        <v>46</v>
      </c>
      <c r="H415" s="27" t="s">
        <v>24</v>
      </c>
      <c r="I415" s="28">
        <v>36892.0</v>
      </c>
      <c r="J415" s="29"/>
      <c r="K415" s="30">
        <v>45809.0</v>
      </c>
      <c r="L415" s="31">
        <v>1.0</v>
      </c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33" t="s">
        <v>1077</v>
      </c>
      <c r="B416" s="34" t="s">
        <v>1078</v>
      </c>
      <c r="C416" s="35"/>
      <c r="D416" s="34" t="s">
        <v>27</v>
      </c>
      <c r="E416" s="34" t="s">
        <v>39</v>
      </c>
      <c r="F416" s="27" t="s">
        <v>40</v>
      </c>
      <c r="G416" s="27" t="s">
        <v>1079</v>
      </c>
      <c r="H416" s="34" t="s">
        <v>40</v>
      </c>
      <c r="I416" s="30">
        <v>42401.0</v>
      </c>
      <c r="J416" s="36"/>
      <c r="K416" s="30">
        <v>44713.0</v>
      </c>
      <c r="L416" s="31">
        <v>1.0</v>
      </c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26" t="s">
        <v>743</v>
      </c>
      <c r="B417" s="27" t="s">
        <v>266</v>
      </c>
      <c r="C417" s="32"/>
      <c r="D417" s="27" t="s">
        <v>27</v>
      </c>
      <c r="E417" s="27" t="s">
        <v>136</v>
      </c>
      <c r="F417" s="27" t="s">
        <v>40</v>
      </c>
      <c r="G417" s="27" t="s">
        <v>909</v>
      </c>
      <c r="H417" s="27" t="s">
        <v>40</v>
      </c>
      <c r="I417" s="28">
        <v>43132.0</v>
      </c>
      <c r="J417" s="28">
        <v>44348.0</v>
      </c>
      <c r="K417" s="30">
        <v>45444.0</v>
      </c>
      <c r="L417" s="31">
        <v>2.0</v>
      </c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26" t="s">
        <v>1080</v>
      </c>
      <c r="B418" s="27" t="s">
        <v>116</v>
      </c>
      <c r="C418" s="27" t="s">
        <v>1081</v>
      </c>
      <c r="D418" s="27" t="s">
        <v>851</v>
      </c>
      <c r="E418" s="27" t="s">
        <v>21</v>
      </c>
      <c r="F418" s="27" t="s">
        <v>71</v>
      </c>
      <c r="G418" s="27" t="s">
        <v>46</v>
      </c>
      <c r="H418" s="27" t="s">
        <v>975</v>
      </c>
      <c r="I418" s="28">
        <v>43252.0</v>
      </c>
      <c r="J418" s="28">
        <v>44348.0</v>
      </c>
      <c r="K418" s="30">
        <v>45444.0</v>
      </c>
      <c r="L418" s="31">
        <v>2.0</v>
      </c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26" t="s">
        <v>1082</v>
      </c>
      <c r="B419" s="27" t="s">
        <v>1083</v>
      </c>
      <c r="C419" s="27" t="s">
        <v>1084</v>
      </c>
      <c r="D419" s="27" t="s">
        <v>282</v>
      </c>
      <c r="E419" s="27" t="s">
        <v>21</v>
      </c>
      <c r="F419" s="27" t="s">
        <v>623</v>
      </c>
      <c r="G419" s="27" t="s">
        <v>137</v>
      </c>
      <c r="H419" s="27" t="s">
        <v>126</v>
      </c>
      <c r="I419" s="28">
        <v>43617.0</v>
      </c>
      <c r="J419" s="28">
        <v>44713.0</v>
      </c>
      <c r="K419" s="30">
        <v>45809.0</v>
      </c>
      <c r="L419" s="31">
        <v>2.0</v>
      </c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26" t="s">
        <v>1085</v>
      </c>
      <c r="B420" s="27" t="s">
        <v>887</v>
      </c>
      <c r="C420" s="27" t="s">
        <v>1086</v>
      </c>
      <c r="D420" s="27" t="s">
        <v>44</v>
      </c>
      <c r="E420" s="27" t="s">
        <v>21</v>
      </c>
      <c r="F420" s="27" t="s">
        <v>71</v>
      </c>
      <c r="G420" s="27" t="s">
        <v>46</v>
      </c>
      <c r="H420" s="27" t="s">
        <v>211</v>
      </c>
      <c r="I420" s="28">
        <v>43252.0</v>
      </c>
      <c r="J420" s="29"/>
      <c r="K420" s="30">
        <v>44348.0</v>
      </c>
      <c r="L420" s="31">
        <v>1.0</v>
      </c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26" t="s">
        <v>1087</v>
      </c>
      <c r="B421" s="27" t="s">
        <v>141</v>
      </c>
      <c r="C421" s="27" t="s">
        <v>1088</v>
      </c>
      <c r="D421" s="27" t="s">
        <v>851</v>
      </c>
      <c r="E421" s="27" t="s">
        <v>21</v>
      </c>
      <c r="F421" s="27" t="s">
        <v>642</v>
      </c>
      <c r="G421" s="27" t="s">
        <v>46</v>
      </c>
      <c r="H421" s="27" t="s">
        <v>135</v>
      </c>
      <c r="I421" s="28">
        <v>43252.0</v>
      </c>
      <c r="J421" s="28">
        <v>44348.0</v>
      </c>
      <c r="K421" s="30">
        <v>45444.0</v>
      </c>
      <c r="L421" s="31">
        <v>2.0</v>
      </c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26" t="s">
        <v>1089</v>
      </c>
      <c r="B422" s="27" t="s">
        <v>190</v>
      </c>
      <c r="C422" s="27" t="s">
        <v>1090</v>
      </c>
      <c r="D422" s="27" t="s">
        <v>343</v>
      </c>
      <c r="E422" s="27" t="s">
        <v>21</v>
      </c>
      <c r="F422" s="27" t="s">
        <v>35</v>
      </c>
      <c r="G422" s="27" t="s">
        <v>46</v>
      </c>
      <c r="H422" s="27" t="s">
        <v>233</v>
      </c>
      <c r="I422" s="28">
        <v>43617.0</v>
      </c>
      <c r="J422" s="29"/>
      <c r="K422" s="30">
        <v>44713.0</v>
      </c>
      <c r="L422" s="31">
        <v>1.0</v>
      </c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26" t="s">
        <v>1091</v>
      </c>
      <c r="B423" s="27" t="s">
        <v>1018</v>
      </c>
      <c r="C423" s="32"/>
      <c r="D423" s="27" t="s">
        <v>224</v>
      </c>
      <c r="E423" s="27" t="s">
        <v>21</v>
      </c>
      <c r="F423" s="27" t="s">
        <v>79</v>
      </c>
      <c r="G423" s="27" t="s">
        <v>36</v>
      </c>
      <c r="H423" s="27" t="s">
        <v>225</v>
      </c>
      <c r="I423" s="28">
        <v>43252.0</v>
      </c>
      <c r="J423" s="29"/>
      <c r="K423" s="30">
        <v>44348.0</v>
      </c>
      <c r="L423" s="31">
        <v>1.0</v>
      </c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26" t="s">
        <v>1091</v>
      </c>
      <c r="B424" s="27" t="s">
        <v>1092</v>
      </c>
      <c r="C424" s="32"/>
      <c r="D424" s="27" t="s">
        <v>27</v>
      </c>
      <c r="E424" s="27" t="s">
        <v>166</v>
      </c>
      <c r="F424" s="27" t="s">
        <v>29</v>
      </c>
      <c r="G424" s="27" t="s">
        <v>1051</v>
      </c>
      <c r="H424" s="27" t="s">
        <v>29</v>
      </c>
      <c r="I424" s="28">
        <v>42401.0</v>
      </c>
      <c r="J424" s="29"/>
      <c r="K424" s="30">
        <v>44713.0</v>
      </c>
      <c r="L424" s="31">
        <v>1.0</v>
      </c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26" t="s">
        <v>1093</v>
      </c>
      <c r="B425" s="27" t="s">
        <v>1094</v>
      </c>
      <c r="C425" s="27" t="s">
        <v>1095</v>
      </c>
      <c r="D425" s="27" t="s">
        <v>224</v>
      </c>
      <c r="E425" s="27" t="s">
        <v>21</v>
      </c>
      <c r="F425" s="27" t="s">
        <v>314</v>
      </c>
      <c r="G425" s="27" t="s">
        <v>46</v>
      </c>
      <c r="H425" s="27" t="s">
        <v>184</v>
      </c>
      <c r="I425" s="28">
        <v>42887.0</v>
      </c>
      <c r="J425" s="29"/>
      <c r="K425" s="30">
        <v>43983.0</v>
      </c>
      <c r="L425" s="31">
        <v>1.0</v>
      </c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26" t="s">
        <v>1096</v>
      </c>
      <c r="B426" s="27" t="s">
        <v>486</v>
      </c>
      <c r="C426" s="27" t="s">
        <v>1097</v>
      </c>
      <c r="D426" s="27" t="s">
        <v>130</v>
      </c>
      <c r="E426" s="27" t="s">
        <v>21</v>
      </c>
      <c r="F426" s="27" t="s">
        <v>79</v>
      </c>
      <c r="G426" s="27" t="s">
        <v>36</v>
      </c>
      <c r="H426" s="27" t="s">
        <v>72</v>
      </c>
      <c r="I426" s="28">
        <v>43252.0</v>
      </c>
      <c r="J426" s="29"/>
      <c r="K426" s="30">
        <v>44348.0</v>
      </c>
      <c r="L426" s="31">
        <v>1.0</v>
      </c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26" t="s">
        <v>1098</v>
      </c>
      <c r="B427" s="27" t="s">
        <v>953</v>
      </c>
      <c r="C427" s="27" t="s">
        <v>683</v>
      </c>
      <c r="D427" s="27" t="s">
        <v>348</v>
      </c>
      <c r="E427" s="27" t="s">
        <v>21</v>
      </c>
      <c r="F427" s="27" t="s">
        <v>95</v>
      </c>
      <c r="G427" s="27" t="s">
        <v>36</v>
      </c>
      <c r="H427" s="27" t="s">
        <v>119</v>
      </c>
      <c r="I427" s="28">
        <v>43617.0</v>
      </c>
      <c r="J427" s="29"/>
      <c r="K427" s="30">
        <v>44713.0</v>
      </c>
      <c r="L427" s="31">
        <v>1.0</v>
      </c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26" t="s">
        <v>1099</v>
      </c>
      <c r="B428" s="27" t="s">
        <v>214</v>
      </c>
      <c r="C428" s="27" t="s">
        <v>1002</v>
      </c>
      <c r="D428" s="27" t="s">
        <v>143</v>
      </c>
      <c r="E428" s="27" t="s">
        <v>21</v>
      </c>
      <c r="F428" s="27" t="s">
        <v>79</v>
      </c>
      <c r="G428" s="27" t="s">
        <v>23</v>
      </c>
      <c r="H428" s="27" t="s">
        <v>255</v>
      </c>
      <c r="I428" s="28">
        <v>42887.0</v>
      </c>
      <c r="J428" s="29"/>
      <c r="K428" s="30">
        <v>43983.0</v>
      </c>
      <c r="L428" s="31">
        <v>1.0</v>
      </c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26" t="s">
        <v>1100</v>
      </c>
      <c r="B429" s="27" t="s">
        <v>1101</v>
      </c>
      <c r="C429" s="27" t="s">
        <v>1102</v>
      </c>
      <c r="D429" s="27" t="s">
        <v>89</v>
      </c>
      <c r="E429" s="27" t="s">
        <v>21</v>
      </c>
      <c r="F429" s="27" t="s">
        <v>642</v>
      </c>
      <c r="G429" s="27" t="s">
        <v>46</v>
      </c>
      <c r="H429" s="27" t="s">
        <v>24</v>
      </c>
      <c r="I429" s="28">
        <v>42765.0</v>
      </c>
      <c r="J429" s="29"/>
      <c r="K429" s="30">
        <v>45809.0</v>
      </c>
      <c r="L429" s="31">
        <v>1.0</v>
      </c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26" t="s">
        <v>1103</v>
      </c>
      <c r="B430" s="27" t="s">
        <v>981</v>
      </c>
      <c r="C430" s="27" t="s">
        <v>1104</v>
      </c>
      <c r="D430" s="27" t="s">
        <v>183</v>
      </c>
      <c r="E430" s="27" t="s">
        <v>21</v>
      </c>
      <c r="F430" s="27" t="s">
        <v>125</v>
      </c>
      <c r="G430" s="27" t="s">
        <v>46</v>
      </c>
      <c r="H430" s="27" t="s">
        <v>126</v>
      </c>
      <c r="I430" s="28">
        <v>43617.0</v>
      </c>
      <c r="J430" s="29"/>
      <c r="K430" s="30">
        <v>44713.0</v>
      </c>
      <c r="L430" s="31">
        <v>1.0</v>
      </c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26" t="s">
        <v>1105</v>
      </c>
      <c r="B431" s="27" t="s">
        <v>260</v>
      </c>
      <c r="C431" s="27" t="s">
        <v>191</v>
      </c>
      <c r="D431" s="27" t="s">
        <v>44</v>
      </c>
      <c r="E431" s="27" t="s">
        <v>21</v>
      </c>
      <c r="F431" s="27" t="s">
        <v>109</v>
      </c>
      <c r="G431" s="27" t="s">
        <v>46</v>
      </c>
      <c r="H431" s="27" t="s">
        <v>110</v>
      </c>
      <c r="I431" s="28">
        <v>43617.0</v>
      </c>
      <c r="J431" s="29"/>
      <c r="K431" s="30">
        <v>44713.0</v>
      </c>
      <c r="L431" s="31">
        <v>1.0</v>
      </c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26" t="s">
        <v>1106</v>
      </c>
      <c r="B432" s="27" t="s">
        <v>1107</v>
      </c>
      <c r="C432" s="27" t="s">
        <v>663</v>
      </c>
      <c r="D432" s="27" t="s">
        <v>89</v>
      </c>
      <c r="E432" s="27" t="s">
        <v>21</v>
      </c>
      <c r="F432" s="27" t="s">
        <v>1108</v>
      </c>
      <c r="G432" s="27" t="s">
        <v>36</v>
      </c>
      <c r="H432" s="27" t="s">
        <v>237</v>
      </c>
      <c r="I432" s="28">
        <v>42887.0</v>
      </c>
      <c r="J432" s="29"/>
      <c r="K432" s="30">
        <v>43983.0</v>
      </c>
      <c r="L432" s="31">
        <v>1.0</v>
      </c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26" t="s">
        <v>1109</v>
      </c>
      <c r="B433" s="27" t="s">
        <v>173</v>
      </c>
      <c r="C433" s="27" t="s">
        <v>1110</v>
      </c>
      <c r="D433" s="27" t="s">
        <v>313</v>
      </c>
      <c r="E433" s="27" t="s">
        <v>21</v>
      </c>
      <c r="F433" s="27" t="s">
        <v>79</v>
      </c>
      <c r="G433" s="27" t="s">
        <v>23</v>
      </c>
      <c r="H433" s="27" t="s">
        <v>582</v>
      </c>
      <c r="I433" s="28">
        <v>42887.0</v>
      </c>
      <c r="J433" s="29"/>
      <c r="K433" s="30">
        <v>43983.0</v>
      </c>
      <c r="L433" s="31">
        <v>1.0</v>
      </c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33" t="s">
        <v>1111</v>
      </c>
      <c r="B434" s="34" t="s">
        <v>269</v>
      </c>
      <c r="C434" s="34" t="s">
        <v>1112</v>
      </c>
      <c r="D434" s="34" t="s">
        <v>143</v>
      </c>
      <c r="E434" s="34" t="s">
        <v>21</v>
      </c>
      <c r="F434" s="34" t="s">
        <v>71</v>
      </c>
      <c r="G434" s="34" t="s">
        <v>46</v>
      </c>
      <c r="H434" s="34" t="s">
        <v>251</v>
      </c>
      <c r="I434" s="30">
        <v>43617.0</v>
      </c>
      <c r="J434" s="36"/>
      <c r="K434" s="30">
        <v>44713.0</v>
      </c>
      <c r="L434" s="31">
        <v>1.0</v>
      </c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26" t="s">
        <v>1113</v>
      </c>
      <c r="B435" s="27" t="s">
        <v>346</v>
      </c>
      <c r="C435" s="27" t="s">
        <v>1114</v>
      </c>
      <c r="D435" s="27" t="s">
        <v>34</v>
      </c>
      <c r="E435" s="27" t="s">
        <v>21</v>
      </c>
      <c r="F435" s="27" t="s">
        <v>623</v>
      </c>
      <c r="G435" s="27" t="s">
        <v>46</v>
      </c>
      <c r="H435" s="27" t="s">
        <v>126</v>
      </c>
      <c r="I435" s="28">
        <v>43617.0</v>
      </c>
      <c r="J435" s="28">
        <v>44713.0</v>
      </c>
      <c r="K435" s="30">
        <v>45809.0</v>
      </c>
      <c r="L435" s="31">
        <v>2.0</v>
      </c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26" t="s">
        <v>1113</v>
      </c>
      <c r="B436" s="27" t="s">
        <v>116</v>
      </c>
      <c r="C436" s="27" t="s">
        <v>1115</v>
      </c>
      <c r="D436" s="27" t="s">
        <v>20</v>
      </c>
      <c r="E436" s="27" t="s">
        <v>21</v>
      </c>
      <c r="F436" s="27" t="s">
        <v>90</v>
      </c>
      <c r="G436" s="27" t="s">
        <v>46</v>
      </c>
      <c r="H436" s="27" t="s">
        <v>328</v>
      </c>
      <c r="I436" s="28">
        <v>43252.0</v>
      </c>
      <c r="J436" s="29"/>
      <c r="K436" s="30">
        <v>44348.0</v>
      </c>
      <c r="L436" s="31">
        <v>1.0</v>
      </c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26" t="s">
        <v>1113</v>
      </c>
      <c r="B437" s="27" t="s">
        <v>120</v>
      </c>
      <c r="C437" s="27" t="s">
        <v>254</v>
      </c>
      <c r="D437" s="27" t="s">
        <v>143</v>
      </c>
      <c r="E437" s="27" t="s">
        <v>21</v>
      </c>
      <c r="F437" s="32"/>
      <c r="G437" s="32"/>
      <c r="H437" s="27" t="s">
        <v>913</v>
      </c>
      <c r="I437" s="28">
        <v>43252.0</v>
      </c>
      <c r="J437" s="29"/>
      <c r="K437" s="30">
        <v>44348.0</v>
      </c>
      <c r="L437" s="31">
        <v>1.0</v>
      </c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33" t="s">
        <v>1113</v>
      </c>
      <c r="B438" s="34" t="s">
        <v>580</v>
      </c>
      <c r="C438" s="34" t="s">
        <v>170</v>
      </c>
      <c r="D438" s="34" t="s">
        <v>89</v>
      </c>
      <c r="E438" s="34" t="s">
        <v>21</v>
      </c>
      <c r="F438" s="27" t="s">
        <v>35</v>
      </c>
      <c r="G438" s="27" t="s">
        <v>23</v>
      </c>
      <c r="H438" s="34" t="s">
        <v>171</v>
      </c>
      <c r="I438" s="30">
        <v>43617.0</v>
      </c>
      <c r="J438" s="36"/>
      <c r="K438" s="30">
        <v>44713.0</v>
      </c>
      <c r="L438" s="31">
        <v>1.0</v>
      </c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26" t="s">
        <v>1116</v>
      </c>
      <c r="B439" s="27" t="s">
        <v>227</v>
      </c>
      <c r="C439" s="27" t="s">
        <v>839</v>
      </c>
      <c r="D439" s="27" t="s">
        <v>348</v>
      </c>
      <c r="E439" s="27" t="s">
        <v>21</v>
      </c>
      <c r="F439" s="27" t="s">
        <v>79</v>
      </c>
      <c r="G439" s="27" t="s">
        <v>36</v>
      </c>
      <c r="H439" s="27" t="s">
        <v>211</v>
      </c>
      <c r="I439" s="28">
        <v>43252.0</v>
      </c>
      <c r="J439" s="29"/>
      <c r="K439" s="30">
        <v>44348.0</v>
      </c>
      <c r="L439" s="31">
        <v>1.0</v>
      </c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26" t="s">
        <v>1117</v>
      </c>
      <c r="B440" s="27" t="s">
        <v>278</v>
      </c>
      <c r="C440" s="27" t="s">
        <v>1118</v>
      </c>
      <c r="D440" s="27" t="s">
        <v>348</v>
      </c>
      <c r="E440" s="27" t="s">
        <v>21</v>
      </c>
      <c r="F440" s="27" t="s">
        <v>71</v>
      </c>
      <c r="G440" s="27" t="s">
        <v>23</v>
      </c>
      <c r="H440" s="27" t="s">
        <v>57</v>
      </c>
      <c r="I440" s="28">
        <v>43617.0</v>
      </c>
      <c r="J440" s="29"/>
      <c r="K440" s="30">
        <v>44713.0</v>
      </c>
      <c r="L440" s="31">
        <v>1.0</v>
      </c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26" t="s">
        <v>1119</v>
      </c>
      <c r="B441" s="27" t="s">
        <v>280</v>
      </c>
      <c r="C441" s="27" t="s">
        <v>1120</v>
      </c>
      <c r="D441" s="27" t="s">
        <v>78</v>
      </c>
      <c r="E441" s="27" t="s">
        <v>21</v>
      </c>
      <c r="F441" s="27" t="s">
        <v>35</v>
      </c>
      <c r="G441" s="27" t="s">
        <v>46</v>
      </c>
      <c r="H441" s="27" t="s">
        <v>434</v>
      </c>
      <c r="I441" s="28">
        <v>43617.0</v>
      </c>
      <c r="J441" s="29"/>
      <c r="K441" s="30">
        <v>44713.0</v>
      </c>
      <c r="L441" s="31">
        <v>1.0</v>
      </c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26" t="s">
        <v>1121</v>
      </c>
      <c r="B442" s="27" t="s">
        <v>1122</v>
      </c>
      <c r="C442" s="27" t="s">
        <v>1056</v>
      </c>
      <c r="D442" s="27" t="s">
        <v>428</v>
      </c>
      <c r="E442" s="27" t="s">
        <v>21</v>
      </c>
      <c r="F442" s="27" t="s">
        <v>45</v>
      </c>
      <c r="G442" s="27" t="s">
        <v>23</v>
      </c>
      <c r="H442" s="27" t="s">
        <v>425</v>
      </c>
      <c r="I442" s="28">
        <v>43252.0</v>
      </c>
      <c r="J442" s="29"/>
      <c r="K442" s="30">
        <v>44348.0</v>
      </c>
      <c r="L442" s="31">
        <v>1.0</v>
      </c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26" t="s">
        <v>1123</v>
      </c>
      <c r="B443" s="27" t="s">
        <v>1124</v>
      </c>
      <c r="C443" s="32"/>
      <c r="D443" s="27" t="s">
        <v>27</v>
      </c>
      <c r="E443" s="27" t="s">
        <v>28</v>
      </c>
      <c r="F443" s="27" t="s">
        <v>29</v>
      </c>
      <c r="G443" s="27" t="s">
        <v>1125</v>
      </c>
      <c r="H443" s="27" t="s">
        <v>29</v>
      </c>
      <c r="I443" s="28">
        <v>42401.0</v>
      </c>
      <c r="J443" s="29"/>
      <c r="K443" s="30">
        <v>44713.0</v>
      </c>
      <c r="L443" s="31">
        <v>1.0</v>
      </c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26" t="s">
        <v>1126</v>
      </c>
      <c r="B444" s="27" t="s">
        <v>214</v>
      </c>
      <c r="C444" s="27" t="s">
        <v>1127</v>
      </c>
      <c r="D444" s="27" t="s">
        <v>44</v>
      </c>
      <c r="E444" s="27" t="s">
        <v>21</v>
      </c>
      <c r="F444" s="27" t="s">
        <v>1108</v>
      </c>
      <c r="G444" s="27" t="s">
        <v>137</v>
      </c>
      <c r="H444" s="27" t="s">
        <v>207</v>
      </c>
      <c r="I444" s="28">
        <v>42887.0</v>
      </c>
      <c r="J444" s="29"/>
      <c r="K444" s="30">
        <v>43983.0</v>
      </c>
      <c r="L444" s="31">
        <v>1.0</v>
      </c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26" t="s">
        <v>1128</v>
      </c>
      <c r="B445" s="27" t="s">
        <v>1129</v>
      </c>
      <c r="C445" s="32"/>
      <c r="D445" s="27" t="s">
        <v>27</v>
      </c>
      <c r="E445" s="27" t="s">
        <v>563</v>
      </c>
      <c r="F445" s="27" t="s">
        <v>1130</v>
      </c>
      <c r="G445" s="27" t="s">
        <v>29</v>
      </c>
      <c r="H445" s="27" t="s">
        <v>65</v>
      </c>
      <c r="I445" s="28">
        <v>43136.0</v>
      </c>
      <c r="J445" s="28">
        <v>44348.0</v>
      </c>
      <c r="K445" s="30">
        <v>45444.0</v>
      </c>
      <c r="L445" s="31">
        <v>2.0</v>
      </c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26" t="s">
        <v>1131</v>
      </c>
      <c r="B446" s="27" t="s">
        <v>580</v>
      </c>
      <c r="C446" s="27" t="s">
        <v>1132</v>
      </c>
      <c r="D446" s="27" t="s">
        <v>222</v>
      </c>
      <c r="E446" s="27" t="s">
        <v>21</v>
      </c>
      <c r="F446" s="27" t="s">
        <v>90</v>
      </c>
      <c r="G446" s="27" t="s">
        <v>46</v>
      </c>
      <c r="H446" s="27" t="s">
        <v>229</v>
      </c>
      <c r="I446" s="28">
        <v>42887.0</v>
      </c>
      <c r="J446" s="29"/>
      <c r="K446" s="30">
        <v>43983.0</v>
      </c>
      <c r="L446" s="31">
        <v>1.0</v>
      </c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26" t="s">
        <v>1133</v>
      </c>
      <c r="B447" s="27" t="s">
        <v>790</v>
      </c>
      <c r="C447" s="27" t="s">
        <v>652</v>
      </c>
      <c r="D447" s="27" t="s">
        <v>55</v>
      </c>
      <c r="E447" s="27" t="s">
        <v>21</v>
      </c>
      <c r="F447" s="27" t="s">
        <v>109</v>
      </c>
      <c r="G447" s="27" t="s">
        <v>23</v>
      </c>
      <c r="H447" s="27" t="s">
        <v>57</v>
      </c>
      <c r="I447" s="28">
        <v>43617.0</v>
      </c>
      <c r="J447" s="29"/>
      <c r="K447" s="30">
        <v>44713.0</v>
      </c>
      <c r="L447" s="31">
        <v>1.0</v>
      </c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26" t="s">
        <v>1134</v>
      </c>
      <c r="B448" s="27" t="s">
        <v>1135</v>
      </c>
      <c r="C448" s="27" t="s">
        <v>254</v>
      </c>
      <c r="D448" s="27" t="s">
        <v>143</v>
      </c>
      <c r="E448" s="27" t="s">
        <v>21</v>
      </c>
      <c r="F448" s="27" t="s">
        <v>380</v>
      </c>
      <c r="G448" s="32"/>
      <c r="H448" s="27" t="s">
        <v>24</v>
      </c>
      <c r="I448" s="28">
        <v>36892.0</v>
      </c>
      <c r="J448" s="29"/>
      <c r="K448" s="30">
        <v>45809.0</v>
      </c>
      <c r="L448" s="31">
        <v>1.0</v>
      </c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26" t="s">
        <v>1136</v>
      </c>
      <c r="B449" s="27" t="s">
        <v>1137</v>
      </c>
      <c r="C449" s="27" t="s">
        <v>1138</v>
      </c>
      <c r="D449" s="27" t="s">
        <v>282</v>
      </c>
      <c r="E449" s="27" t="s">
        <v>21</v>
      </c>
      <c r="F449" s="27" t="s">
        <v>1139</v>
      </c>
      <c r="G449" s="27" t="s">
        <v>46</v>
      </c>
      <c r="H449" s="27" t="s">
        <v>126</v>
      </c>
      <c r="I449" s="28">
        <v>43617.0</v>
      </c>
      <c r="J449" s="28">
        <v>44713.0</v>
      </c>
      <c r="K449" s="30">
        <v>45809.0</v>
      </c>
      <c r="L449" s="31">
        <v>2.0</v>
      </c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26" t="s">
        <v>1140</v>
      </c>
      <c r="B450" s="27" t="s">
        <v>1141</v>
      </c>
      <c r="C450" s="32"/>
      <c r="D450" s="27" t="s">
        <v>27</v>
      </c>
      <c r="E450" s="27" t="s">
        <v>187</v>
      </c>
      <c r="F450" s="27" t="s">
        <v>40</v>
      </c>
      <c r="G450" s="27" t="s">
        <v>544</v>
      </c>
      <c r="H450" s="27" t="s">
        <v>40</v>
      </c>
      <c r="I450" s="28">
        <v>43132.0</v>
      </c>
      <c r="J450" s="28">
        <v>44348.0</v>
      </c>
      <c r="K450" s="30">
        <v>45444.0</v>
      </c>
      <c r="L450" s="31">
        <v>2.0</v>
      </c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26" t="s">
        <v>1142</v>
      </c>
      <c r="B451" s="27" t="s">
        <v>1143</v>
      </c>
      <c r="C451" s="27" t="s">
        <v>146</v>
      </c>
      <c r="D451" s="27" t="s">
        <v>94</v>
      </c>
      <c r="E451" s="27" t="s">
        <v>21</v>
      </c>
      <c r="F451" s="27" t="s">
        <v>56</v>
      </c>
      <c r="G451" s="27" t="s">
        <v>23</v>
      </c>
      <c r="H451" s="27" t="s">
        <v>37</v>
      </c>
      <c r="I451" s="28">
        <v>43617.0</v>
      </c>
      <c r="J451" s="29"/>
      <c r="K451" s="30">
        <v>44713.0</v>
      </c>
      <c r="L451" s="31">
        <v>1.0</v>
      </c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26" t="s">
        <v>1142</v>
      </c>
      <c r="B452" s="27" t="s">
        <v>82</v>
      </c>
      <c r="C452" s="27" t="s">
        <v>1144</v>
      </c>
      <c r="D452" s="27" t="s">
        <v>94</v>
      </c>
      <c r="E452" s="27" t="s">
        <v>21</v>
      </c>
      <c r="F452" s="27" t="s">
        <v>45</v>
      </c>
      <c r="G452" s="27" t="s">
        <v>23</v>
      </c>
      <c r="H452" s="27" t="s">
        <v>147</v>
      </c>
      <c r="I452" s="28">
        <v>42887.0</v>
      </c>
      <c r="J452" s="29"/>
      <c r="K452" s="30">
        <v>43983.0</v>
      </c>
      <c r="L452" s="31">
        <v>1.0</v>
      </c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26" t="s">
        <v>1145</v>
      </c>
      <c r="B453" s="27" t="s">
        <v>358</v>
      </c>
      <c r="C453" s="27" t="s">
        <v>1146</v>
      </c>
      <c r="D453" s="27" t="s">
        <v>744</v>
      </c>
      <c r="E453" s="27" t="s">
        <v>21</v>
      </c>
      <c r="F453" s="27" t="s">
        <v>90</v>
      </c>
      <c r="G453" s="27" t="s">
        <v>36</v>
      </c>
      <c r="H453" s="27" t="s">
        <v>47</v>
      </c>
      <c r="I453" s="28">
        <v>43252.0</v>
      </c>
      <c r="J453" s="29"/>
      <c r="K453" s="30">
        <v>44348.0</v>
      </c>
      <c r="L453" s="31">
        <v>1.0</v>
      </c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26" t="s">
        <v>1147</v>
      </c>
      <c r="B454" s="27" t="s">
        <v>120</v>
      </c>
      <c r="C454" s="27" t="s">
        <v>1148</v>
      </c>
      <c r="D454" s="27" t="s">
        <v>313</v>
      </c>
      <c r="E454" s="27" t="s">
        <v>21</v>
      </c>
      <c r="F454" s="27" t="s">
        <v>367</v>
      </c>
      <c r="G454" s="27" t="s">
        <v>36</v>
      </c>
      <c r="H454" s="27" t="s">
        <v>149</v>
      </c>
      <c r="I454" s="28">
        <v>42522.0</v>
      </c>
      <c r="J454" s="29"/>
      <c r="K454" s="30">
        <v>44713.0</v>
      </c>
      <c r="L454" s="31">
        <v>1.0</v>
      </c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26" t="s">
        <v>1147</v>
      </c>
      <c r="B455" s="27" t="s">
        <v>416</v>
      </c>
      <c r="C455" s="27" t="s">
        <v>1149</v>
      </c>
      <c r="D455" s="27" t="s">
        <v>313</v>
      </c>
      <c r="E455" s="27" t="s">
        <v>21</v>
      </c>
      <c r="F455" s="27" t="s">
        <v>367</v>
      </c>
      <c r="G455" s="27" t="s">
        <v>36</v>
      </c>
      <c r="H455" s="27" t="s">
        <v>149</v>
      </c>
      <c r="I455" s="28">
        <v>42522.0</v>
      </c>
      <c r="J455" s="29"/>
      <c r="K455" s="30">
        <v>44713.0</v>
      </c>
      <c r="L455" s="31">
        <v>1.0</v>
      </c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26" t="s">
        <v>1150</v>
      </c>
      <c r="B456" s="27" t="s">
        <v>1151</v>
      </c>
      <c r="C456" s="27" t="s">
        <v>28</v>
      </c>
      <c r="D456" s="27" t="s">
        <v>27</v>
      </c>
      <c r="E456" s="27" t="s">
        <v>28</v>
      </c>
      <c r="F456" s="27" t="s">
        <v>29</v>
      </c>
      <c r="G456" s="27" t="s">
        <v>665</v>
      </c>
      <c r="H456" s="27" t="s">
        <v>65</v>
      </c>
      <c r="I456" s="28">
        <v>43136.0</v>
      </c>
      <c r="J456" s="28">
        <v>44348.0</v>
      </c>
      <c r="K456" s="30">
        <v>45444.0</v>
      </c>
      <c r="L456" s="31">
        <v>2.0</v>
      </c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26" t="s">
        <v>1152</v>
      </c>
      <c r="B457" s="27" t="s">
        <v>190</v>
      </c>
      <c r="C457" s="27" t="s">
        <v>1153</v>
      </c>
      <c r="D457" s="27" t="s">
        <v>143</v>
      </c>
      <c r="E457" s="27" t="s">
        <v>21</v>
      </c>
      <c r="F457" s="27" t="s">
        <v>56</v>
      </c>
      <c r="G457" s="27" t="s">
        <v>23</v>
      </c>
      <c r="H457" s="27" t="s">
        <v>251</v>
      </c>
      <c r="I457" s="28">
        <v>43617.0</v>
      </c>
      <c r="J457" s="29"/>
      <c r="K457" s="30">
        <v>44713.0</v>
      </c>
      <c r="L457" s="31">
        <v>1.0</v>
      </c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26" t="s">
        <v>1154</v>
      </c>
      <c r="B458" s="27" t="s">
        <v>1155</v>
      </c>
      <c r="C458" s="32"/>
      <c r="D458" s="27" t="s">
        <v>224</v>
      </c>
      <c r="E458" s="27" t="s">
        <v>21</v>
      </c>
      <c r="F458" s="27" t="s">
        <v>79</v>
      </c>
      <c r="G458" s="27" t="s">
        <v>46</v>
      </c>
      <c r="H458" s="27" t="s">
        <v>225</v>
      </c>
      <c r="I458" s="28">
        <v>43252.0</v>
      </c>
      <c r="J458" s="29"/>
      <c r="K458" s="30">
        <v>44348.0</v>
      </c>
      <c r="L458" s="31">
        <v>1.0</v>
      </c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26" t="s">
        <v>1156</v>
      </c>
      <c r="B459" s="27" t="s">
        <v>1157</v>
      </c>
      <c r="C459" s="32"/>
      <c r="D459" s="27" t="s">
        <v>27</v>
      </c>
      <c r="E459" s="27" t="s">
        <v>585</v>
      </c>
      <c r="F459" s="27" t="s">
        <v>29</v>
      </c>
      <c r="G459" s="27" t="s">
        <v>1130</v>
      </c>
      <c r="H459" s="27" t="s">
        <v>29</v>
      </c>
      <c r="I459" s="28">
        <v>42401.0</v>
      </c>
      <c r="J459" s="29"/>
      <c r="K459" s="30">
        <v>44713.0</v>
      </c>
      <c r="L459" s="31">
        <v>1.0</v>
      </c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26" t="s">
        <v>1158</v>
      </c>
      <c r="B460" s="27" t="s">
        <v>1159</v>
      </c>
      <c r="C460" s="32"/>
      <c r="D460" s="27" t="s">
        <v>27</v>
      </c>
      <c r="E460" s="27" t="s">
        <v>585</v>
      </c>
      <c r="F460" s="27" t="s">
        <v>29</v>
      </c>
      <c r="G460" s="27" t="s">
        <v>41</v>
      </c>
      <c r="H460" s="27" t="s">
        <v>65</v>
      </c>
      <c r="I460" s="28">
        <v>43136.0</v>
      </c>
      <c r="J460" s="28">
        <v>44348.0</v>
      </c>
      <c r="K460" s="30">
        <v>45444.0</v>
      </c>
      <c r="L460" s="31">
        <v>2.0</v>
      </c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26" t="s">
        <v>1160</v>
      </c>
      <c r="B461" s="27" t="s">
        <v>116</v>
      </c>
      <c r="C461" s="32"/>
      <c r="D461" s="27" t="s">
        <v>27</v>
      </c>
      <c r="E461" s="27" t="s">
        <v>39</v>
      </c>
      <c r="F461" s="27" t="s">
        <v>40</v>
      </c>
      <c r="G461" s="27" t="s">
        <v>399</v>
      </c>
      <c r="H461" s="27" t="s">
        <v>287</v>
      </c>
      <c r="I461" s="28">
        <v>42887.0</v>
      </c>
      <c r="J461" s="29"/>
      <c r="K461" s="30">
        <v>43983.0</v>
      </c>
      <c r="L461" s="31">
        <v>1.0</v>
      </c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26" t="s">
        <v>1160</v>
      </c>
      <c r="B462" s="27" t="s">
        <v>674</v>
      </c>
      <c r="C462" s="32"/>
      <c r="D462" s="27" t="s">
        <v>224</v>
      </c>
      <c r="E462" s="27" t="s">
        <v>21</v>
      </c>
      <c r="F462" s="27" t="s">
        <v>1161</v>
      </c>
      <c r="G462" s="27" t="s">
        <v>36</v>
      </c>
      <c r="H462" s="27" t="s">
        <v>225</v>
      </c>
      <c r="I462" s="28">
        <v>43252.0</v>
      </c>
      <c r="J462" s="29"/>
      <c r="K462" s="30">
        <v>44348.0</v>
      </c>
      <c r="L462" s="31">
        <v>1.0</v>
      </c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26" t="s">
        <v>1162</v>
      </c>
      <c r="B463" s="27" t="s">
        <v>601</v>
      </c>
      <c r="C463" s="27" t="s">
        <v>1163</v>
      </c>
      <c r="D463" s="27" t="s">
        <v>348</v>
      </c>
      <c r="E463" s="27" t="s">
        <v>21</v>
      </c>
      <c r="F463" s="27" t="s">
        <v>79</v>
      </c>
      <c r="G463" s="27" t="s">
        <v>36</v>
      </c>
      <c r="H463" s="27" t="s">
        <v>582</v>
      </c>
      <c r="I463" s="28">
        <v>42887.0</v>
      </c>
      <c r="J463" s="29"/>
      <c r="K463" s="30">
        <v>43983.0</v>
      </c>
      <c r="L463" s="31">
        <v>1.0</v>
      </c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26" t="s">
        <v>1164</v>
      </c>
      <c r="B464" s="27" t="s">
        <v>1165</v>
      </c>
      <c r="C464" s="27" t="s">
        <v>1166</v>
      </c>
      <c r="D464" s="27" t="s">
        <v>282</v>
      </c>
      <c r="E464" s="27" t="s">
        <v>21</v>
      </c>
      <c r="F464" s="27" t="s">
        <v>367</v>
      </c>
      <c r="G464" s="27" t="s">
        <v>137</v>
      </c>
      <c r="H464" s="27" t="s">
        <v>149</v>
      </c>
      <c r="I464" s="28">
        <v>42522.0</v>
      </c>
      <c r="J464" s="29"/>
      <c r="K464" s="30">
        <v>44713.0</v>
      </c>
      <c r="L464" s="31">
        <v>1.0</v>
      </c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26" t="s">
        <v>1167</v>
      </c>
      <c r="B465" s="27" t="s">
        <v>1168</v>
      </c>
      <c r="C465" s="32"/>
      <c r="D465" s="27" t="s">
        <v>27</v>
      </c>
      <c r="E465" s="27" t="s">
        <v>162</v>
      </c>
      <c r="F465" s="27" t="s">
        <v>45</v>
      </c>
      <c r="G465" s="27" t="s">
        <v>36</v>
      </c>
      <c r="H465" s="27" t="s">
        <v>287</v>
      </c>
      <c r="I465" s="28">
        <v>42887.0</v>
      </c>
      <c r="J465" s="29"/>
      <c r="K465" s="30">
        <v>43983.0</v>
      </c>
      <c r="L465" s="31">
        <v>1.0</v>
      </c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26" t="s">
        <v>1169</v>
      </c>
      <c r="B466" s="27" t="s">
        <v>647</v>
      </c>
      <c r="C466" s="27" t="s">
        <v>1170</v>
      </c>
      <c r="D466" s="27" t="s">
        <v>1171</v>
      </c>
      <c r="E466" s="27" t="s">
        <v>21</v>
      </c>
      <c r="F466" s="27" t="s">
        <v>155</v>
      </c>
      <c r="G466" s="27" t="s">
        <v>497</v>
      </c>
      <c r="H466" s="27" t="s">
        <v>155</v>
      </c>
      <c r="I466" s="28">
        <v>43132.0</v>
      </c>
      <c r="J466" s="28">
        <v>44348.0</v>
      </c>
      <c r="K466" s="30">
        <v>45444.0</v>
      </c>
      <c r="L466" s="31">
        <v>2.0</v>
      </c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26" t="s">
        <v>1172</v>
      </c>
      <c r="B467" s="27" t="s">
        <v>887</v>
      </c>
      <c r="C467" s="27" t="s">
        <v>1173</v>
      </c>
      <c r="D467" s="27" t="s">
        <v>222</v>
      </c>
      <c r="E467" s="27" t="s">
        <v>21</v>
      </c>
      <c r="F467" s="27" t="s">
        <v>35</v>
      </c>
      <c r="G467" s="27" t="s">
        <v>46</v>
      </c>
      <c r="H467" s="27" t="s">
        <v>152</v>
      </c>
      <c r="I467" s="28">
        <v>43617.0</v>
      </c>
      <c r="J467" s="29"/>
      <c r="K467" s="30">
        <v>44713.0</v>
      </c>
      <c r="L467" s="31">
        <v>1.0</v>
      </c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26" t="s">
        <v>1172</v>
      </c>
      <c r="B468" s="27" t="s">
        <v>554</v>
      </c>
      <c r="C468" s="32"/>
      <c r="D468" s="27" t="s">
        <v>27</v>
      </c>
      <c r="E468" s="27" t="s">
        <v>39</v>
      </c>
      <c r="F468" s="27" t="s">
        <v>40</v>
      </c>
      <c r="G468" s="27" t="s">
        <v>1174</v>
      </c>
      <c r="H468" s="27" t="s">
        <v>40</v>
      </c>
      <c r="I468" s="28">
        <v>42401.0</v>
      </c>
      <c r="J468" s="29"/>
      <c r="K468" s="30">
        <v>44713.0</v>
      </c>
      <c r="L468" s="31">
        <v>1.0</v>
      </c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26" t="s">
        <v>1175</v>
      </c>
      <c r="B469" s="27" t="s">
        <v>346</v>
      </c>
      <c r="C469" s="32"/>
      <c r="D469" s="27" t="s">
        <v>27</v>
      </c>
      <c r="E469" s="27" t="s">
        <v>21</v>
      </c>
      <c r="F469" s="27" t="s">
        <v>155</v>
      </c>
      <c r="G469" s="27" t="s">
        <v>114</v>
      </c>
      <c r="H469" s="27" t="s">
        <v>155</v>
      </c>
      <c r="I469" s="28">
        <v>43132.0</v>
      </c>
      <c r="J469" s="28">
        <v>44348.0</v>
      </c>
      <c r="K469" s="30">
        <v>45444.0</v>
      </c>
      <c r="L469" s="31">
        <v>2.0</v>
      </c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33" t="s">
        <v>1176</v>
      </c>
      <c r="B470" s="34" t="s">
        <v>1177</v>
      </c>
      <c r="C470" s="35"/>
      <c r="D470" s="35"/>
      <c r="E470" s="34" t="s">
        <v>70</v>
      </c>
      <c r="F470" s="34" t="s">
        <v>90</v>
      </c>
      <c r="G470" s="34" t="s">
        <v>23</v>
      </c>
      <c r="H470" s="34" t="s">
        <v>72</v>
      </c>
      <c r="I470" s="30">
        <v>43252.0</v>
      </c>
      <c r="J470" s="36"/>
      <c r="K470" s="30">
        <v>44348.0</v>
      </c>
      <c r="L470" s="31">
        <v>1.0</v>
      </c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26" t="s">
        <v>1178</v>
      </c>
      <c r="B471" s="27" t="s">
        <v>92</v>
      </c>
      <c r="C471" s="27" t="s">
        <v>1179</v>
      </c>
      <c r="D471" s="27" t="s">
        <v>94</v>
      </c>
      <c r="E471" s="27" t="s">
        <v>21</v>
      </c>
      <c r="F471" s="27" t="s">
        <v>90</v>
      </c>
      <c r="G471" s="27" t="s">
        <v>46</v>
      </c>
      <c r="H471" s="27" t="s">
        <v>147</v>
      </c>
      <c r="I471" s="28">
        <v>42887.0</v>
      </c>
      <c r="J471" s="29"/>
      <c r="K471" s="30">
        <v>43983.0</v>
      </c>
      <c r="L471" s="31">
        <v>1.0</v>
      </c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26" t="s">
        <v>1178</v>
      </c>
      <c r="B472" s="27" t="s">
        <v>1180</v>
      </c>
      <c r="C472" s="27" t="s">
        <v>1179</v>
      </c>
      <c r="D472" s="27" t="s">
        <v>94</v>
      </c>
      <c r="E472" s="27" t="s">
        <v>21</v>
      </c>
      <c r="F472" s="27" t="s">
        <v>90</v>
      </c>
      <c r="G472" s="27" t="s">
        <v>46</v>
      </c>
      <c r="H472" s="27" t="s">
        <v>147</v>
      </c>
      <c r="I472" s="28">
        <v>42887.0</v>
      </c>
      <c r="J472" s="29"/>
      <c r="K472" s="30">
        <v>43983.0</v>
      </c>
      <c r="L472" s="31">
        <v>1.0</v>
      </c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26" t="s">
        <v>1181</v>
      </c>
      <c r="B473" s="27" t="s">
        <v>128</v>
      </c>
      <c r="C473" s="32"/>
      <c r="D473" s="27" t="s">
        <v>27</v>
      </c>
      <c r="E473" s="27" t="s">
        <v>39</v>
      </c>
      <c r="F473" s="27" t="s">
        <v>40</v>
      </c>
      <c r="G473" s="27" t="s">
        <v>1182</v>
      </c>
      <c r="H473" s="27" t="s">
        <v>40</v>
      </c>
      <c r="I473" s="28">
        <v>42401.0</v>
      </c>
      <c r="J473" s="29"/>
      <c r="K473" s="30">
        <v>44713.0</v>
      </c>
      <c r="L473" s="31">
        <v>1.0</v>
      </c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33" t="s">
        <v>1181</v>
      </c>
      <c r="B474" s="34" t="s">
        <v>1183</v>
      </c>
      <c r="C474" s="34" t="s">
        <v>526</v>
      </c>
      <c r="D474" s="34" t="s">
        <v>527</v>
      </c>
      <c r="E474" s="34" t="s">
        <v>21</v>
      </c>
      <c r="F474" s="27" t="s">
        <v>79</v>
      </c>
      <c r="G474" s="27" t="s">
        <v>36</v>
      </c>
      <c r="H474" s="34" t="s">
        <v>184</v>
      </c>
      <c r="I474" s="30">
        <v>42887.0</v>
      </c>
      <c r="J474" s="36"/>
      <c r="K474" s="30">
        <v>43983.0</v>
      </c>
      <c r="L474" s="31">
        <v>1.0</v>
      </c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26" t="s">
        <v>1184</v>
      </c>
      <c r="B475" s="27" t="s">
        <v>1185</v>
      </c>
      <c r="C475" s="27" t="s">
        <v>1186</v>
      </c>
      <c r="D475" s="27" t="s">
        <v>323</v>
      </c>
      <c r="E475" s="27" t="s">
        <v>21</v>
      </c>
      <c r="F475" s="27" t="s">
        <v>1187</v>
      </c>
      <c r="G475" s="27" t="s">
        <v>36</v>
      </c>
      <c r="H475" s="27" t="s">
        <v>126</v>
      </c>
      <c r="I475" s="28">
        <v>43617.0</v>
      </c>
      <c r="J475" s="29"/>
      <c r="K475" s="30">
        <v>44713.0</v>
      </c>
      <c r="L475" s="31">
        <v>1.0</v>
      </c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26" t="s">
        <v>1184</v>
      </c>
      <c r="B476" s="27" t="s">
        <v>966</v>
      </c>
      <c r="C476" s="27" t="s">
        <v>1188</v>
      </c>
      <c r="D476" s="27" t="s">
        <v>44</v>
      </c>
      <c r="E476" s="27" t="s">
        <v>21</v>
      </c>
      <c r="F476" s="27" t="s">
        <v>35</v>
      </c>
      <c r="G476" s="27" t="s">
        <v>46</v>
      </c>
      <c r="H476" s="27" t="s">
        <v>119</v>
      </c>
      <c r="I476" s="28">
        <v>43617.0</v>
      </c>
      <c r="J476" s="29"/>
      <c r="K476" s="30">
        <v>44713.0</v>
      </c>
      <c r="L476" s="31">
        <v>1.0</v>
      </c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26" t="s">
        <v>1189</v>
      </c>
      <c r="B477" s="27" t="s">
        <v>517</v>
      </c>
      <c r="C477" s="27" t="s">
        <v>403</v>
      </c>
      <c r="D477" s="27" t="s">
        <v>222</v>
      </c>
      <c r="E477" s="27" t="s">
        <v>21</v>
      </c>
      <c r="F477" s="27" t="s">
        <v>71</v>
      </c>
      <c r="G477" s="27" t="s">
        <v>36</v>
      </c>
      <c r="H477" s="27" t="s">
        <v>339</v>
      </c>
      <c r="I477" s="28">
        <v>43252.0</v>
      </c>
      <c r="J477" s="29"/>
      <c r="K477" s="30">
        <v>44348.0</v>
      </c>
      <c r="L477" s="31">
        <v>1.0</v>
      </c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33" t="s">
        <v>1190</v>
      </c>
      <c r="B478" s="34" t="s">
        <v>116</v>
      </c>
      <c r="C478" s="34" t="s">
        <v>478</v>
      </c>
      <c r="D478" s="34" t="s">
        <v>34</v>
      </c>
      <c r="E478" s="34" t="s">
        <v>21</v>
      </c>
      <c r="F478" s="27" t="s">
        <v>71</v>
      </c>
      <c r="G478" s="27" t="s">
        <v>23</v>
      </c>
      <c r="H478" s="34" t="s">
        <v>795</v>
      </c>
      <c r="I478" s="30">
        <v>43252.0</v>
      </c>
      <c r="J478" s="36"/>
      <c r="K478" s="30">
        <v>44348.0</v>
      </c>
      <c r="L478" s="31">
        <v>1.0</v>
      </c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26" t="s">
        <v>1191</v>
      </c>
      <c r="B479" s="27" t="s">
        <v>266</v>
      </c>
      <c r="C479" s="27" t="s">
        <v>1192</v>
      </c>
      <c r="D479" s="27" t="s">
        <v>1193</v>
      </c>
      <c r="E479" s="27" t="s">
        <v>21</v>
      </c>
      <c r="F479" s="27" t="s">
        <v>71</v>
      </c>
      <c r="G479" s="27" t="s">
        <v>36</v>
      </c>
      <c r="H479" s="27" t="s">
        <v>24</v>
      </c>
      <c r="I479" s="28">
        <v>42887.0</v>
      </c>
      <c r="J479" s="29"/>
      <c r="K479" s="30">
        <v>45809.0</v>
      </c>
      <c r="L479" s="31">
        <v>1.0</v>
      </c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26" t="s">
        <v>1194</v>
      </c>
      <c r="B480" s="27" t="s">
        <v>375</v>
      </c>
      <c r="C480" s="32"/>
      <c r="D480" s="27" t="s">
        <v>27</v>
      </c>
      <c r="E480" s="27" t="s">
        <v>706</v>
      </c>
      <c r="F480" s="27" t="s">
        <v>40</v>
      </c>
      <c r="G480" s="27" t="s">
        <v>291</v>
      </c>
      <c r="H480" s="27" t="s">
        <v>40</v>
      </c>
      <c r="I480" s="28">
        <v>43132.0</v>
      </c>
      <c r="J480" s="28">
        <v>44348.0</v>
      </c>
      <c r="K480" s="30">
        <v>45444.0</v>
      </c>
      <c r="L480" s="31">
        <v>2.0</v>
      </c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26" t="s">
        <v>1194</v>
      </c>
      <c r="B481" s="27" t="s">
        <v>1195</v>
      </c>
      <c r="C481" s="32"/>
      <c r="D481" s="27" t="s">
        <v>27</v>
      </c>
      <c r="E481" s="27" t="s">
        <v>706</v>
      </c>
      <c r="F481" s="27" t="s">
        <v>40</v>
      </c>
      <c r="G481" s="27" t="s">
        <v>815</v>
      </c>
      <c r="H481" s="27" t="s">
        <v>40</v>
      </c>
      <c r="I481" s="28">
        <v>43132.0</v>
      </c>
      <c r="J481" s="28">
        <v>44348.0</v>
      </c>
      <c r="K481" s="30">
        <v>45444.0</v>
      </c>
      <c r="L481" s="31">
        <v>2.0</v>
      </c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26" t="s">
        <v>1196</v>
      </c>
      <c r="B482" s="27" t="s">
        <v>1197</v>
      </c>
      <c r="C482" s="32"/>
      <c r="D482" s="27" t="s">
        <v>27</v>
      </c>
      <c r="E482" s="27" t="s">
        <v>376</v>
      </c>
      <c r="F482" s="27" t="s">
        <v>29</v>
      </c>
      <c r="G482" s="27" t="s">
        <v>1026</v>
      </c>
      <c r="H482" s="27" t="s">
        <v>29</v>
      </c>
      <c r="I482" s="28">
        <v>42767.0</v>
      </c>
      <c r="J482" s="28">
        <v>43983.0</v>
      </c>
      <c r="K482" s="30">
        <v>45078.0</v>
      </c>
      <c r="L482" s="31">
        <v>2.0</v>
      </c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33" t="s">
        <v>1198</v>
      </c>
      <c r="B483" s="34" t="s">
        <v>595</v>
      </c>
      <c r="C483" s="34" t="s">
        <v>535</v>
      </c>
      <c r="D483" s="34" t="s">
        <v>222</v>
      </c>
      <c r="E483" s="34" t="s">
        <v>21</v>
      </c>
      <c r="F483" s="34" t="s">
        <v>45</v>
      </c>
      <c r="G483" s="34" t="s">
        <v>46</v>
      </c>
      <c r="H483" s="34" t="s">
        <v>344</v>
      </c>
      <c r="I483" s="30">
        <v>42887.0</v>
      </c>
      <c r="J483" s="36"/>
      <c r="K483" s="30">
        <v>43983.0</v>
      </c>
      <c r="L483" s="31">
        <v>1.0</v>
      </c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26" t="s">
        <v>1199</v>
      </c>
      <c r="B484" s="27" t="s">
        <v>1030</v>
      </c>
      <c r="C484" s="32"/>
      <c r="D484" s="27" t="s">
        <v>27</v>
      </c>
      <c r="E484" s="27" t="s">
        <v>1200</v>
      </c>
      <c r="F484" s="27" t="s">
        <v>29</v>
      </c>
      <c r="G484" s="27" t="s">
        <v>436</v>
      </c>
      <c r="H484" s="27" t="s">
        <v>65</v>
      </c>
      <c r="I484" s="28">
        <v>43136.0</v>
      </c>
      <c r="J484" s="28">
        <v>44348.0</v>
      </c>
      <c r="K484" s="30">
        <v>45444.0</v>
      </c>
      <c r="L484" s="31">
        <v>2.0</v>
      </c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26" t="s">
        <v>1201</v>
      </c>
      <c r="B485" s="27" t="s">
        <v>1202</v>
      </c>
      <c r="C485" s="32"/>
      <c r="D485" s="27" t="s">
        <v>27</v>
      </c>
      <c r="E485" s="27" t="s">
        <v>28</v>
      </c>
      <c r="F485" s="27" t="s">
        <v>29</v>
      </c>
      <c r="G485" s="27" t="s">
        <v>1203</v>
      </c>
      <c r="H485" s="27" t="s">
        <v>65</v>
      </c>
      <c r="I485" s="28">
        <v>43136.0</v>
      </c>
      <c r="J485" s="28">
        <v>44348.0</v>
      </c>
      <c r="K485" s="30">
        <v>45444.0</v>
      </c>
      <c r="L485" s="31">
        <v>2.0</v>
      </c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26" t="s">
        <v>1204</v>
      </c>
      <c r="B486" s="27" t="s">
        <v>1205</v>
      </c>
      <c r="C486" s="32"/>
      <c r="D486" s="27" t="s">
        <v>27</v>
      </c>
      <c r="E486" s="27" t="s">
        <v>28</v>
      </c>
      <c r="F486" s="27" t="s">
        <v>29</v>
      </c>
      <c r="G486" s="27" t="s">
        <v>578</v>
      </c>
      <c r="H486" s="27" t="s">
        <v>65</v>
      </c>
      <c r="I486" s="28">
        <v>43136.0</v>
      </c>
      <c r="J486" s="28">
        <v>44348.0</v>
      </c>
      <c r="K486" s="30">
        <v>45444.0</v>
      </c>
      <c r="L486" s="31">
        <v>2.0</v>
      </c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26" t="s">
        <v>1206</v>
      </c>
      <c r="B487" s="27" t="s">
        <v>116</v>
      </c>
      <c r="C487" s="27" t="s">
        <v>1207</v>
      </c>
      <c r="D487" s="27" t="s">
        <v>20</v>
      </c>
      <c r="E487" s="27" t="s">
        <v>21</v>
      </c>
      <c r="F487" s="27" t="s">
        <v>79</v>
      </c>
      <c r="G487" s="27" t="s">
        <v>23</v>
      </c>
      <c r="H487" s="27" t="s">
        <v>328</v>
      </c>
      <c r="I487" s="28">
        <v>43252.0</v>
      </c>
      <c r="J487" s="29"/>
      <c r="K487" s="30">
        <v>44348.0</v>
      </c>
      <c r="L487" s="31">
        <v>1.0</v>
      </c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26" t="s">
        <v>1208</v>
      </c>
      <c r="B488" s="27" t="s">
        <v>141</v>
      </c>
      <c r="C488" s="27" t="s">
        <v>1209</v>
      </c>
      <c r="D488" s="27" t="s">
        <v>428</v>
      </c>
      <c r="E488" s="27" t="s">
        <v>21</v>
      </c>
      <c r="F488" s="27" t="s">
        <v>314</v>
      </c>
      <c r="G488" s="27" t="s">
        <v>46</v>
      </c>
      <c r="H488" s="27" t="s">
        <v>258</v>
      </c>
      <c r="I488" s="28">
        <v>42887.0</v>
      </c>
      <c r="J488" s="29"/>
      <c r="K488" s="30">
        <v>43983.0</v>
      </c>
      <c r="L488" s="31">
        <v>1.0</v>
      </c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26" t="s">
        <v>1210</v>
      </c>
      <c r="B489" s="27" t="s">
        <v>660</v>
      </c>
      <c r="C489" s="27" t="s">
        <v>994</v>
      </c>
      <c r="D489" s="27" t="s">
        <v>222</v>
      </c>
      <c r="E489" s="27" t="s">
        <v>21</v>
      </c>
      <c r="F489" s="27" t="s">
        <v>99</v>
      </c>
      <c r="G489" s="27" t="s">
        <v>36</v>
      </c>
      <c r="H489" s="27" t="s">
        <v>295</v>
      </c>
      <c r="I489" s="28">
        <v>43252.0</v>
      </c>
      <c r="J489" s="29"/>
      <c r="K489" s="30">
        <v>44348.0</v>
      </c>
      <c r="L489" s="31">
        <v>1.0</v>
      </c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26" t="s">
        <v>1211</v>
      </c>
      <c r="B490" s="27" t="s">
        <v>154</v>
      </c>
      <c r="C490" s="27" t="s">
        <v>1212</v>
      </c>
      <c r="D490" s="27" t="s">
        <v>222</v>
      </c>
      <c r="E490" s="27" t="s">
        <v>21</v>
      </c>
      <c r="F490" s="27" t="s">
        <v>481</v>
      </c>
      <c r="G490" s="27" t="s">
        <v>23</v>
      </c>
      <c r="H490" s="27" t="s">
        <v>207</v>
      </c>
      <c r="I490" s="28">
        <v>42887.0</v>
      </c>
      <c r="J490" s="28">
        <v>43983.0</v>
      </c>
      <c r="K490" s="30">
        <v>45078.0</v>
      </c>
      <c r="L490" s="31">
        <v>2.0</v>
      </c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33" t="s">
        <v>1213</v>
      </c>
      <c r="B491" s="34" t="s">
        <v>1214</v>
      </c>
      <c r="C491" s="35"/>
      <c r="D491" s="34" t="s">
        <v>27</v>
      </c>
      <c r="E491" s="34" t="s">
        <v>21</v>
      </c>
      <c r="F491" s="34" t="s">
        <v>155</v>
      </c>
      <c r="G491" s="34" t="s">
        <v>436</v>
      </c>
      <c r="H491" s="34" t="s">
        <v>155</v>
      </c>
      <c r="I491" s="30">
        <v>43132.0</v>
      </c>
      <c r="J491" s="30">
        <v>44348.0</v>
      </c>
      <c r="K491" s="30">
        <v>45444.0</v>
      </c>
      <c r="L491" s="31">
        <v>2.0</v>
      </c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33" t="s">
        <v>116</v>
      </c>
      <c r="B492" s="34" t="s">
        <v>208</v>
      </c>
      <c r="C492" s="34" t="s">
        <v>994</v>
      </c>
      <c r="D492" s="34" t="s">
        <v>222</v>
      </c>
      <c r="E492" s="34" t="s">
        <v>21</v>
      </c>
      <c r="F492" s="34" t="s">
        <v>314</v>
      </c>
      <c r="G492" s="34" t="s">
        <v>46</v>
      </c>
      <c r="H492" s="34" t="s">
        <v>147</v>
      </c>
      <c r="I492" s="30">
        <v>42887.0</v>
      </c>
      <c r="J492" s="36"/>
      <c r="K492" s="30">
        <v>43983.0</v>
      </c>
      <c r="L492" s="31">
        <v>1.0</v>
      </c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26" t="s">
        <v>1215</v>
      </c>
      <c r="B493" s="27" t="s">
        <v>145</v>
      </c>
      <c r="C493" s="27" t="s">
        <v>228</v>
      </c>
      <c r="D493" s="27" t="s">
        <v>20</v>
      </c>
      <c r="E493" s="27" t="s">
        <v>21</v>
      </c>
      <c r="F493" s="27" t="s">
        <v>1108</v>
      </c>
      <c r="G493" s="27" t="s">
        <v>36</v>
      </c>
      <c r="H493" s="27" t="s">
        <v>229</v>
      </c>
      <c r="I493" s="28">
        <v>42887.0</v>
      </c>
      <c r="J493" s="29"/>
      <c r="K493" s="30">
        <v>43983.0</v>
      </c>
      <c r="L493" s="31">
        <v>1.0</v>
      </c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26" t="s">
        <v>1216</v>
      </c>
      <c r="B494" s="27" t="s">
        <v>1217</v>
      </c>
      <c r="C494" s="27" t="s">
        <v>1212</v>
      </c>
      <c r="D494" s="27" t="s">
        <v>222</v>
      </c>
      <c r="E494" s="27" t="s">
        <v>21</v>
      </c>
      <c r="F494" s="27" t="s">
        <v>45</v>
      </c>
      <c r="G494" s="27" t="s">
        <v>23</v>
      </c>
      <c r="H494" s="27" t="s">
        <v>339</v>
      </c>
      <c r="I494" s="28">
        <v>43252.0</v>
      </c>
      <c r="J494" s="29"/>
      <c r="K494" s="30">
        <v>44348.0</v>
      </c>
      <c r="L494" s="31">
        <v>1.0</v>
      </c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26" t="s">
        <v>1218</v>
      </c>
      <c r="B495" s="27" t="s">
        <v>517</v>
      </c>
      <c r="C495" s="32"/>
      <c r="D495" s="27" t="s">
        <v>27</v>
      </c>
      <c r="E495" s="27" t="s">
        <v>27</v>
      </c>
      <c r="F495" s="27" t="s">
        <v>103</v>
      </c>
      <c r="G495" s="27" t="s">
        <v>159</v>
      </c>
      <c r="H495" s="27" t="s">
        <v>103</v>
      </c>
      <c r="I495" s="28">
        <v>42401.0</v>
      </c>
      <c r="J495" s="29"/>
      <c r="K495" s="30">
        <v>44713.0</v>
      </c>
      <c r="L495" s="31">
        <v>1.0</v>
      </c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33" t="s">
        <v>1219</v>
      </c>
      <c r="B496" s="34" t="s">
        <v>120</v>
      </c>
      <c r="C496" s="34" t="s">
        <v>788</v>
      </c>
      <c r="D496" s="34" t="s">
        <v>222</v>
      </c>
      <c r="E496" s="34" t="s">
        <v>21</v>
      </c>
      <c r="F496" s="34" t="s">
        <v>630</v>
      </c>
      <c r="G496" s="34" t="s">
        <v>23</v>
      </c>
      <c r="H496" s="34" t="s">
        <v>287</v>
      </c>
      <c r="I496" s="28">
        <v>42887.0</v>
      </c>
      <c r="J496" s="29"/>
      <c r="K496" s="30">
        <v>43983.0</v>
      </c>
      <c r="L496" s="31">
        <v>1.0</v>
      </c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26" t="s">
        <v>1220</v>
      </c>
      <c r="B497" s="27" t="s">
        <v>1221</v>
      </c>
      <c r="C497" s="32"/>
      <c r="D497" s="27" t="s">
        <v>27</v>
      </c>
      <c r="E497" s="27" t="s">
        <v>1222</v>
      </c>
      <c r="F497" s="27" t="s">
        <v>29</v>
      </c>
      <c r="G497" s="27" t="s">
        <v>845</v>
      </c>
      <c r="H497" s="27" t="s">
        <v>29</v>
      </c>
      <c r="I497" s="28">
        <v>42401.0</v>
      </c>
      <c r="J497" s="29"/>
      <c r="K497" s="30">
        <v>44713.0</v>
      </c>
      <c r="L497" s="31">
        <v>1.0</v>
      </c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26" t="s">
        <v>1223</v>
      </c>
      <c r="B498" s="27" t="s">
        <v>1224</v>
      </c>
      <c r="C498" s="27" t="s">
        <v>302</v>
      </c>
      <c r="D498" s="27" t="s">
        <v>130</v>
      </c>
      <c r="E498" s="27" t="s">
        <v>21</v>
      </c>
      <c r="F498" s="27" t="s">
        <v>380</v>
      </c>
      <c r="G498" s="32"/>
      <c r="H498" s="27" t="s">
        <v>24</v>
      </c>
      <c r="I498" s="28">
        <v>36892.0</v>
      </c>
      <c r="J498" s="29"/>
      <c r="K498" s="30">
        <v>45809.0</v>
      </c>
      <c r="L498" s="31">
        <v>2.0</v>
      </c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26" t="s">
        <v>1223</v>
      </c>
      <c r="B499" s="27" t="s">
        <v>537</v>
      </c>
      <c r="C499" s="27" t="s">
        <v>1163</v>
      </c>
      <c r="D499" s="27" t="s">
        <v>348</v>
      </c>
      <c r="E499" s="27" t="s">
        <v>21</v>
      </c>
      <c r="F499" s="27" t="s">
        <v>642</v>
      </c>
      <c r="G499" s="27" t="s">
        <v>46</v>
      </c>
      <c r="H499" s="27" t="s">
        <v>324</v>
      </c>
      <c r="I499" s="28">
        <v>43252.0</v>
      </c>
      <c r="J499" s="29"/>
      <c r="K499" s="30">
        <v>44348.0</v>
      </c>
      <c r="L499" s="31">
        <v>1.0</v>
      </c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26" t="s">
        <v>1223</v>
      </c>
      <c r="B500" s="27" t="s">
        <v>353</v>
      </c>
      <c r="C500" s="32"/>
      <c r="D500" s="27" t="s">
        <v>27</v>
      </c>
      <c r="E500" s="27" t="s">
        <v>39</v>
      </c>
      <c r="F500" s="27" t="s">
        <v>40</v>
      </c>
      <c r="G500" s="27" t="s">
        <v>41</v>
      </c>
      <c r="H500" s="27" t="s">
        <v>40</v>
      </c>
      <c r="I500" s="28">
        <v>43132.0</v>
      </c>
      <c r="J500" s="28">
        <v>44348.0</v>
      </c>
      <c r="K500" s="30">
        <v>45444.0</v>
      </c>
      <c r="L500" s="31">
        <v>2.0</v>
      </c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26" t="s">
        <v>1223</v>
      </c>
      <c r="B501" s="27" t="s">
        <v>1225</v>
      </c>
      <c r="C501" s="27" t="s">
        <v>228</v>
      </c>
      <c r="D501" s="27" t="s">
        <v>20</v>
      </c>
      <c r="E501" s="27" t="s">
        <v>21</v>
      </c>
      <c r="F501" s="27" t="s">
        <v>71</v>
      </c>
      <c r="G501" s="27" t="s">
        <v>46</v>
      </c>
      <c r="H501" s="27" t="s">
        <v>328</v>
      </c>
      <c r="I501" s="28">
        <v>43252.0</v>
      </c>
      <c r="J501" s="29"/>
      <c r="K501" s="30">
        <v>44348.0</v>
      </c>
      <c r="L501" s="31">
        <v>1.0</v>
      </c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26" t="s">
        <v>1226</v>
      </c>
      <c r="B502" s="27" t="s">
        <v>116</v>
      </c>
      <c r="C502" s="27" t="s">
        <v>499</v>
      </c>
      <c r="D502" s="27" t="s">
        <v>44</v>
      </c>
      <c r="E502" s="27" t="s">
        <v>21</v>
      </c>
      <c r="F502" s="27" t="s">
        <v>71</v>
      </c>
      <c r="G502" s="27" t="s">
        <v>23</v>
      </c>
      <c r="H502" s="27" t="s">
        <v>397</v>
      </c>
      <c r="I502" s="28">
        <v>43617.0</v>
      </c>
      <c r="J502" s="29"/>
      <c r="K502" s="30">
        <v>44713.0</v>
      </c>
      <c r="L502" s="31">
        <v>1.0</v>
      </c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26" t="s">
        <v>1227</v>
      </c>
      <c r="B503" s="27" t="s">
        <v>1228</v>
      </c>
      <c r="C503" s="27" t="s">
        <v>146</v>
      </c>
      <c r="D503" s="27" t="s">
        <v>94</v>
      </c>
      <c r="E503" s="27" t="s">
        <v>21</v>
      </c>
      <c r="F503" s="27" t="s">
        <v>79</v>
      </c>
      <c r="G503" s="27" t="s">
        <v>46</v>
      </c>
      <c r="H503" s="27" t="s">
        <v>135</v>
      </c>
      <c r="I503" s="28">
        <v>43252.0</v>
      </c>
      <c r="J503" s="29"/>
      <c r="K503" s="30">
        <v>44348.0</v>
      </c>
      <c r="L503" s="31">
        <v>1.0</v>
      </c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26" t="s">
        <v>1229</v>
      </c>
      <c r="B504" s="27" t="s">
        <v>1230</v>
      </c>
      <c r="C504" s="32"/>
      <c r="D504" s="27" t="s">
        <v>27</v>
      </c>
      <c r="E504" s="27" t="s">
        <v>585</v>
      </c>
      <c r="F504" s="27" t="s">
        <v>29</v>
      </c>
      <c r="G504" s="27" t="s">
        <v>531</v>
      </c>
      <c r="H504" s="27" t="s">
        <v>29</v>
      </c>
      <c r="I504" s="28">
        <v>42401.0</v>
      </c>
      <c r="J504" s="29"/>
      <c r="K504" s="30">
        <v>44713.0</v>
      </c>
      <c r="L504" s="31">
        <v>1.0</v>
      </c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26" t="s">
        <v>1231</v>
      </c>
      <c r="B505" s="27" t="s">
        <v>1232</v>
      </c>
      <c r="C505" s="27" t="s">
        <v>1233</v>
      </c>
      <c r="D505" s="27" t="s">
        <v>222</v>
      </c>
      <c r="E505" s="27" t="s">
        <v>21</v>
      </c>
      <c r="F505" s="27" t="s">
        <v>35</v>
      </c>
      <c r="G505" s="27" t="s">
        <v>46</v>
      </c>
      <c r="H505" s="27" t="s">
        <v>241</v>
      </c>
      <c r="I505" s="28">
        <v>43617.0</v>
      </c>
      <c r="J505" s="29"/>
      <c r="K505" s="30">
        <v>44713.0</v>
      </c>
      <c r="L505" s="31">
        <v>1.0</v>
      </c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26" t="s">
        <v>556</v>
      </c>
      <c r="B506" s="27" t="s">
        <v>1234</v>
      </c>
      <c r="C506" s="27" t="s">
        <v>514</v>
      </c>
      <c r="D506" s="27" t="s">
        <v>78</v>
      </c>
      <c r="E506" s="27" t="s">
        <v>21</v>
      </c>
      <c r="F506" s="27" t="s">
        <v>29</v>
      </c>
      <c r="G506" s="27" t="s">
        <v>417</v>
      </c>
      <c r="H506" s="27" t="s">
        <v>29</v>
      </c>
      <c r="I506" s="28">
        <v>42767.0</v>
      </c>
      <c r="J506" s="28">
        <v>43983.0</v>
      </c>
      <c r="K506" s="30">
        <v>45078.0</v>
      </c>
      <c r="L506" s="31">
        <v>2.0</v>
      </c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26" t="s">
        <v>1235</v>
      </c>
      <c r="B507" s="27" t="s">
        <v>1236</v>
      </c>
      <c r="C507" s="27" t="s">
        <v>1237</v>
      </c>
      <c r="D507" s="27" t="s">
        <v>143</v>
      </c>
      <c r="E507" s="27" t="s">
        <v>21</v>
      </c>
      <c r="F507" s="27" t="s">
        <v>638</v>
      </c>
      <c r="G507" s="27" t="s">
        <v>46</v>
      </c>
      <c r="H507" s="27" t="s">
        <v>207</v>
      </c>
      <c r="I507" s="28">
        <v>42887.0</v>
      </c>
      <c r="J507" s="29"/>
      <c r="K507" s="30">
        <v>43983.0</v>
      </c>
      <c r="L507" s="31">
        <v>1.0</v>
      </c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26" t="s">
        <v>1238</v>
      </c>
      <c r="B508" s="27" t="s">
        <v>647</v>
      </c>
      <c r="C508" s="27" t="s">
        <v>1239</v>
      </c>
      <c r="D508" s="27" t="s">
        <v>44</v>
      </c>
      <c r="E508" s="27" t="s">
        <v>21</v>
      </c>
      <c r="F508" s="27" t="s">
        <v>421</v>
      </c>
      <c r="G508" s="27" t="s">
        <v>36</v>
      </c>
      <c r="H508" s="27" t="s">
        <v>689</v>
      </c>
      <c r="I508" s="28">
        <v>42887.0</v>
      </c>
      <c r="J508" s="29"/>
      <c r="K508" s="30">
        <v>43983.0</v>
      </c>
      <c r="L508" s="31">
        <v>1.0</v>
      </c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33" t="s">
        <v>1240</v>
      </c>
      <c r="B509" s="34" t="s">
        <v>522</v>
      </c>
      <c r="C509" s="34" t="s">
        <v>1241</v>
      </c>
      <c r="D509" s="34" t="s">
        <v>143</v>
      </c>
      <c r="E509" s="34" t="s">
        <v>21</v>
      </c>
      <c r="F509" s="34" t="s">
        <v>134</v>
      </c>
      <c r="G509" s="34" t="s">
        <v>36</v>
      </c>
      <c r="H509" s="34" t="s">
        <v>135</v>
      </c>
      <c r="I509" s="30">
        <v>43252.0</v>
      </c>
      <c r="J509" s="36"/>
      <c r="K509" s="30">
        <v>44348.0</v>
      </c>
      <c r="L509" s="31">
        <v>1.0</v>
      </c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26" t="s">
        <v>1242</v>
      </c>
      <c r="B510" s="27" t="s">
        <v>674</v>
      </c>
      <c r="C510" s="27" t="s">
        <v>1237</v>
      </c>
      <c r="D510" s="27" t="s">
        <v>143</v>
      </c>
      <c r="E510" s="27" t="s">
        <v>21</v>
      </c>
      <c r="F510" s="27" t="s">
        <v>1187</v>
      </c>
      <c r="G510" s="27" t="s">
        <v>46</v>
      </c>
      <c r="H510" s="27" t="s">
        <v>126</v>
      </c>
      <c r="I510" s="28">
        <v>43617.0</v>
      </c>
      <c r="J510" s="29"/>
      <c r="K510" s="30">
        <v>44713.0</v>
      </c>
      <c r="L510" s="31">
        <v>1.0</v>
      </c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26" t="s">
        <v>1242</v>
      </c>
      <c r="B511" s="27" t="s">
        <v>522</v>
      </c>
      <c r="C511" s="27" t="s">
        <v>1241</v>
      </c>
      <c r="D511" s="27" t="s">
        <v>143</v>
      </c>
      <c r="E511" s="27" t="s">
        <v>21</v>
      </c>
      <c r="F511" s="27" t="s">
        <v>367</v>
      </c>
      <c r="G511" s="27" t="s">
        <v>46</v>
      </c>
      <c r="H511" s="27" t="s">
        <v>126</v>
      </c>
      <c r="I511" s="28">
        <v>43617.0</v>
      </c>
      <c r="J511" s="28">
        <v>44713.0</v>
      </c>
      <c r="K511" s="30">
        <v>45809.0</v>
      </c>
      <c r="L511" s="31">
        <v>2.0</v>
      </c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26" t="s">
        <v>1242</v>
      </c>
      <c r="B512" s="27" t="s">
        <v>1243</v>
      </c>
      <c r="C512" s="27" t="s">
        <v>1244</v>
      </c>
      <c r="D512" s="27" t="s">
        <v>323</v>
      </c>
      <c r="E512" s="27" t="s">
        <v>21</v>
      </c>
      <c r="F512" s="27" t="s">
        <v>79</v>
      </c>
      <c r="G512" s="27" t="s">
        <v>23</v>
      </c>
      <c r="H512" s="27" t="s">
        <v>324</v>
      </c>
      <c r="I512" s="28">
        <v>43252.0</v>
      </c>
      <c r="J512" s="29"/>
      <c r="K512" s="30">
        <v>44348.0</v>
      </c>
      <c r="L512" s="31">
        <v>1.0</v>
      </c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26" t="s">
        <v>1242</v>
      </c>
      <c r="B513" s="27" t="s">
        <v>217</v>
      </c>
      <c r="C513" s="27" t="s">
        <v>1245</v>
      </c>
      <c r="D513" s="27" t="s">
        <v>323</v>
      </c>
      <c r="E513" s="27" t="s">
        <v>21</v>
      </c>
      <c r="F513" s="27" t="s">
        <v>1246</v>
      </c>
      <c r="G513" s="27" t="s">
        <v>46</v>
      </c>
      <c r="H513" s="27" t="s">
        <v>207</v>
      </c>
      <c r="I513" s="28">
        <v>42887.0</v>
      </c>
      <c r="J513" s="28">
        <v>43983.0</v>
      </c>
      <c r="K513" s="30">
        <v>45078.0</v>
      </c>
      <c r="L513" s="31">
        <v>2.0</v>
      </c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26" t="s">
        <v>1247</v>
      </c>
      <c r="B514" s="27" t="s">
        <v>426</v>
      </c>
      <c r="C514" s="27" t="s">
        <v>151</v>
      </c>
      <c r="D514" s="27" t="s">
        <v>20</v>
      </c>
      <c r="E514" s="27" t="s">
        <v>21</v>
      </c>
      <c r="F514" s="27" t="s">
        <v>56</v>
      </c>
      <c r="G514" s="27" t="s">
        <v>46</v>
      </c>
      <c r="H514" s="27" t="s">
        <v>152</v>
      </c>
      <c r="I514" s="28">
        <v>43617.0</v>
      </c>
      <c r="J514" s="29"/>
      <c r="K514" s="30">
        <v>44713.0</v>
      </c>
      <c r="L514" s="31">
        <v>1.0</v>
      </c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26" t="s">
        <v>1248</v>
      </c>
      <c r="B515" s="27" t="s">
        <v>275</v>
      </c>
      <c r="C515" s="27" t="s">
        <v>683</v>
      </c>
      <c r="D515" s="27" t="s">
        <v>348</v>
      </c>
      <c r="E515" s="27" t="s">
        <v>21</v>
      </c>
      <c r="F515" s="27" t="s">
        <v>35</v>
      </c>
      <c r="G515" s="27" t="s">
        <v>23</v>
      </c>
      <c r="H515" s="27" t="s">
        <v>119</v>
      </c>
      <c r="I515" s="28">
        <v>43617.0</v>
      </c>
      <c r="J515" s="29"/>
      <c r="K515" s="30">
        <v>44713.0</v>
      </c>
      <c r="L515" s="31">
        <v>1.0</v>
      </c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26" t="s">
        <v>1248</v>
      </c>
      <c r="B516" s="27" t="s">
        <v>647</v>
      </c>
      <c r="C516" s="27" t="s">
        <v>1249</v>
      </c>
      <c r="D516" s="27" t="s">
        <v>20</v>
      </c>
      <c r="E516" s="27" t="s">
        <v>21</v>
      </c>
      <c r="F516" s="27" t="s">
        <v>79</v>
      </c>
      <c r="G516" s="27" t="s">
        <v>46</v>
      </c>
      <c r="H516" s="27" t="s">
        <v>328</v>
      </c>
      <c r="I516" s="28">
        <v>43252.0</v>
      </c>
      <c r="J516" s="29"/>
      <c r="K516" s="30">
        <v>44348.0</v>
      </c>
      <c r="L516" s="31">
        <v>1.0</v>
      </c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26" t="s">
        <v>1248</v>
      </c>
      <c r="B517" s="27" t="s">
        <v>1250</v>
      </c>
      <c r="C517" s="27" t="s">
        <v>1251</v>
      </c>
      <c r="D517" s="27" t="s">
        <v>282</v>
      </c>
      <c r="E517" s="27" t="s">
        <v>21</v>
      </c>
      <c r="F517" s="32"/>
      <c r="G517" s="32"/>
      <c r="H517" s="27" t="s">
        <v>913</v>
      </c>
      <c r="I517" s="28">
        <v>43252.0</v>
      </c>
      <c r="J517" s="29"/>
      <c r="K517" s="30">
        <v>44348.0</v>
      </c>
      <c r="L517" s="31">
        <v>1.0</v>
      </c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26" t="s">
        <v>1248</v>
      </c>
      <c r="B518" s="27" t="s">
        <v>1252</v>
      </c>
      <c r="C518" s="27" t="s">
        <v>1253</v>
      </c>
      <c r="D518" s="27" t="s">
        <v>94</v>
      </c>
      <c r="E518" s="27" t="s">
        <v>21</v>
      </c>
      <c r="F518" s="27" t="s">
        <v>367</v>
      </c>
      <c r="G518" s="27" t="s">
        <v>36</v>
      </c>
      <c r="H518" s="27" t="s">
        <v>975</v>
      </c>
      <c r="I518" s="28">
        <v>42887.0</v>
      </c>
      <c r="J518" s="28">
        <v>44348.0</v>
      </c>
      <c r="K518" s="30">
        <v>45444.0</v>
      </c>
      <c r="L518" s="31">
        <v>2.0</v>
      </c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26" t="s">
        <v>1248</v>
      </c>
      <c r="B519" s="27" t="s">
        <v>981</v>
      </c>
      <c r="C519" s="27" t="s">
        <v>146</v>
      </c>
      <c r="D519" s="27" t="s">
        <v>94</v>
      </c>
      <c r="E519" s="27" t="s">
        <v>21</v>
      </c>
      <c r="F519" s="27" t="s">
        <v>109</v>
      </c>
      <c r="G519" s="27" t="s">
        <v>46</v>
      </c>
      <c r="H519" s="27" t="s">
        <v>37</v>
      </c>
      <c r="I519" s="28">
        <v>43617.0</v>
      </c>
      <c r="J519" s="29"/>
      <c r="K519" s="30">
        <v>44713.0</v>
      </c>
      <c r="L519" s="31">
        <v>1.0</v>
      </c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26" t="s">
        <v>1248</v>
      </c>
      <c r="B520" s="27" t="s">
        <v>217</v>
      </c>
      <c r="C520" s="27" t="s">
        <v>146</v>
      </c>
      <c r="D520" s="27" t="s">
        <v>94</v>
      </c>
      <c r="E520" s="27" t="s">
        <v>21</v>
      </c>
      <c r="F520" s="27" t="s">
        <v>56</v>
      </c>
      <c r="G520" s="27" t="s">
        <v>46</v>
      </c>
      <c r="H520" s="27" t="s">
        <v>37</v>
      </c>
      <c r="I520" s="28">
        <v>43617.0</v>
      </c>
      <c r="J520" s="29"/>
      <c r="K520" s="30">
        <v>44713.0</v>
      </c>
      <c r="L520" s="31">
        <v>1.0</v>
      </c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26" t="s">
        <v>1248</v>
      </c>
      <c r="B521" s="27" t="s">
        <v>1055</v>
      </c>
      <c r="C521" s="32"/>
      <c r="D521" s="27" t="s">
        <v>27</v>
      </c>
      <c r="E521" s="27" t="s">
        <v>39</v>
      </c>
      <c r="F521" s="27" t="s">
        <v>40</v>
      </c>
      <c r="G521" s="27" t="s">
        <v>1254</v>
      </c>
      <c r="H521" s="27" t="s">
        <v>40</v>
      </c>
      <c r="I521" s="28">
        <v>42401.0</v>
      </c>
      <c r="J521" s="29"/>
      <c r="K521" s="30">
        <v>44713.0</v>
      </c>
      <c r="L521" s="31">
        <v>1.0</v>
      </c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26" t="s">
        <v>1255</v>
      </c>
      <c r="B522" s="27" t="s">
        <v>877</v>
      </c>
      <c r="C522" s="32"/>
      <c r="D522" s="27" t="s">
        <v>27</v>
      </c>
      <c r="E522" s="27" t="s">
        <v>884</v>
      </c>
      <c r="F522" s="27" t="s">
        <v>1256</v>
      </c>
      <c r="G522" s="27" t="s">
        <v>137</v>
      </c>
      <c r="H522" s="27" t="s">
        <v>287</v>
      </c>
      <c r="I522" s="28">
        <v>42887.0</v>
      </c>
      <c r="J522" s="29"/>
      <c r="K522" s="30">
        <v>43983.0</v>
      </c>
      <c r="L522" s="31">
        <v>1.0</v>
      </c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26" t="s">
        <v>173</v>
      </c>
      <c r="B523" s="27" t="s">
        <v>266</v>
      </c>
      <c r="C523" s="27" t="s">
        <v>300</v>
      </c>
      <c r="D523" s="27" t="s">
        <v>222</v>
      </c>
      <c r="E523" s="27" t="s">
        <v>21</v>
      </c>
      <c r="F523" s="27" t="s">
        <v>90</v>
      </c>
      <c r="G523" s="27" t="s">
        <v>23</v>
      </c>
      <c r="H523" s="27" t="s">
        <v>344</v>
      </c>
      <c r="I523" s="28">
        <v>42887.0</v>
      </c>
      <c r="J523" s="29"/>
      <c r="K523" s="30">
        <v>43983.0</v>
      </c>
      <c r="L523" s="31">
        <v>1.0</v>
      </c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26" t="s">
        <v>647</v>
      </c>
      <c r="B524" s="27" t="s">
        <v>1107</v>
      </c>
      <c r="C524" s="27" t="s">
        <v>1257</v>
      </c>
      <c r="D524" s="27" t="s">
        <v>641</v>
      </c>
      <c r="E524" s="27" t="s">
        <v>21</v>
      </c>
      <c r="F524" s="27" t="s">
        <v>99</v>
      </c>
      <c r="G524" s="27" t="s">
        <v>23</v>
      </c>
      <c r="H524" s="27" t="s">
        <v>295</v>
      </c>
      <c r="I524" s="28">
        <v>43252.0</v>
      </c>
      <c r="J524" s="29"/>
      <c r="K524" s="30">
        <v>44348.0</v>
      </c>
      <c r="L524" s="31">
        <v>1.0</v>
      </c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26" t="s">
        <v>1258</v>
      </c>
      <c r="B525" s="27" t="s">
        <v>631</v>
      </c>
      <c r="C525" s="27" t="s">
        <v>1259</v>
      </c>
      <c r="D525" s="27" t="s">
        <v>222</v>
      </c>
      <c r="E525" s="27" t="s">
        <v>21</v>
      </c>
      <c r="F525" s="27" t="s">
        <v>45</v>
      </c>
      <c r="G525" s="27" t="s">
        <v>46</v>
      </c>
      <c r="H525" s="27" t="s">
        <v>1260</v>
      </c>
      <c r="I525" s="28">
        <v>42156.0</v>
      </c>
      <c r="J525" s="28">
        <v>44348.0</v>
      </c>
      <c r="K525" s="30">
        <v>45444.0</v>
      </c>
      <c r="L525" s="31">
        <v>2.0</v>
      </c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26" t="s">
        <v>1261</v>
      </c>
      <c r="B526" s="27" t="s">
        <v>128</v>
      </c>
      <c r="C526" s="27" t="s">
        <v>1262</v>
      </c>
      <c r="D526" s="27" t="s">
        <v>222</v>
      </c>
      <c r="E526" s="27" t="s">
        <v>21</v>
      </c>
      <c r="F526" s="27" t="s">
        <v>56</v>
      </c>
      <c r="G526" s="27" t="s">
        <v>46</v>
      </c>
      <c r="H526" s="27" t="s">
        <v>119</v>
      </c>
      <c r="I526" s="28">
        <v>43617.0</v>
      </c>
      <c r="J526" s="29"/>
      <c r="K526" s="30">
        <v>44713.0</v>
      </c>
      <c r="L526" s="31">
        <v>1.0</v>
      </c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26" t="s">
        <v>1263</v>
      </c>
      <c r="B527" s="27" t="s">
        <v>1264</v>
      </c>
      <c r="C527" s="32"/>
      <c r="D527" s="27" t="s">
        <v>27</v>
      </c>
      <c r="E527" s="27" t="s">
        <v>28</v>
      </c>
      <c r="F527" s="27" t="s">
        <v>29</v>
      </c>
      <c r="G527" s="27" t="s">
        <v>586</v>
      </c>
      <c r="H527" s="27" t="s">
        <v>28</v>
      </c>
      <c r="I527" s="28">
        <v>42401.0</v>
      </c>
      <c r="J527" s="29"/>
      <c r="K527" s="30">
        <v>44713.0</v>
      </c>
      <c r="L527" s="31">
        <v>1.0</v>
      </c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26" t="s">
        <v>1265</v>
      </c>
      <c r="B528" s="27" t="s">
        <v>1266</v>
      </c>
      <c r="C528" s="32"/>
      <c r="D528" s="27" t="s">
        <v>27</v>
      </c>
      <c r="E528" s="27" t="s">
        <v>1267</v>
      </c>
      <c r="F528" s="27" t="s">
        <v>29</v>
      </c>
      <c r="G528" s="27" t="s">
        <v>979</v>
      </c>
      <c r="H528" s="27" t="s">
        <v>65</v>
      </c>
      <c r="I528" s="28">
        <v>43136.0</v>
      </c>
      <c r="J528" s="28">
        <v>44348.0</v>
      </c>
      <c r="K528" s="30">
        <v>45444.0</v>
      </c>
      <c r="L528" s="31">
        <v>2.0</v>
      </c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26" t="s">
        <v>1268</v>
      </c>
      <c r="B529" s="27" t="s">
        <v>1269</v>
      </c>
      <c r="C529" s="32"/>
      <c r="D529" s="27" t="s">
        <v>27</v>
      </c>
      <c r="E529" s="27" t="s">
        <v>28</v>
      </c>
      <c r="F529" s="27" t="s">
        <v>29</v>
      </c>
      <c r="G529" s="27" t="s">
        <v>578</v>
      </c>
      <c r="H529" s="27" t="s">
        <v>29</v>
      </c>
      <c r="I529" s="28">
        <v>42401.0</v>
      </c>
      <c r="J529" s="29"/>
      <c r="K529" s="30">
        <v>44713.0</v>
      </c>
      <c r="L529" s="31">
        <v>1.0</v>
      </c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26" t="s">
        <v>1270</v>
      </c>
      <c r="B530" s="27" t="s">
        <v>839</v>
      </c>
      <c r="C530" s="27" t="s">
        <v>1271</v>
      </c>
      <c r="D530" s="27" t="s">
        <v>44</v>
      </c>
      <c r="E530" s="27" t="s">
        <v>21</v>
      </c>
      <c r="F530" s="27" t="s">
        <v>90</v>
      </c>
      <c r="G530" s="27" t="s">
        <v>36</v>
      </c>
      <c r="H530" s="27" t="s">
        <v>47</v>
      </c>
      <c r="I530" s="28">
        <v>43252.0</v>
      </c>
      <c r="J530" s="29"/>
      <c r="K530" s="30">
        <v>44348.0</v>
      </c>
      <c r="L530" s="31">
        <v>1.0</v>
      </c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26" t="s">
        <v>1272</v>
      </c>
      <c r="B531" s="27" t="s">
        <v>145</v>
      </c>
      <c r="C531" s="27" t="s">
        <v>994</v>
      </c>
      <c r="D531" s="27" t="s">
        <v>222</v>
      </c>
      <c r="E531" s="27" t="s">
        <v>21</v>
      </c>
      <c r="F531" s="27" t="s">
        <v>638</v>
      </c>
      <c r="G531" s="27" t="s">
        <v>1273</v>
      </c>
      <c r="H531" s="27" t="s">
        <v>207</v>
      </c>
      <c r="I531" s="28">
        <v>42887.0</v>
      </c>
      <c r="J531" s="29"/>
      <c r="K531" s="30">
        <v>43983.0</v>
      </c>
      <c r="L531" s="31">
        <v>1.0</v>
      </c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26" t="s">
        <v>1274</v>
      </c>
      <c r="B532" s="27" t="s">
        <v>217</v>
      </c>
      <c r="C532" s="27" t="s">
        <v>1275</v>
      </c>
      <c r="D532" s="27" t="s">
        <v>143</v>
      </c>
      <c r="E532" s="27" t="s">
        <v>21</v>
      </c>
      <c r="F532" s="27" t="s">
        <v>441</v>
      </c>
      <c r="G532" s="27" t="s">
        <v>137</v>
      </c>
      <c r="H532" s="27" t="s">
        <v>287</v>
      </c>
      <c r="I532" s="28">
        <v>42887.0</v>
      </c>
      <c r="J532" s="29"/>
      <c r="K532" s="30">
        <v>43983.0</v>
      </c>
      <c r="L532" s="31">
        <v>1.0</v>
      </c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26" t="s">
        <v>1276</v>
      </c>
      <c r="B533" s="27" t="s">
        <v>1277</v>
      </c>
      <c r="C533" s="32"/>
      <c r="D533" s="27" t="s">
        <v>27</v>
      </c>
      <c r="E533" s="27" t="s">
        <v>28</v>
      </c>
      <c r="F533" s="27" t="s">
        <v>29</v>
      </c>
      <c r="G533" s="27" t="s">
        <v>409</v>
      </c>
      <c r="H533" s="27" t="s">
        <v>65</v>
      </c>
      <c r="I533" s="28">
        <v>43136.0</v>
      </c>
      <c r="J533" s="28">
        <v>44348.0</v>
      </c>
      <c r="K533" s="30">
        <v>45444.0</v>
      </c>
      <c r="L533" s="31">
        <v>2.0</v>
      </c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26" t="s">
        <v>1278</v>
      </c>
      <c r="B534" s="27" t="s">
        <v>138</v>
      </c>
      <c r="C534" s="27" t="s">
        <v>1279</v>
      </c>
      <c r="D534" s="27" t="s">
        <v>224</v>
      </c>
      <c r="E534" s="27" t="s">
        <v>21</v>
      </c>
      <c r="F534" s="27" t="s">
        <v>90</v>
      </c>
      <c r="G534" s="27" t="s">
        <v>23</v>
      </c>
      <c r="H534" s="27" t="s">
        <v>225</v>
      </c>
      <c r="I534" s="28">
        <v>43252.0</v>
      </c>
      <c r="J534" s="29"/>
      <c r="K534" s="30">
        <v>44348.0</v>
      </c>
      <c r="L534" s="31">
        <v>1.0</v>
      </c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26" t="s">
        <v>1280</v>
      </c>
      <c r="B535" s="27" t="s">
        <v>1281</v>
      </c>
      <c r="C535" s="32"/>
      <c r="D535" s="27" t="s">
        <v>27</v>
      </c>
      <c r="E535" s="27" t="s">
        <v>930</v>
      </c>
      <c r="F535" s="27" t="s">
        <v>29</v>
      </c>
      <c r="G535" s="27" t="s">
        <v>1282</v>
      </c>
      <c r="H535" s="27" t="s">
        <v>65</v>
      </c>
      <c r="I535" s="28">
        <v>43136.0</v>
      </c>
      <c r="J535" s="28">
        <v>44348.0</v>
      </c>
      <c r="K535" s="30">
        <v>45444.0</v>
      </c>
      <c r="L535" s="31">
        <v>2.0</v>
      </c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26" t="s">
        <v>1283</v>
      </c>
      <c r="B536" s="27" t="s">
        <v>1284</v>
      </c>
      <c r="C536" s="32"/>
      <c r="D536" s="27" t="s">
        <v>27</v>
      </c>
      <c r="E536" s="27" t="s">
        <v>28</v>
      </c>
      <c r="F536" s="27" t="s">
        <v>29</v>
      </c>
      <c r="G536" s="27" t="s">
        <v>114</v>
      </c>
      <c r="H536" s="27" t="s">
        <v>65</v>
      </c>
      <c r="I536" s="28">
        <v>43136.0</v>
      </c>
      <c r="J536" s="28">
        <v>44348.0</v>
      </c>
      <c r="K536" s="30">
        <v>45444.0</v>
      </c>
      <c r="L536" s="31">
        <v>2.0</v>
      </c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26" t="s">
        <v>1285</v>
      </c>
      <c r="B537" s="27" t="s">
        <v>966</v>
      </c>
      <c r="C537" s="27" t="s">
        <v>1286</v>
      </c>
      <c r="D537" s="27" t="s">
        <v>458</v>
      </c>
      <c r="E537" s="27" t="s">
        <v>21</v>
      </c>
      <c r="F537" s="27" t="s">
        <v>56</v>
      </c>
      <c r="G537" s="27" t="s">
        <v>23</v>
      </c>
      <c r="H537" s="27" t="s">
        <v>110</v>
      </c>
      <c r="I537" s="28">
        <v>43617.0</v>
      </c>
      <c r="J537" s="29"/>
      <c r="K537" s="30">
        <v>44713.0</v>
      </c>
      <c r="L537" s="31">
        <v>1.0</v>
      </c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26" t="s">
        <v>1287</v>
      </c>
      <c r="B538" s="27" t="s">
        <v>217</v>
      </c>
      <c r="C538" s="27" t="s">
        <v>1288</v>
      </c>
      <c r="D538" s="27" t="s">
        <v>94</v>
      </c>
      <c r="E538" s="27" t="s">
        <v>21</v>
      </c>
      <c r="F538" s="27" t="s">
        <v>642</v>
      </c>
      <c r="G538" s="27" t="s">
        <v>1026</v>
      </c>
      <c r="H538" s="27" t="s">
        <v>135</v>
      </c>
      <c r="I538" s="28">
        <v>43252.0</v>
      </c>
      <c r="J538" s="29"/>
      <c r="K538" s="30">
        <v>44348.0</v>
      </c>
      <c r="L538" s="31">
        <v>1.0</v>
      </c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26" t="s">
        <v>1289</v>
      </c>
      <c r="B539" s="27" t="s">
        <v>1290</v>
      </c>
      <c r="C539" s="27" t="s">
        <v>661</v>
      </c>
      <c r="D539" s="27" t="s">
        <v>282</v>
      </c>
      <c r="E539" s="27" t="s">
        <v>21</v>
      </c>
      <c r="F539" s="27" t="s">
        <v>95</v>
      </c>
      <c r="G539" s="27" t="s">
        <v>36</v>
      </c>
      <c r="H539" s="27" t="s">
        <v>207</v>
      </c>
      <c r="I539" s="28">
        <v>42887.0</v>
      </c>
      <c r="J539" s="29"/>
      <c r="K539" s="30">
        <v>43983.0</v>
      </c>
      <c r="L539" s="31">
        <v>1.0</v>
      </c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26" t="s">
        <v>1291</v>
      </c>
      <c r="B540" s="27" t="s">
        <v>1292</v>
      </c>
      <c r="C540" s="32"/>
      <c r="D540" s="27" t="s">
        <v>27</v>
      </c>
      <c r="E540" s="27" t="s">
        <v>39</v>
      </c>
      <c r="F540" s="27" t="s">
        <v>40</v>
      </c>
      <c r="G540" s="27" t="s">
        <v>1293</v>
      </c>
      <c r="H540" s="27" t="s">
        <v>40</v>
      </c>
      <c r="I540" s="28">
        <v>42401.0</v>
      </c>
      <c r="J540" s="29"/>
      <c r="K540" s="30">
        <v>44713.0</v>
      </c>
      <c r="L540" s="31">
        <v>1.0</v>
      </c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26" t="s">
        <v>1294</v>
      </c>
      <c r="B541" s="27" t="s">
        <v>1295</v>
      </c>
      <c r="C541" s="27" t="s">
        <v>1296</v>
      </c>
      <c r="D541" s="27" t="s">
        <v>317</v>
      </c>
      <c r="E541" s="27" t="s">
        <v>21</v>
      </c>
      <c r="F541" s="27" t="s">
        <v>383</v>
      </c>
      <c r="G541" s="27" t="s">
        <v>36</v>
      </c>
      <c r="H541" s="27" t="s">
        <v>119</v>
      </c>
      <c r="I541" s="28">
        <v>43617.0</v>
      </c>
      <c r="J541" s="29"/>
      <c r="K541" s="30">
        <v>44713.0</v>
      </c>
      <c r="L541" s="31">
        <v>1.0</v>
      </c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26" t="s">
        <v>1294</v>
      </c>
      <c r="B542" s="27" t="s">
        <v>466</v>
      </c>
      <c r="C542" s="27" t="s">
        <v>1297</v>
      </c>
      <c r="D542" s="27" t="s">
        <v>222</v>
      </c>
      <c r="E542" s="27" t="s">
        <v>21</v>
      </c>
      <c r="F542" s="27" t="s">
        <v>109</v>
      </c>
      <c r="G542" s="27" t="s">
        <v>46</v>
      </c>
      <c r="H542" s="27" t="s">
        <v>241</v>
      </c>
      <c r="I542" s="28">
        <v>43617.0</v>
      </c>
      <c r="J542" s="29"/>
      <c r="K542" s="30">
        <v>44713.0</v>
      </c>
      <c r="L542" s="31">
        <v>1.0</v>
      </c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26" t="s">
        <v>1298</v>
      </c>
      <c r="B543" s="27" t="s">
        <v>272</v>
      </c>
      <c r="C543" s="27" t="s">
        <v>1186</v>
      </c>
      <c r="D543" s="27" t="s">
        <v>323</v>
      </c>
      <c r="E543" s="27" t="s">
        <v>21</v>
      </c>
      <c r="F543" s="27" t="s">
        <v>35</v>
      </c>
      <c r="G543" s="27" t="s">
        <v>46</v>
      </c>
      <c r="H543" s="27" t="s">
        <v>57</v>
      </c>
      <c r="I543" s="28">
        <v>43617.0</v>
      </c>
      <c r="J543" s="29"/>
      <c r="K543" s="30">
        <v>44713.0</v>
      </c>
      <c r="L543" s="31">
        <v>1.0</v>
      </c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26" t="s">
        <v>1299</v>
      </c>
      <c r="B544" s="27" t="s">
        <v>120</v>
      </c>
      <c r="C544" s="27" t="s">
        <v>634</v>
      </c>
      <c r="D544" s="27" t="s">
        <v>143</v>
      </c>
      <c r="E544" s="27" t="s">
        <v>21</v>
      </c>
      <c r="F544" s="27" t="s">
        <v>421</v>
      </c>
      <c r="G544" s="27" t="s">
        <v>137</v>
      </c>
      <c r="H544" s="27" t="s">
        <v>135</v>
      </c>
      <c r="I544" s="28">
        <v>43252.0</v>
      </c>
      <c r="J544" s="29"/>
      <c r="K544" s="30">
        <v>44348.0</v>
      </c>
      <c r="L544" s="31">
        <v>1.0</v>
      </c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26" t="s">
        <v>1300</v>
      </c>
      <c r="B545" s="27" t="s">
        <v>169</v>
      </c>
      <c r="C545" s="32"/>
      <c r="D545" s="27" t="s">
        <v>27</v>
      </c>
      <c r="E545" s="27" t="s">
        <v>27</v>
      </c>
      <c r="F545" s="27" t="s">
        <v>103</v>
      </c>
      <c r="G545" s="27" t="s">
        <v>41</v>
      </c>
      <c r="H545" s="27" t="s">
        <v>103</v>
      </c>
      <c r="I545" s="28">
        <v>42401.0</v>
      </c>
      <c r="J545" s="29"/>
      <c r="K545" s="30">
        <v>44713.0</v>
      </c>
      <c r="L545" s="31">
        <v>1.0</v>
      </c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26" t="s">
        <v>1301</v>
      </c>
      <c r="B546" s="27" t="s">
        <v>190</v>
      </c>
      <c r="C546" s="27" t="s">
        <v>1302</v>
      </c>
      <c r="D546" s="27" t="s">
        <v>222</v>
      </c>
      <c r="E546" s="27" t="s">
        <v>21</v>
      </c>
      <c r="F546" s="27" t="s">
        <v>71</v>
      </c>
      <c r="G546" s="27" t="s">
        <v>36</v>
      </c>
      <c r="H546" s="27" t="s">
        <v>241</v>
      </c>
      <c r="I546" s="28">
        <v>43617.0</v>
      </c>
      <c r="J546" s="28">
        <v>44348.0</v>
      </c>
      <c r="K546" s="30">
        <v>45444.0</v>
      </c>
      <c r="L546" s="31">
        <v>2.0</v>
      </c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26" t="s">
        <v>1303</v>
      </c>
      <c r="B547" s="27" t="s">
        <v>1304</v>
      </c>
      <c r="C547" s="27" t="s">
        <v>1305</v>
      </c>
      <c r="D547" s="27" t="s">
        <v>282</v>
      </c>
      <c r="E547" s="27" t="s">
        <v>21</v>
      </c>
      <c r="F547" s="27" t="s">
        <v>71</v>
      </c>
      <c r="G547" s="27" t="s">
        <v>46</v>
      </c>
      <c r="H547" s="27" t="s">
        <v>171</v>
      </c>
      <c r="I547" s="28">
        <v>43617.0</v>
      </c>
      <c r="J547" s="29"/>
      <c r="K547" s="30">
        <v>44713.0</v>
      </c>
      <c r="L547" s="31">
        <v>1.0</v>
      </c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26" t="s">
        <v>1306</v>
      </c>
      <c r="B548" s="27" t="s">
        <v>1307</v>
      </c>
      <c r="C548" s="27" t="s">
        <v>191</v>
      </c>
      <c r="D548" s="27" t="s">
        <v>44</v>
      </c>
      <c r="E548" s="27" t="s">
        <v>21</v>
      </c>
      <c r="F548" s="27" t="s">
        <v>71</v>
      </c>
      <c r="G548" s="27" t="s">
        <v>36</v>
      </c>
      <c r="H548" s="27" t="s">
        <v>47</v>
      </c>
      <c r="I548" s="28">
        <v>43252.0</v>
      </c>
      <c r="J548" s="29"/>
      <c r="K548" s="30">
        <v>44348.0</v>
      </c>
      <c r="L548" s="31">
        <v>1.0</v>
      </c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33" t="s">
        <v>1308</v>
      </c>
      <c r="B549" s="34" t="s">
        <v>32</v>
      </c>
      <c r="C549" s="34" t="s">
        <v>1309</v>
      </c>
      <c r="D549" s="34" t="s">
        <v>282</v>
      </c>
      <c r="E549" s="34" t="s">
        <v>21</v>
      </c>
      <c r="F549" s="34" t="s">
        <v>693</v>
      </c>
      <c r="G549" s="34" t="s">
        <v>36</v>
      </c>
      <c r="H549" s="34" t="s">
        <v>135</v>
      </c>
      <c r="I549" s="30">
        <v>43252.0</v>
      </c>
      <c r="J549" s="36"/>
      <c r="K549" s="30">
        <v>44348.0</v>
      </c>
      <c r="L549" s="31">
        <v>1.0</v>
      </c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26" t="s">
        <v>375</v>
      </c>
      <c r="B550" s="27" t="s">
        <v>18</v>
      </c>
      <c r="C550" s="27" t="s">
        <v>1310</v>
      </c>
      <c r="D550" s="27" t="s">
        <v>1311</v>
      </c>
      <c r="E550" s="27" t="s">
        <v>21</v>
      </c>
      <c r="F550" s="27" t="s">
        <v>35</v>
      </c>
      <c r="G550" s="27" t="s">
        <v>23</v>
      </c>
      <c r="H550" s="27" t="s">
        <v>57</v>
      </c>
      <c r="I550" s="28">
        <v>43617.0</v>
      </c>
      <c r="J550" s="29"/>
      <c r="K550" s="30">
        <v>44713.0</v>
      </c>
      <c r="L550" s="31">
        <v>1.0</v>
      </c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26" t="s">
        <v>1312</v>
      </c>
      <c r="B551" s="27" t="s">
        <v>223</v>
      </c>
      <c r="C551" s="27" t="s">
        <v>1313</v>
      </c>
      <c r="D551" s="27" t="s">
        <v>282</v>
      </c>
      <c r="E551" s="27" t="s">
        <v>21</v>
      </c>
      <c r="F551" s="27" t="s">
        <v>99</v>
      </c>
      <c r="G551" s="27" t="s">
        <v>23</v>
      </c>
      <c r="H551" s="27" t="s">
        <v>795</v>
      </c>
      <c r="I551" s="28">
        <v>43252.0</v>
      </c>
      <c r="J551" s="29"/>
      <c r="K551" s="30">
        <v>44348.0</v>
      </c>
      <c r="L551" s="31">
        <v>1.0</v>
      </c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26" t="s">
        <v>1312</v>
      </c>
      <c r="B552" s="27" t="s">
        <v>1314</v>
      </c>
      <c r="C552" s="32"/>
      <c r="D552" s="27" t="s">
        <v>27</v>
      </c>
      <c r="E552" s="27" t="s">
        <v>39</v>
      </c>
      <c r="F552" s="27" t="s">
        <v>40</v>
      </c>
      <c r="G552" s="27" t="s">
        <v>1315</v>
      </c>
      <c r="H552" s="27" t="s">
        <v>40</v>
      </c>
      <c r="I552" s="28">
        <v>43132.0</v>
      </c>
      <c r="J552" s="28">
        <v>44348.0</v>
      </c>
      <c r="K552" s="30">
        <v>45444.0</v>
      </c>
      <c r="L552" s="31">
        <v>2.0</v>
      </c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26" t="s">
        <v>1316</v>
      </c>
      <c r="B553" s="27" t="s">
        <v>116</v>
      </c>
      <c r="C553" s="32"/>
      <c r="D553" s="27" t="s">
        <v>27</v>
      </c>
      <c r="E553" s="27" t="s">
        <v>21</v>
      </c>
      <c r="F553" s="27" t="s">
        <v>155</v>
      </c>
      <c r="G553" s="27" t="s">
        <v>167</v>
      </c>
      <c r="H553" s="27" t="s">
        <v>155</v>
      </c>
      <c r="I553" s="28">
        <v>43132.0</v>
      </c>
      <c r="J553" s="28">
        <v>44348.0</v>
      </c>
      <c r="K553" s="30">
        <v>45444.0</v>
      </c>
      <c r="L553" s="31">
        <v>2.0</v>
      </c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26" t="s">
        <v>1317</v>
      </c>
      <c r="B554" s="27" t="s">
        <v>145</v>
      </c>
      <c r="C554" s="27" t="s">
        <v>629</v>
      </c>
      <c r="D554" s="27" t="s">
        <v>94</v>
      </c>
      <c r="E554" s="27" t="s">
        <v>21</v>
      </c>
      <c r="F554" s="27" t="s">
        <v>79</v>
      </c>
      <c r="G554" s="27" t="s">
        <v>23</v>
      </c>
      <c r="H554" s="27" t="s">
        <v>295</v>
      </c>
      <c r="I554" s="28">
        <v>43252.0</v>
      </c>
      <c r="J554" s="29"/>
      <c r="K554" s="30">
        <v>44348.0</v>
      </c>
      <c r="L554" s="31">
        <v>1.0</v>
      </c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26" t="s">
        <v>1318</v>
      </c>
      <c r="B555" s="27" t="s">
        <v>145</v>
      </c>
      <c r="C555" s="27" t="s">
        <v>1319</v>
      </c>
      <c r="D555" s="27" t="s">
        <v>1311</v>
      </c>
      <c r="E555" s="27" t="s">
        <v>21</v>
      </c>
      <c r="F555" s="27" t="s">
        <v>35</v>
      </c>
      <c r="G555" s="27" t="s">
        <v>23</v>
      </c>
      <c r="H555" s="27" t="s">
        <v>57</v>
      </c>
      <c r="I555" s="28">
        <v>43617.0</v>
      </c>
      <c r="J555" s="29"/>
      <c r="K555" s="30">
        <v>44713.0</v>
      </c>
      <c r="L555" s="31">
        <v>1.0</v>
      </c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26" t="s">
        <v>1320</v>
      </c>
      <c r="B556" s="27" t="s">
        <v>150</v>
      </c>
      <c r="C556" s="27" t="s">
        <v>363</v>
      </c>
      <c r="D556" s="27" t="s">
        <v>143</v>
      </c>
      <c r="E556" s="27" t="s">
        <v>21</v>
      </c>
      <c r="F556" s="27" t="s">
        <v>29</v>
      </c>
      <c r="G556" s="27" t="s">
        <v>409</v>
      </c>
      <c r="H556" s="27" t="s">
        <v>24</v>
      </c>
      <c r="I556" s="28">
        <v>43136.0</v>
      </c>
      <c r="J556" s="28">
        <v>44348.0</v>
      </c>
      <c r="K556" s="30">
        <v>45809.0</v>
      </c>
      <c r="L556" s="31">
        <v>2.0</v>
      </c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26" t="s">
        <v>1321</v>
      </c>
      <c r="B557" s="27" t="s">
        <v>1322</v>
      </c>
      <c r="C557" s="27" t="s">
        <v>301</v>
      </c>
      <c r="D557" s="27" t="s">
        <v>34</v>
      </c>
      <c r="E557" s="27" t="s">
        <v>21</v>
      </c>
      <c r="F557" s="27" t="s">
        <v>99</v>
      </c>
      <c r="G557" s="27" t="s">
        <v>46</v>
      </c>
      <c r="H557" s="27" t="s">
        <v>295</v>
      </c>
      <c r="I557" s="28">
        <v>43252.0</v>
      </c>
      <c r="J557" s="29"/>
      <c r="K557" s="30">
        <v>44348.0</v>
      </c>
      <c r="L557" s="31">
        <v>1.0</v>
      </c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26" t="s">
        <v>1323</v>
      </c>
      <c r="B558" s="27" t="s">
        <v>1324</v>
      </c>
      <c r="C558" s="27" t="s">
        <v>1325</v>
      </c>
      <c r="D558" s="27" t="s">
        <v>222</v>
      </c>
      <c r="E558" s="27" t="s">
        <v>21</v>
      </c>
      <c r="F558" s="27" t="s">
        <v>95</v>
      </c>
      <c r="G558" s="27" t="s">
        <v>36</v>
      </c>
      <c r="H558" s="27" t="s">
        <v>241</v>
      </c>
      <c r="I558" s="28">
        <v>43617.0</v>
      </c>
      <c r="J558" s="29"/>
      <c r="K558" s="30">
        <v>44713.0</v>
      </c>
      <c r="L558" s="31">
        <v>1.0</v>
      </c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26" t="s">
        <v>1326</v>
      </c>
      <c r="B559" s="27" t="s">
        <v>1327</v>
      </c>
      <c r="C559" s="32"/>
      <c r="D559" s="27" t="s">
        <v>27</v>
      </c>
      <c r="E559" s="27" t="s">
        <v>285</v>
      </c>
      <c r="F559" s="27" t="s">
        <v>40</v>
      </c>
      <c r="G559" s="27" t="s">
        <v>797</v>
      </c>
      <c r="H559" s="27" t="s">
        <v>40</v>
      </c>
      <c r="I559" s="28">
        <v>43132.0</v>
      </c>
      <c r="J559" s="28">
        <v>44348.0</v>
      </c>
      <c r="K559" s="30">
        <v>45444.0</v>
      </c>
      <c r="L559" s="31">
        <v>2.0</v>
      </c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26" t="s">
        <v>1328</v>
      </c>
      <c r="B560" s="27" t="s">
        <v>631</v>
      </c>
      <c r="C560" s="32"/>
      <c r="D560" s="27" t="s">
        <v>27</v>
      </c>
      <c r="E560" s="27" t="s">
        <v>21</v>
      </c>
      <c r="F560" s="27" t="s">
        <v>155</v>
      </c>
      <c r="G560" s="27" t="s">
        <v>432</v>
      </c>
      <c r="H560" s="27" t="s">
        <v>155</v>
      </c>
      <c r="I560" s="28">
        <v>43132.0</v>
      </c>
      <c r="J560" s="28">
        <v>44348.0</v>
      </c>
      <c r="K560" s="30">
        <v>45444.0</v>
      </c>
      <c r="L560" s="31">
        <v>2.0</v>
      </c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26" t="s">
        <v>1329</v>
      </c>
      <c r="B561" s="27" t="s">
        <v>120</v>
      </c>
      <c r="C561" s="27" t="s">
        <v>1330</v>
      </c>
      <c r="D561" s="27" t="s">
        <v>317</v>
      </c>
      <c r="E561" s="27" t="s">
        <v>21</v>
      </c>
      <c r="F561" s="27" t="s">
        <v>109</v>
      </c>
      <c r="G561" s="27" t="s">
        <v>23</v>
      </c>
      <c r="H561" s="27" t="s">
        <v>119</v>
      </c>
      <c r="I561" s="28">
        <v>43617.0</v>
      </c>
      <c r="J561" s="29"/>
      <c r="K561" s="30">
        <v>44713.0</v>
      </c>
      <c r="L561" s="31">
        <v>1.0</v>
      </c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26" t="s">
        <v>1331</v>
      </c>
      <c r="B562" s="27" t="s">
        <v>1332</v>
      </c>
      <c r="C562" s="32"/>
      <c r="D562" s="27" t="s">
        <v>27</v>
      </c>
      <c r="E562" s="27" t="s">
        <v>285</v>
      </c>
      <c r="F562" s="27" t="s">
        <v>40</v>
      </c>
      <c r="G562" s="27" t="s">
        <v>822</v>
      </c>
      <c r="H562" s="27" t="s">
        <v>40</v>
      </c>
      <c r="I562" s="28">
        <v>43132.0</v>
      </c>
      <c r="J562" s="28">
        <v>44348.0</v>
      </c>
      <c r="K562" s="30">
        <v>45444.0</v>
      </c>
      <c r="L562" s="31">
        <v>2.0</v>
      </c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26" t="s">
        <v>1333</v>
      </c>
      <c r="B563" s="27" t="s">
        <v>128</v>
      </c>
      <c r="C563" s="27" t="s">
        <v>146</v>
      </c>
      <c r="D563" s="27" t="s">
        <v>94</v>
      </c>
      <c r="E563" s="27" t="s">
        <v>21</v>
      </c>
      <c r="F563" s="27" t="s">
        <v>109</v>
      </c>
      <c r="G563" s="27" t="s">
        <v>23</v>
      </c>
      <c r="H563" s="27" t="s">
        <v>37</v>
      </c>
      <c r="I563" s="28">
        <v>43617.0</v>
      </c>
      <c r="J563" s="29"/>
      <c r="K563" s="30">
        <v>44713.0</v>
      </c>
      <c r="L563" s="31">
        <v>1.0</v>
      </c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26" t="s">
        <v>1334</v>
      </c>
      <c r="B564" s="27" t="s">
        <v>145</v>
      </c>
      <c r="C564" s="27" t="s">
        <v>1335</v>
      </c>
      <c r="D564" s="27" t="s">
        <v>282</v>
      </c>
      <c r="E564" s="27" t="s">
        <v>21</v>
      </c>
      <c r="F564" s="27" t="s">
        <v>35</v>
      </c>
      <c r="G564" s="27" t="s">
        <v>36</v>
      </c>
      <c r="H564" s="27" t="s">
        <v>119</v>
      </c>
      <c r="I564" s="28">
        <v>43617.0</v>
      </c>
      <c r="J564" s="29"/>
      <c r="K564" s="30">
        <v>44713.0</v>
      </c>
      <c r="L564" s="31">
        <v>1.0</v>
      </c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26" t="s">
        <v>1336</v>
      </c>
      <c r="B565" s="27" t="s">
        <v>647</v>
      </c>
      <c r="C565" s="27" t="s">
        <v>191</v>
      </c>
      <c r="D565" s="27" t="s">
        <v>44</v>
      </c>
      <c r="E565" s="27" t="s">
        <v>21</v>
      </c>
      <c r="F565" s="27" t="s">
        <v>99</v>
      </c>
      <c r="G565" s="27" t="s">
        <v>46</v>
      </c>
      <c r="H565" s="27" t="s">
        <v>100</v>
      </c>
      <c r="I565" s="28">
        <v>42887.0</v>
      </c>
      <c r="J565" s="29"/>
      <c r="K565" s="30">
        <v>43983.0</v>
      </c>
      <c r="L565" s="31">
        <v>1.0</v>
      </c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26" t="s">
        <v>1337</v>
      </c>
      <c r="B566" s="27" t="s">
        <v>1338</v>
      </c>
      <c r="C566" s="27" t="s">
        <v>1339</v>
      </c>
      <c r="D566" s="27" t="s">
        <v>222</v>
      </c>
      <c r="E566" s="27" t="s">
        <v>21</v>
      </c>
      <c r="F566" s="27" t="s">
        <v>179</v>
      </c>
      <c r="G566" s="27" t="s">
        <v>46</v>
      </c>
      <c r="H566" s="27" t="s">
        <v>126</v>
      </c>
      <c r="I566" s="28">
        <v>43617.0</v>
      </c>
      <c r="J566" s="29"/>
      <c r="K566" s="30">
        <v>44713.0</v>
      </c>
      <c r="L566" s="31">
        <v>1.0</v>
      </c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26" t="s">
        <v>1340</v>
      </c>
      <c r="B567" s="27" t="s">
        <v>1341</v>
      </c>
      <c r="C567" s="27" t="s">
        <v>1342</v>
      </c>
      <c r="D567" s="27" t="s">
        <v>118</v>
      </c>
      <c r="E567" s="27" t="s">
        <v>21</v>
      </c>
      <c r="F567" s="27" t="s">
        <v>99</v>
      </c>
      <c r="G567" s="27" t="s">
        <v>23</v>
      </c>
      <c r="H567" s="27" t="s">
        <v>331</v>
      </c>
      <c r="I567" s="28">
        <v>43252.0</v>
      </c>
      <c r="J567" s="29"/>
      <c r="K567" s="30">
        <v>44348.0</v>
      </c>
      <c r="L567" s="31">
        <v>1.0</v>
      </c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33" t="s">
        <v>1343</v>
      </c>
      <c r="B568" s="34" t="s">
        <v>266</v>
      </c>
      <c r="C568" s="35"/>
      <c r="D568" s="34" t="s">
        <v>27</v>
      </c>
      <c r="E568" s="34" t="s">
        <v>27</v>
      </c>
      <c r="F568" s="27" t="s">
        <v>290</v>
      </c>
      <c r="G568" s="27" t="s">
        <v>104</v>
      </c>
      <c r="H568" s="34" t="s">
        <v>287</v>
      </c>
      <c r="I568" s="30">
        <v>42887.0</v>
      </c>
      <c r="J568" s="36"/>
      <c r="K568" s="30">
        <v>43983.0</v>
      </c>
      <c r="L568" s="31">
        <v>1.0</v>
      </c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26" t="s">
        <v>1344</v>
      </c>
      <c r="B569" s="27" t="s">
        <v>1345</v>
      </c>
      <c r="C569" s="32"/>
      <c r="D569" s="32"/>
      <c r="E569" s="27" t="s">
        <v>1346</v>
      </c>
      <c r="F569" s="27" t="s">
        <v>739</v>
      </c>
      <c r="G569" s="27" t="s">
        <v>36</v>
      </c>
      <c r="H569" s="27" t="s">
        <v>126</v>
      </c>
      <c r="I569" s="28">
        <v>43617.0</v>
      </c>
      <c r="J569" s="28">
        <v>44713.0</v>
      </c>
      <c r="K569" s="30">
        <v>45809.0</v>
      </c>
      <c r="L569" s="31">
        <v>2.0</v>
      </c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26" t="s">
        <v>1347</v>
      </c>
      <c r="B570" s="27" t="s">
        <v>811</v>
      </c>
      <c r="C570" s="27" t="s">
        <v>1348</v>
      </c>
      <c r="D570" s="27" t="s">
        <v>143</v>
      </c>
      <c r="E570" s="27" t="s">
        <v>21</v>
      </c>
      <c r="F570" s="27" t="s">
        <v>360</v>
      </c>
      <c r="G570" s="27" t="s">
        <v>23</v>
      </c>
      <c r="H570" s="27" t="s">
        <v>126</v>
      </c>
      <c r="I570" s="28">
        <v>43617.0</v>
      </c>
      <c r="J570" s="29"/>
      <c r="K570" s="30">
        <v>44713.0</v>
      </c>
      <c r="L570" s="31">
        <v>1.0</v>
      </c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26" t="s">
        <v>1349</v>
      </c>
      <c r="B571" s="27" t="s">
        <v>1350</v>
      </c>
      <c r="C571" s="32"/>
      <c r="D571" s="27" t="s">
        <v>27</v>
      </c>
      <c r="E571" s="27" t="s">
        <v>60</v>
      </c>
      <c r="F571" s="27" t="s">
        <v>29</v>
      </c>
      <c r="G571" s="27" t="s">
        <v>845</v>
      </c>
      <c r="H571" s="27" t="s">
        <v>29</v>
      </c>
      <c r="I571" s="28">
        <v>42401.0</v>
      </c>
      <c r="J571" s="29"/>
      <c r="K571" s="30">
        <v>44713.0</v>
      </c>
      <c r="L571" s="31">
        <v>1.0</v>
      </c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26" t="s">
        <v>1351</v>
      </c>
      <c r="B572" s="27" t="s">
        <v>203</v>
      </c>
      <c r="C572" s="27" t="s">
        <v>1352</v>
      </c>
      <c r="D572" s="27" t="s">
        <v>130</v>
      </c>
      <c r="E572" s="27" t="s">
        <v>21</v>
      </c>
      <c r="F572" s="27" t="s">
        <v>35</v>
      </c>
      <c r="G572" s="27" t="s">
        <v>23</v>
      </c>
      <c r="H572" s="27" t="s">
        <v>152</v>
      </c>
      <c r="I572" s="28">
        <v>43617.0</v>
      </c>
      <c r="J572" s="29"/>
      <c r="K572" s="30">
        <v>44713.0</v>
      </c>
      <c r="L572" s="31">
        <v>1.0</v>
      </c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26" t="s">
        <v>1353</v>
      </c>
      <c r="B573" s="27" t="s">
        <v>1354</v>
      </c>
      <c r="C573" s="27" t="s">
        <v>1355</v>
      </c>
      <c r="D573" s="27" t="s">
        <v>20</v>
      </c>
      <c r="E573" s="27" t="s">
        <v>21</v>
      </c>
      <c r="F573" s="27" t="s">
        <v>1356</v>
      </c>
      <c r="G573" s="27" t="s">
        <v>764</v>
      </c>
      <c r="H573" s="27" t="s">
        <v>24</v>
      </c>
      <c r="I573" s="28">
        <v>41339.0</v>
      </c>
      <c r="J573" s="29"/>
      <c r="K573" s="30">
        <v>45809.0</v>
      </c>
      <c r="L573" s="31">
        <v>1.0</v>
      </c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26" t="s">
        <v>1357</v>
      </c>
      <c r="B574" s="27" t="s">
        <v>1358</v>
      </c>
      <c r="C574" s="32"/>
      <c r="D574" s="27" t="s">
        <v>27</v>
      </c>
      <c r="E574" s="27" t="s">
        <v>28</v>
      </c>
      <c r="F574" s="27" t="s">
        <v>29</v>
      </c>
      <c r="G574" s="27" t="s">
        <v>578</v>
      </c>
      <c r="H574" s="27" t="s">
        <v>29</v>
      </c>
      <c r="I574" s="28">
        <v>42767.0</v>
      </c>
      <c r="J574" s="28">
        <v>43983.0</v>
      </c>
      <c r="K574" s="30">
        <v>45078.0</v>
      </c>
      <c r="L574" s="31">
        <v>2.0</v>
      </c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26" t="s">
        <v>1359</v>
      </c>
      <c r="B575" s="27" t="s">
        <v>953</v>
      </c>
      <c r="C575" s="27" t="s">
        <v>1360</v>
      </c>
      <c r="D575" s="27" t="s">
        <v>130</v>
      </c>
      <c r="E575" s="27" t="s">
        <v>21</v>
      </c>
      <c r="F575" s="27" t="s">
        <v>35</v>
      </c>
      <c r="G575" s="27" t="s">
        <v>23</v>
      </c>
      <c r="H575" s="27" t="s">
        <v>152</v>
      </c>
      <c r="I575" s="28">
        <v>43617.0</v>
      </c>
      <c r="J575" s="29"/>
      <c r="K575" s="30">
        <v>44713.0</v>
      </c>
      <c r="L575" s="31">
        <v>1.0</v>
      </c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26" t="s">
        <v>1361</v>
      </c>
      <c r="B576" s="27" t="s">
        <v>1362</v>
      </c>
      <c r="C576" s="27" t="s">
        <v>514</v>
      </c>
      <c r="D576" s="27" t="s">
        <v>78</v>
      </c>
      <c r="E576" s="27" t="s">
        <v>21</v>
      </c>
      <c r="F576" s="27" t="s">
        <v>623</v>
      </c>
      <c r="G576" s="27" t="s">
        <v>23</v>
      </c>
      <c r="H576" s="27" t="s">
        <v>126</v>
      </c>
      <c r="I576" s="28">
        <v>43617.0</v>
      </c>
      <c r="J576" s="28">
        <v>44713.0</v>
      </c>
      <c r="K576" s="30">
        <v>45809.0</v>
      </c>
      <c r="L576" s="31">
        <v>2.0</v>
      </c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26" t="s">
        <v>1363</v>
      </c>
      <c r="B577" s="27" t="s">
        <v>293</v>
      </c>
      <c r="C577" s="27" t="s">
        <v>1364</v>
      </c>
      <c r="D577" s="27" t="s">
        <v>428</v>
      </c>
      <c r="E577" s="27" t="s">
        <v>21</v>
      </c>
      <c r="F577" s="27" t="s">
        <v>79</v>
      </c>
      <c r="G577" s="27" t="s">
        <v>46</v>
      </c>
      <c r="H577" s="27" t="s">
        <v>244</v>
      </c>
      <c r="I577" s="28">
        <v>42887.0</v>
      </c>
      <c r="J577" s="29"/>
      <c r="K577" s="30">
        <v>43983.0</v>
      </c>
      <c r="L577" s="31">
        <v>1.0</v>
      </c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26" t="s">
        <v>1365</v>
      </c>
      <c r="B578" s="27" t="s">
        <v>1122</v>
      </c>
      <c r="C578" s="32"/>
      <c r="D578" s="27" t="s">
        <v>27</v>
      </c>
      <c r="E578" s="27" t="s">
        <v>60</v>
      </c>
      <c r="F578" s="27" t="s">
        <v>29</v>
      </c>
      <c r="G578" s="27" t="s">
        <v>1366</v>
      </c>
      <c r="H578" s="27" t="s">
        <v>29</v>
      </c>
      <c r="I578" s="28">
        <v>42401.0</v>
      </c>
      <c r="J578" s="29"/>
      <c r="K578" s="30">
        <v>44713.0</v>
      </c>
      <c r="L578" s="31">
        <v>1.0</v>
      </c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26" t="s">
        <v>1367</v>
      </c>
      <c r="B579" s="27" t="s">
        <v>1368</v>
      </c>
      <c r="C579" s="32"/>
      <c r="D579" s="27" t="s">
        <v>27</v>
      </c>
      <c r="E579" s="27" t="s">
        <v>1222</v>
      </c>
      <c r="F579" s="27" t="s">
        <v>29</v>
      </c>
      <c r="G579" s="27" t="s">
        <v>46</v>
      </c>
      <c r="H579" s="27" t="s">
        <v>29</v>
      </c>
      <c r="I579" s="28">
        <v>43136.0</v>
      </c>
      <c r="J579" s="28">
        <v>44348.0</v>
      </c>
      <c r="K579" s="30">
        <v>45444.0</v>
      </c>
      <c r="L579" s="31">
        <v>2.0</v>
      </c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26" t="s">
        <v>1074</v>
      </c>
      <c r="B580" s="27" t="s">
        <v>321</v>
      </c>
      <c r="C580" s="27" t="s">
        <v>504</v>
      </c>
      <c r="D580" s="27" t="s">
        <v>222</v>
      </c>
      <c r="E580" s="27" t="s">
        <v>21</v>
      </c>
      <c r="F580" s="27" t="s">
        <v>45</v>
      </c>
      <c r="G580" s="27" t="s">
        <v>23</v>
      </c>
      <c r="H580" s="27" t="s">
        <v>328</v>
      </c>
      <c r="I580" s="28">
        <v>43252.0</v>
      </c>
      <c r="J580" s="29"/>
      <c r="K580" s="30">
        <v>44348.0</v>
      </c>
      <c r="L580" s="31">
        <v>1.0</v>
      </c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33" t="s">
        <v>1369</v>
      </c>
      <c r="B581" s="34" t="s">
        <v>1370</v>
      </c>
      <c r="C581" s="35"/>
      <c r="D581" s="35"/>
      <c r="E581" s="34" t="s">
        <v>187</v>
      </c>
      <c r="F581" s="34" t="s">
        <v>40</v>
      </c>
      <c r="G581" s="34" t="s">
        <v>1371</v>
      </c>
      <c r="H581" s="34" t="s">
        <v>24</v>
      </c>
      <c r="I581" s="28">
        <v>42060.0</v>
      </c>
      <c r="J581" s="29"/>
      <c r="K581" s="30">
        <v>45809.0</v>
      </c>
      <c r="L581" s="31">
        <v>1.0</v>
      </c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26" t="s">
        <v>1372</v>
      </c>
      <c r="B582" s="27" t="s">
        <v>469</v>
      </c>
      <c r="C582" s="27" t="s">
        <v>1373</v>
      </c>
      <c r="D582" s="27" t="s">
        <v>317</v>
      </c>
      <c r="E582" s="27" t="s">
        <v>21</v>
      </c>
      <c r="F582" s="27" t="s">
        <v>558</v>
      </c>
      <c r="G582" s="27" t="s">
        <v>46</v>
      </c>
      <c r="H582" s="27" t="s">
        <v>126</v>
      </c>
      <c r="I582" s="28">
        <v>43617.0</v>
      </c>
      <c r="J582" s="28">
        <v>44713.0</v>
      </c>
      <c r="K582" s="30">
        <v>45809.0</v>
      </c>
      <c r="L582" s="31">
        <v>2.0</v>
      </c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26" t="s">
        <v>1374</v>
      </c>
      <c r="B583" s="27" t="s">
        <v>76</v>
      </c>
      <c r="C583" s="27" t="s">
        <v>1375</v>
      </c>
      <c r="D583" s="27" t="s">
        <v>143</v>
      </c>
      <c r="E583" s="27" t="s">
        <v>21</v>
      </c>
      <c r="F583" s="27" t="s">
        <v>109</v>
      </c>
      <c r="G583" s="27" t="s">
        <v>46</v>
      </c>
      <c r="H583" s="27" t="s">
        <v>251</v>
      </c>
      <c r="I583" s="28">
        <v>43617.0</v>
      </c>
      <c r="J583" s="29"/>
      <c r="K583" s="30">
        <v>44713.0</v>
      </c>
      <c r="L583" s="31">
        <v>1.0</v>
      </c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26" t="s">
        <v>1374</v>
      </c>
      <c r="B584" s="27" t="s">
        <v>1376</v>
      </c>
      <c r="C584" s="27" t="s">
        <v>1377</v>
      </c>
      <c r="D584" s="27" t="s">
        <v>143</v>
      </c>
      <c r="E584" s="27" t="s">
        <v>21</v>
      </c>
      <c r="F584" s="27" t="s">
        <v>109</v>
      </c>
      <c r="G584" s="27" t="s">
        <v>46</v>
      </c>
      <c r="H584" s="27" t="s">
        <v>251</v>
      </c>
      <c r="I584" s="28">
        <v>43617.0</v>
      </c>
      <c r="J584" s="28">
        <v>43983.0</v>
      </c>
      <c r="K584" s="30">
        <v>45078.0</v>
      </c>
      <c r="L584" s="31">
        <v>2.0</v>
      </c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26" t="s">
        <v>1378</v>
      </c>
      <c r="B585" s="27" t="s">
        <v>227</v>
      </c>
      <c r="C585" s="27" t="s">
        <v>1379</v>
      </c>
      <c r="D585" s="27" t="s">
        <v>143</v>
      </c>
      <c r="E585" s="27" t="s">
        <v>21</v>
      </c>
      <c r="F585" s="27" t="s">
        <v>367</v>
      </c>
      <c r="G585" s="27" t="s">
        <v>23</v>
      </c>
      <c r="H585" s="27" t="s">
        <v>126</v>
      </c>
      <c r="I585" s="28">
        <v>43617.0</v>
      </c>
      <c r="J585" s="28">
        <v>44713.0</v>
      </c>
      <c r="K585" s="30">
        <v>45809.0</v>
      </c>
      <c r="L585" s="31">
        <v>2.0</v>
      </c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26" t="s">
        <v>1380</v>
      </c>
      <c r="B586" s="27" t="s">
        <v>1381</v>
      </c>
      <c r="C586" s="27" t="s">
        <v>1382</v>
      </c>
      <c r="D586" s="27" t="s">
        <v>108</v>
      </c>
      <c r="E586" s="27" t="s">
        <v>21</v>
      </c>
      <c r="F586" s="27" t="s">
        <v>109</v>
      </c>
      <c r="G586" s="27" t="s">
        <v>46</v>
      </c>
      <c r="H586" s="27" t="s">
        <v>119</v>
      </c>
      <c r="I586" s="28">
        <v>43617.0</v>
      </c>
      <c r="J586" s="29"/>
      <c r="K586" s="30">
        <v>44713.0</v>
      </c>
      <c r="L586" s="31">
        <v>1.0</v>
      </c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26" t="s">
        <v>1383</v>
      </c>
      <c r="B587" s="27" t="s">
        <v>223</v>
      </c>
      <c r="C587" s="27" t="s">
        <v>1048</v>
      </c>
      <c r="D587" s="27" t="s">
        <v>94</v>
      </c>
      <c r="E587" s="27" t="s">
        <v>21</v>
      </c>
      <c r="F587" s="27" t="s">
        <v>370</v>
      </c>
      <c r="G587" s="27" t="s">
        <v>665</v>
      </c>
      <c r="H587" s="27" t="s">
        <v>370</v>
      </c>
      <c r="I587" s="28">
        <v>43132.0</v>
      </c>
      <c r="J587" s="28">
        <v>44348.0</v>
      </c>
      <c r="K587" s="30">
        <v>45444.0</v>
      </c>
      <c r="L587" s="31">
        <v>2.0</v>
      </c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26" t="s">
        <v>1384</v>
      </c>
      <c r="B588" s="27" t="s">
        <v>223</v>
      </c>
      <c r="C588" s="27" t="s">
        <v>1048</v>
      </c>
      <c r="D588" s="27" t="s">
        <v>94</v>
      </c>
      <c r="E588" s="27" t="s">
        <v>21</v>
      </c>
      <c r="F588" s="27" t="s">
        <v>370</v>
      </c>
      <c r="G588" s="27" t="s">
        <v>270</v>
      </c>
      <c r="H588" s="27" t="s">
        <v>24</v>
      </c>
      <c r="I588" s="28">
        <v>43132.0</v>
      </c>
      <c r="J588" s="28">
        <v>44348.0</v>
      </c>
      <c r="K588" s="30">
        <v>45809.0</v>
      </c>
      <c r="L588" s="31">
        <v>2.0</v>
      </c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26" t="s">
        <v>1385</v>
      </c>
      <c r="B589" s="27" t="s">
        <v>275</v>
      </c>
      <c r="C589" s="27" t="s">
        <v>1386</v>
      </c>
      <c r="D589" s="27" t="s">
        <v>78</v>
      </c>
      <c r="E589" s="27" t="s">
        <v>21</v>
      </c>
      <c r="F589" s="27" t="s">
        <v>35</v>
      </c>
      <c r="G589" s="27" t="s">
        <v>46</v>
      </c>
      <c r="H589" s="27" t="s">
        <v>434</v>
      </c>
      <c r="I589" s="28">
        <v>43617.0</v>
      </c>
      <c r="J589" s="29"/>
      <c r="K589" s="30">
        <v>44713.0</v>
      </c>
      <c r="L589" s="31">
        <v>1.0</v>
      </c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26" t="s">
        <v>1387</v>
      </c>
      <c r="B590" s="27" t="s">
        <v>223</v>
      </c>
      <c r="C590" s="27" t="s">
        <v>254</v>
      </c>
      <c r="D590" s="27" t="s">
        <v>143</v>
      </c>
      <c r="E590" s="27" t="s">
        <v>21</v>
      </c>
      <c r="F590" s="27" t="s">
        <v>90</v>
      </c>
      <c r="G590" s="27" t="s">
        <v>23</v>
      </c>
      <c r="H590" s="27" t="s">
        <v>255</v>
      </c>
      <c r="I590" s="28">
        <v>42887.0</v>
      </c>
      <c r="J590" s="29"/>
      <c r="K590" s="30">
        <v>43983.0</v>
      </c>
      <c r="L590" s="31">
        <v>1.0</v>
      </c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26" t="s">
        <v>1388</v>
      </c>
      <c r="B591" s="27" t="s">
        <v>297</v>
      </c>
      <c r="C591" s="32"/>
      <c r="D591" s="27" t="s">
        <v>224</v>
      </c>
      <c r="E591" s="27" t="s">
        <v>21</v>
      </c>
      <c r="F591" s="27" t="s">
        <v>408</v>
      </c>
      <c r="G591" s="27" t="s">
        <v>797</v>
      </c>
      <c r="H591" s="27" t="s">
        <v>408</v>
      </c>
      <c r="I591" s="28">
        <v>42772.0</v>
      </c>
      <c r="J591" s="28">
        <v>43983.0</v>
      </c>
      <c r="K591" s="30">
        <v>45078.0</v>
      </c>
      <c r="L591" s="31">
        <v>2.0</v>
      </c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26" t="s">
        <v>1290</v>
      </c>
      <c r="B592" s="27" t="s">
        <v>1389</v>
      </c>
      <c r="C592" s="27" t="s">
        <v>1390</v>
      </c>
      <c r="D592" s="27" t="s">
        <v>20</v>
      </c>
      <c r="E592" s="27" t="s">
        <v>21</v>
      </c>
      <c r="F592" s="27" t="s">
        <v>45</v>
      </c>
      <c r="G592" s="27" t="s">
        <v>46</v>
      </c>
      <c r="H592" s="27" t="s">
        <v>229</v>
      </c>
      <c r="I592" s="28">
        <v>42887.0</v>
      </c>
      <c r="J592" s="29"/>
      <c r="K592" s="30">
        <v>43983.0</v>
      </c>
      <c r="L592" s="31">
        <v>1.0</v>
      </c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26" t="s">
        <v>1290</v>
      </c>
      <c r="B593" s="27" t="s">
        <v>231</v>
      </c>
      <c r="C593" s="27" t="s">
        <v>301</v>
      </c>
      <c r="D593" s="27" t="s">
        <v>34</v>
      </c>
      <c r="E593" s="27" t="s">
        <v>21</v>
      </c>
      <c r="F593" s="27" t="s">
        <v>45</v>
      </c>
      <c r="G593" s="27" t="s">
        <v>23</v>
      </c>
      <c r="H593" s="27" t="s">
        <v>207</v>
      </c>
      <c r="I593" s="28">
        <v>42887.0</v>
      </c>
      <c r="J593" s="28">
        <v>43983.0</v>
      </c>
      <c r="K593" s="30">
        <v>45078.0</v>
      </c>
      <c r="L593" s="31">
        <v>2.0</v>
      </c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26" t="s">
        <v>1290</v>
      </c>
      <c r="B594" s="27" t="s">
        <v>1391</v>
      </c>
      <c r="C594" s="27" t="s">
        <v>1392</v>
      </c>
      <c r="D594" s="27" t="s">
        <v>143</v>
      </c>
      <c r="E594" s="27" t="s">
        <v>21</v>
      </c>
      <c r="F594" s="27" t="s">
        <v>90</v>
      </c>
      <c r="G594" s="27" t="s">
        <v>46</v>
      </c>
      <c r="H594" s="27" t="s">
        <v>795</v>
      </c>
      <c r="I594" s="28">
        <v>43252.0</v>
      </c>
      <c r="J594" s="29"/>
      <c r="K594" s="30">
        <v>44348.0</v>
      </c>
      <c r="L594" s="31">
        <v>1.0</v>
      </c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26" t="s">
        <v>1393</v>
      </c>
      <c r="B595" s="27" t="s">
        <v>1394</v>
      </c>
      <c r="C595" s="32"/>
      <c r="D595" s="32"/>
      <c r="E595" s="27" t="s">
        <v>334</v>
      </c>
      <c r="F595" s="27" t="s">
        <v>367</v>
      </c>
      <c r="G595" s="27" t="s">
        <v>137</v>
      </c>
      <c r="H595" s="27" t="s">
        <v>135</v>
      </c>
      <c r="I595" s="28">
        <v>43252.0</v>
      </c>
      <c r="J595" s="28">
        <v>44348.0</v>
      </c>
      <c r="K595" s="30">
        <v>45444.0</v>
      </c>
      <c r="L595" s="31">
        <v>2.0</v>
      </c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26" t="s">
        <v>1395</v>
      </c>
      <c r="B596" s="27" t="s">
        <v>128</v>
      </c>
      <c r="C596" s="27" t="s">
        <v>1396</v>
      </c>
      <c r="D596" s="27" t="s">
        <v>44</v>
      </c>
      <c r="E596" s="27" t="s">
        <v>21</v>
      </c>
      <c r="F596" s="27" t="s">
        <v>35</v>
      </c>
      <c r="G596" s="27" t="s">
        <v>23</v>
      </c>
      <c r="H596" s="27" t="s">
        <v>110</v>
      </c>
      <c r="I596" s="28">
        <v>43617.0</v>
      </c>
      <c r="J596" s="29"/>
      <c r="K596" s="30">
        <v>44713.0</v>
      </c>
      <c r="L596" s="31">
        <v>1.0</v>
      </c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26" t="s">
        <v>981</v>
      </c>
      <c r="B597" s="27" t="s">
        <v>1397</v>
      </c>
      <c r="C597" s="32"/>
      <c r="D597" s="27" t="s">
        <v>27</v>
      </c>
      <c r="E597" s="27" t="s">
        <v>585</v>
      </c>
      <c r="F597" s="27" t="s">
        <v>29</v>
      </c>
      <c r="G597" s="27" t="s">
        <v>764</v>
      </c>
      <c r="H597" s="27" t="s">
        <v>29</v>
      </c>
      <c r="I597" s="28">
        <v>42401.0</v>
      </c>
      <c r="J597" s="29"/>
      <c r="K597" s="30">
        <v>44713.0</v>
      </c>
      <c r="L597" s="31">
        <v>1.0</v>
      </c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26" t="s">
        <v>981</v>
      </c>
      <c r="B598" s="27" t="s">
        <v>1398</v>
      </c>
      <c r="C598" s="32"/>
      <c r="D598" s="27" t="s">
        <v>27</v>
      </c>
      <c r="E598" s="27" t="s">
        <v>60</v>
      </c>
      <c r="F598" s="27" t="s">
        <v>29</v>
      </c>
      <c r="G598" s="27" t="s">
        <v>845</v>
      </c>
      <c r="H598" s="27" t="s">
        <v>29</v>
      </c>
      <c r="I598" s="28">
        <v>42401.0</v>
      </c>
      <c r="J598" s="29"/>
      <c r="K598" s="30">
        <v>44713.0</v>
      </c>
      <c r="L598" s="31">
        <v>1.0</v>
      </c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26" t="s">
        <v>1399</v>
      </c>
      <c r="B599" s="27" t="s">
        <v>1101</v>
      </c>
      <c r="C599" s="27" t="s">
        <v>1400</v>
      </c>
      <c r="D599" s="27" t="s">
        <v>282</v>
      </c>
      <c r="E599" s="27" t="s">
        <v>21</v>
      </c>
      <c r="F599" s="27" t="s">
        <v>71</v>
      </c>
      <c r="G599" s="27" t="s">
        <v>23</v>
      </c>
      <c r="H599" s="27" t="s">
        <v>295</v>
      </c>
      <c r="I599" s="28">
        <v>43252.0</v>
      </c>
      <c r="J599" s="29"/>
      <c r="K599" s="30">
        <v>44348.0</v>
      </c>
      <c r="L599" s="31">
        <v>1.0</v>
      </c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26" t="s">
        <v>959</v>
      </c>
      <c r="B600" s="27" t="s">
        <v>120</v>
      </c>
      <c r="C600" s="27" t="s">
        <v>1401</v>
      </c>
      <c r="D600" s="27" t="s">
        <v>343</v>
      </c>
      <c r="E600" s="27" t="s">
        <v>21</v>
      </c>
      <c r="F600" s="27" t="s">
        <v>109</v>
      </c>
      <c r="G600" s="27" t="s">
        <v>23</v>
      </c>
      <c r="H600" s="27" t="s">
        <v>233</v>
      </c>
      <c r="I600" s="28">
        <v>43617.0</v>
      </c>
      <c r="J600" s="29"/>
      <c r="K600" s="30">
        <v>44713.0</v>
      </c>
      <c r="L600" s="31">
        <v>1.0</v>
      </c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26" t="s">
        <v>1402</v>
      </c>
      <c r="B601" s="27" t="s">
        <v>1403</v>
      </c>
      <c r="C601" s="32"/>
      <c r="D601" s="27" t="s">
        <v>27</v>
      </c>
      <c r="E601" s="27" t="s">
        <v>113</v>
      </c>
      <c r="F601" s="27" t="s">
        <v>29</v>
      </c>
      <c r="G601" s="27" t="s">
        <v>845</v>
      </c>
      <c r="H601" s="27" t="s">
        <v>845</v>
      </c>
      <c r="I601" s="28">
        <v>42401.0</v>
      </c>
      <c r="J601" s="29"/>
      <c r="K601" s="30">
        <v>44713.0</v>
      </c>
      <c r="L601" s="31">
        <v>1.0</v>
      </c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33" t="s">
        <v>1404</v>
      </c>
      <c r="B602" s="34" t="s">
        <v>169</v>
      </c>
      <c r="C602" s="34" t="s">
        <v>1405</v>
      </c>
      <c r="D602" s="34" t="s">
        <v>282</v>
      </c>
      <c r="E602" s="34" t="s">
        <v>21</v>
      </c>
      <c r="F602" s="34" t="s">
        <v>638</v>
      </c>
      <c r="G602" s="34" t="s">
        <v>36</v>
      </c>
      <c r="H602" s="34" t="s">
        <v>207</v>
      </c>
      <c r="I602" s="28">
        <v>42887.0</v>
      </c>
      <c r="J602" s="29"/>
      <c r="K602" s="30">
        <v>43983.0</v>
      </c>
      <c r="L602" s="31">
        <v>1.0</v>
      </c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26" t="s">
        <v>1404</v>
      </c>
      <c r="B603" s="27" t="s">
        <v>790</v>
      </c>
      <c r="C603" s="27" t="s">
        <v>1406</v>
      </c>
      <c r="D603" s="27" t="s">
        <v>78</v>
      </c>
      <c r="E603" s="27" t="s">
        <v>21</v>
      </c>
      <c r="F603" s="27" t="s">
        <v>35</v>
      </c>
      <c r="G603" s="27" t="s">
        <v>23</v>
      </c>
      <c r="H603" s="27" t="s">
        <v>434</v>
      </c>
      <c r="I603" s="28">
        <v>43617.0</v>
      </c>
      <c r="J603" s="29"/>
      <c r="K603" s="30">
        <v>44713.0</v>
      </c>
      <c r="L603" s="31">
        <v>1.0</v>
      </c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26" t="s">
        <v>1266</v>
      </c>
      <c r="B604" s="27" t="s">
        <v>1407</v>
      </c>
      <c r="C604" s="32"/>
      <c r="D604" s="27" t="s">
        <v>27</v>
      </c>
      <c r="E604" s="27" t="s">
        <v>1222</v>
      </c>
      <c r="F604" s="27" t="s">
        <v>29</v>
      </c>
      <c r="G604" s="27" t="s">
        <v>41</v>
      </c>
      <c r="H604" s="27" t="s">
        <v>65</v>
      </c>
      <c r="I604" s="28">
        <v>43136.0</v>
      </c>
      <c r="J604" s="28">
        <v>44348.0</v>
      </c>
      <c r="K604" s="30">
        <v>45444.0</v>
      </c>
      <c r="L604" s="31">
        <v>2.0</v>
      </c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26" t="s">
        <v>1266</v>
      </c>
      <c r="B605" s="27" t="s">
        <v>1265</v>
      </c>
      <c r="C605" s="32"/>
      <c r="D605" s="27" t="s">
        <v>27</v>
      </c>
      <c r="E605" s="27" t="s">
        <v>1222</v>
      </c>
      <c r="F605" s="27" t="s">
        <v>29</v>
      </c>
      <c r="G605" s="27" t="s">
        <v>736</v>
      </c>
      <c r="H605" s="27" t="s">
        <v>29</v>
      </c>
      <c r="I605" s="28">
        <v>42767.0</v>
      </c>
      <c r="J605" s="28">
        <v>43983.0</v>
      </c>
      <c r="K605" s="30">
        <v>45078.0</v>
      </c>
      <c r="L605" s="31">
        <v>2.0</v>
      </c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26" t="s">
        <v>1266</v>
      </c>
      <c r="B606" s="27" t="s">
        <v>82</v>
      </c>
      <c r="C606" s="32"/>
      <c r="D606" s="27" t="s">
        <v>27</v>
      </c>
      <c r="E606" s="27" t="s">
        <v>1222</v>
      </c>
      <c r="F606" s="27" t="s">
        <v>29</v>
      </c>
      <c r="G606" s="27" t="s">
        <v>586</v>
      </c>
      <c r="H606" s="27" t="s">
        <v>29</v>
      </c>
      <c r="I606" s="28">
        <v>42401.0</v>
      </c>
      <c r="J606" s="29"/>
      <c r="K606" s="30">
        <v>44713.0</v>
      </c>
      <c r="L606" s="31">
        <v>1.0</v>
      </c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26" t="s">
        <v>1408</v>
      </c>
      <c r="B607" s="27" t="s">
        <v>999</v>
      </c>
      <c r="C607" s="32"/>
      <c r="D607" s="27" t="s">
        <v>27</v>
      </c>
      <c r="E607" s="27" t="s">
        <v>39</v>
      </c>
      <c r="F607" s="27" t="s">
        <v>40</v>
      </c>
      <c r="G607" s="27" t="s">
        <v>156</v>
      </c>
      <c r="H607" s="27" t="s">
        <v>40</v>
      </c>
      <c r="I607" s="28">
        <v>43132.0</v>
      </c>
      <c r="J607" s="28">
        <v>44348.0</v>
      </c>
      <c r="K607" s="30">
        <v>45444.0</v>
      </c>
      <c r="L607" s="31">
        <v>2.0</v>
      </c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26" t="s">
        <v>1408</v>
      </c>
      <c r="B608" s="27" t="s">
        <v>554</v>
      </c>
      <c r="C608" s="32"/>
      <c r="D608" s="27" t="s">
        <v>27</v>
      </c>
      <c r="E608" s="27" t="s">
        <v>487</v>
      </c>
      <c r="F608" s="27" t="s">
        <v>40</v>
      </c>
      <c r="G608" s="27" t="s">
        <v>497</v>
      </c>
      <c r="H608" s="27" t="s">
        <v>40</v>
      </c>
      <c r="I608" s="28">
        <v>43132.0</v>
      </c>
      <c r="J608" s="28">
        <v>44348.0</v>
      </c>
      <c r="K608" s="30">
        <v>45444.0</v>
      </c>
      <c r="L608" s="31">
        <v>2.0</v>
      </c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26" t="s">
        <v>1230</v>
      </c>
      <c r="B609" s="27" t="s">
        <v>1409</v>
      </c>
      <c r="C609" s="32"/>
      <c r="D609" s="27" t="s">
        <v>27</v>
      </c>
      <c r="E609" s="27" t="s">
        <v>585</v>
      </c>
      <c r="F609" s="27" t="s">
        <v>29</v>
      </c>
      <c r="G609" s="27" t="s">
        <v>41</v>
      </c>
      <c r="H609" s="27" t="s">
        <v>585</v>
      </c>
      <c r="I609" s="28">
        <v>42401.0</v>
      </c>
      <c r="J609" s="29"/>
      <c r="K609" s="30">
        <v>44713.0</v>
      </c>
      <c r="L609" s="31">
        <v>1.0</v>
      </c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26" t="s">
        <v>1410</v>
      </c>
      <c r="B610" s="27" t="s">
        <v>138</v>
      </c>
      <c r="C610" s="27" t="s">
        <v>1411</v>
      </c>
      <c r="D610" s="27" t="s">
        <v>323</v>
      </c>
      <c r="E610" s="27" t="s">
        <v>21</v>
      </c>
      <c r="F610" s="27" t="s">
        <v>45</v>
      </c>
      <c r="G610" s="27" t="s">
        <v>36</v>
      </c>
      <c r="H610" s="27" t="s">
        <v>135</v>
      </c>
      <c r="I610" s="28">
        <v>43252.0</v>
      </c>
      <c r="J610" s="28">
        <v>44348.0</v>
      </c>
      <c r="K610" s="30">
        <v>45444.0</v>
      </c>
      <c r="L610" s="31">
        <v>2.0</v>
      </c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26" t="s">
        <v>1412</v>
      </c>
      <c r="B611" s="27" t="s">
        <v>266</v>
      </c>
      <c r="C611" s="27" t="s">
        <v>1413</v>
      </c>
      <c r="D611" s="27" t="s">
        <v>89</v>
      </c>
      <c r="E611" s="27" t="s">
        <v>21</v>
      </c>
      <c r="F611" s="27" t="s">
        <v>383</v>
      </c>
      <c r="G611" s="27" t="s">
        <v>23</v>
      </c>
      <c r="H611" s="27" t="s">
        <v>119</v>
      </c>
      <c r="I611" s="28">
        <v>43617.0</v>
      </c>
      <c r="J611" s="29"/>
      <c r="K611" s="30">
        <v>44713.0</v>
      </c>
      <c r="L611" s="31">
        <v>1.0</v>
      </c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26" t="s">
        <v>1412</v>
      </c>
      <c r="B612" s="27" t="s">
        <v>654</v>
      </c>
      <c r="C612" s="27" t="s">
        <v>1414</v>
      </c>
      <c r="D612" s="27" t="s">
        <v>317</v>
      </c>
      <c r="E612" s="27" t="s">
        <v>21</v>
      </c>
      <c r="F612" s="27" t="s">
        <v>45</v>
      </c>
      <c r="G612" s="27" t="s">
        <v>36</v>
      </c>
      <c r="H612" s="27" t="s">
        <v>425</v>
      </c>
      <c r="I612" s="28">
        <v>43252.0</v>
      </c>
      <c r="J612" s="29"/>
      <c r="K612" s="30">
        <v>44348.0</v>
      </c>
      <c r="L612" s="31">
        <v>1.0</v>
      </c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26" t="s">
        <v>1415</v>
      </c>
      <c r="B613" s="27" t="s">
        <v>517</v>
      </c>
      <c r="C613" s="27" t="s">
        <v>1416</v>
      </c>
      <c r="D613" s="27" t="s">
        <v>224</v>
      </c>
      <c r="E613" s="27" t="s">
        <v>21</v>
      </c>
      <c r="F613" s="27" t="s">
        <v>1246</v>
      </c>
      <c r="G613" s="27" t="s">
        <v>46</v>
      </c>
      <c r="H613" s="27" t="s">
        <v>135</v>
      </c>
      <c r="I613" s="28">
        <v>43252.0</v>
      </c>
      <c r="J613" s="28">
        <v>44348.0</v>
      </c>
      <c r="K613" s="30">
        <v>45444.0</v>
      </c>
      <c r="L613" s="31">
        <v>2.0</v>
      </c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26" t="s">
        <v>1415</v>
      </c>
      <c r="B614" s="27" t="s">
        <v>1417</v>
      </c>
      <c r="C614" s="32"/>
      <c r="D614" s="27" t="s">
        <v>27</v>
      </c>
      <c r="E614" s="27" t="s">
        <v>60</v>
      </c>
      <c r="F614" s="27" t="s">
        <v>29</v>
      </c>
      <c r="G614" s="27" t="s">
        <v>1026</v>
      </c>
      <c r="H614" s="27" t="s">
        <v>65</v>
      </c>
      <c r="I614" s="28">
        <v>43136.0</v>
      </c>
      <c r="J614" s="28">
        <v>44348.0</v>
      </c>
      <c r="K614" s="30">
        <v>45444.0</v>
      </c>
      <c r="L614" s="31">
        <v>2.0</v>
      </c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26" t="s">
        <v>1415</v>
      </c>
      <c r="B615" s="27" t="s">
        <v>369</v>
      </c>
      <c r="C615" s="32"/>
      <c r="D615" s="27" t="s">
        <v>27</v>
      </c>
      <c r="E615" s="27" t="s">
        <v>60</v>
      </c>
      <c r="F615" s="27" t="s">
        <v>29</v>
      </c>
      <c r="G615" s="27" t="s">
        <v>36</v>
      </c>
      <c r="H615" s="27" t="s">
        <v>24</v>
      </c>
      <c r="I615" s="28">
        <v>43132.0</v>
      </c>
      <c r="J615" s="29"/>
      <c r="K615" s="30">
        <v>45809.0</v>
      </c>
      <c r="L615" s="31">
        <v>1.0</v>
      </c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33" t="s">
        <v>1418</v>
      </c>
      <c r="B616" s="34" t="s">
        <v>1307</v>
      </c>
      <c r="C616" s="34" t="s">
        <v>1419</v>
      </c>
      <c r="D616" s="34" t="s">
        <v>222</v>
      </c>
      <c r="E616" s="34" t="s">
        <v>21</v>
      </c>
      <c r="F616" s="34" t="s">
        <v>370</v>
      </c>
      <c r="G616" s="34" t="s">
        <v>822</v>
      </c>
      <c r="H616" s="34" t="s">
        <v>370</v>
      </c>
      <c r="I616" s="30">
        <v>43132.0</v>
      </c>
      <c r="J616" s="30">
        <v>44348.0</v>
      </c>
      <c r="K616" s="30">
        <v>45444.0</v>
      </c>
      <c r="L616" s="31">
        <v>2.0</v>
      </c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26" t="s">
        <v>1420</v>
      </c>
      <c r="B617" s="27" t="s">
        <v>517</v>
      </c>
      <c r="C617" s="32"/>
      <c r="D617" s="27" t="s">
        <v>27</v>
      </c>
      <c r="E617" s="27" t="s">
        <v>21</v>
      </c>
      <c r="F617" s="27" t="s">
        <v>155</v>
      </c>
      <c r="G617" s="27" t="s">
        <v>544</v>
      </c>
      <c r="H617" s="27" t="s">
        <v>155</v>
      </c>
      <c r="I617" s="28">
        <v>43132.0</v>
      </c>
      <c r="J617" s="28">
        <v>44348.0</v>
      </c>
      <c r="K617" s="30">
        <v>45444.0</v>
      </c>
      <c r="L617" s="31">
        <v>2.0</v>
      </c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26" t="s">
        <v>1421</v>
      </c>
      <c r="B618" s="27" t="s">
        <v>1422</v>
      </c>
      <c r="C618" s="27" t="s">
        <v>1423</v>
      </c>
      <c r="D618" s="27" t="s">
        <v>118</v>
      </c>
      <c r="E618" s="27" t="s">
        <v>21</v>
      </c>
      <c r="F618" s="27" t="s">
        <v>155</v>
      </c>
      <c r="G618" s="27" t="s">
        <v>578</v>
      </c>
      <c r="H618" s="27" t="s">
        <v>155</v>
      </c>
      <c r="I618" s="28">
        <v>43132.0</v>
      </c>
      <c r="J618" s="28">
        <v>44348.0</v>
      </c>
      <c r="K618" s="30">
        <v>45444.0</v>
      </c>
      <c r="L618" s="31">
        <v>2.0</v>
      </c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26" t="s">
        <v>1424</v>
      </c>
      <c r="B619" s="27" t="s">
        <v>493</v>
      </c>
      <c r="C619" s="27" t="s">
        <v>1425</v>
      </c>
      <c r="D619" s="27" t="s">
        <v>20</v>
      </c>
      <c r="E619" s="27" t="s">
        <v>21</v>
      </c>
      <c r="F619" s="27" t="s">
        <v>109</v>
      </c>
      <c r="G619" s="27" t="s">
        <v>23</v>
      </c>
      <c r="H619" s="27" t="s">
        <v>233</v>
      </c>
      <c r="I619" s="28">
        <v>43617.0</v>
      </c>
      <c r="J619" s="29"/>
      <c r="K619" s="30">
        <v>44713.0</v>
      </c>
      <c r="L619" s="31">
        <v>1.0</v>
      </c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26" t="s">
        <v>1426</v>
      </c>
      <c r="B620" s="27" t="s">
        <v>1427</v>
      </c>
      <c r="C620" s="32"/>
      <c r="D620" s="27" t="s">
        <v>27</v>
      </c>
      <c r="E620" s="27" t="s">
        <v>1428</v>
      </c>
      <c r="F620" s="27" t="s">
        <v>29</v>
      </c>
      <c r="G620" s="27" t="s">
        <v>167</v>
      </c>
      <c r="H620" s="27" t="s">
        <v>65</v>
      </c>
      <c r="I620" s="28">
        <v>43136.0</v>
      </c>
      <c r="J620" s="28">
        <v>44348.0</v>
      </c>
      <c r="K620" s="30">
        <v>45444.0</v>
      </c>
      <c r="L620" s="31">
        <v>2.0</v>
      </c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26" t="s">
        <v>1429</v>
      </c>
      <c r="B621" s="27" t="s">
        <v>169</v>
      </c>
      <c r="C621" s="27" t="s">
        <v>1430</v>
      </c>
      <c r="D621" s="27" t="s">
        <v>44</v>
      </c>
      <c r="E621" s="27" t="s">
        <v>21</v>
      </c>
      <c r="F621" s="27" t="s">
        <v>155</v>
      </c>
      <c r="G621" s="27" t="s">
        <v>1431</v>
      </c>
      <c r="H621" s="27" t="s">
        <v>155</v>
      </c>
      <c r="I621" s="28">
        <v>43132.0</v>
      </c>
      <c r="J621" s="28">
        <v>44348.0</v>
      </c>
      <c r="K621" s="30">
        <v>45444.0</v>
      </c>
      <c r="L621" s="31">
        <v>2.0</v>
      </c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26" t="s">
        <v>1432</v>
      </c>
      <c r="B622" s="27" t="s">
        <v>462</v>
      </c>
      <c r="C622" s="27" t="s">
        <v>622</v>
      </c>
      <c r="D622" s="27" t="s">
        <v>130</v>
      </c>
      <c r="E622" s="27" t="s">
        <v>21</v>
      </c>
      <c r="F622" s="27" t="s">
        <v>90</v>
      </c>
      <c r="G622" s="27" t="s">
        <v>36</v>
      </c>
      <c r="H622" s="27" t="s">
        <v>328</v>
      </c>
      <c r="I622" s="28">
        <v>43252.0</v>
      </c>
      <c r="J622" s="29"/>
      <c r="K622" s="30">
        <v>44348.0</v>
      </c>
      <c r="L622" s="31">
        <v>1.0</v>
      </c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26" t="s">
        <v>1432</v>
      </c>
      <c r="B623" s="27" t="s">
        <v>1433</v>
      </c>
      <c r="C623" s="27" t="s">
        <v>1434</v>
      </c>
      <c r="D623" s="27" t="s">
        <v>78</v>
      </c>
      <c r="E623" s="27" t="s">
        <v>21</v>
      </c>
      <c r="F623" s="27" t="s">
        <v>314</v>
      </c>
      <c r="G623" s="27" t="s">
        <v>46</v>
      </c>
      <c r="H623" s="27" t="s">
        <v>689</v>
      </c>
      <c r="I623" s="28">
        <v>42887.0</v>
      </c>
      <c r="J623" s="29"/>
      <c r="K623" s="30">
        <v>43983.0</v>
      </c>
      <c r="L623" s="31">
        <v>1.0</v>
      </c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26" t="s">
        <v>1435</v>
      </c>
      <c r="B624" s="27" t="s">
        <v>877</v>
      </c>
      <c r="C624" s="32"/>
      <c r="D624" s="27" t="s">
        <v>27</v>
      </c>
      <c r="E624" s="27" t="s">
        <v>884</v>
      </c>
      <c r="F624" s="27" t="s">
        <v>286</v>
      </c>
      <c r="G624" s="27" t="s">
        <v>23</v>
      </c>
      <c r="H624" s="27" t="s">
        <v>885</v>
      </c>
      <c r="I624" s="28">
        <v>42828.0</v>
      </c>
      <c r="J624" s="28">
        <v>43983.0</v>
      </c>
      <c r="K624" s="30">
        <v>45078.0</v>
      </c>
      <c r="L624" s="31">
        <v>2.0</v>
      </c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26" t="s">
        <v>1436</v>
      </c>
      <c r="B625" s="27" t="s">
        <v>1327</v>
      </c>
      <c r="C625" s="27" t="s">
        <v>1437</v>
      </c>
      <c r="D625" s="27" t="s">
        <v>44</v>
      </c>
      <c r="E625" s="27" t="s">
        <v>21</v>
      </c>
      <c r="F625" s="27" t="s">
        <v>79</v>
      </c>
      <c r="G625" s="27" t="s">
        <v>46</v>
      </c>
      <c r="H625" s="27" t="s">
        <v>100</v>
      </c>
      <c r="I625" s="28">
        <v>42887.0</v>
      </c>
      <c r="J625" s="29"/>
      <c r="K625" s="30">
        <v>43983.0</v>
      </c>
      <c r="L625" s="31">
        <v>1.0</v>
      </c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26" t="s">
        <v>1438</v>
      </c>
      <c r="B626" s="27" t="s">
        <v>353</v>
      </c>
      <c r="C626" s="27" t="s">
        <v>396</v>
      </c>
      <c r="D626" s="27" t="s">
        <v>44</v>
      </c>
      <c r="E626" s="27" t="s">
        <v>21</v>
      </c>
      <c r="F626" s="27" t="s">
        <v>360</v>
      </c>
      <c r="G626" s="27" t="s">
        <v>46</v>
      </c>
      <c r="H626" s="27" t="s">
        <v>397</v>
      </c>
      <c r="I626" s="28">
        <v>43617.0</v>
      </c>
      <c r="J626" s="29"/>
      <c r="K626" s="30">
        <v>44713.0</v>
      </c>
      <c r="L626" s="31">
        <v>1.0</v>
      </c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26" t="s">
        <v>1338</v>
      </c>
      <c r="B627" s="27" t="s">
        <v>82</v>
      </c>
      <c r="C627" s="27" t="s">
        <v>1439</v>
      </c>
      <c r="D627" s="27" t="s">
        <v>1193</v>
      </c>
      <c r="E627" s="27" t="s">
        <v>21</v>
      </c>
      <c r="F627" s="27" t="s">
        <v>1440</v>
      </c>
      <c r="G627" s="27" t="s">
        <v>46</v>
      </c>
      <c r="H627" s="27" t="s">
        <v>126</v>
      </c>
      <c r="I627" s="28">
        <v>43617.0</v>
      </c>
      <c r="J627" s="28">
        <v>44713.0</v>
      </c>
      <c r="K627" s="30">
        <v>45809.0</v>
      </c>
      <c r="L627" s="31">
        <v>2.0</v>
      </c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26" t="s">
        <v>1441</v>
      </c>
      <c r="B628" s="27" t="s">
        <v>1442</v>
      </c>
      <c r="C628" s="27" t="s">
        <v>254</v>
      </c>
      <c r="D628" s="27" t="s">
        <v>143</v>
      </c>
      <c r="E628" s="27" t="s">
        <v>21</v>
      </c>
      <c r="F628" s="27" t="s">
        <v>715</v>
      </c>
      <c r="G628" s="27" t="s">
        <v>1443</v>
      </c>
      <c r="H628" s="27" t="s">
        <v>149</v>
      </c>
      <c r="I628" s="28">
        <v>42522.0</v>
      </c>
      <c r="J628" s="29"/>
      <c r="K628" s="30">
        <v>44713.0</v>
      </c>
      <c r="L628" s="31">
        <v>1.0</v>
      </c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26" t="s">
        <v>1444</v>
      </c>
      <c r="B629" s="27" t="s">
        <v>1445</v>
      </c>
      <c r="C629" s="27" t="s">
        <v>1446</v>
      </c>
      <c r="D629" s="27" t="s">
        <v>1193</v>
      </c>
      <c r="E629" s="27" t="s">
        <v>21</v>
      </c>
      <c r="F629" s="27" t="s">
        <v>380</v>
      </c>
      <c r="G629" s="32"/>
      <c r="H629" s="27" t="s">
        <v>24</v>
      </c>
      <c r="I629" s="28">
        <v>36892.0</v>
      </c>
      <c r="J629" s="29"/>
      <c r="K629" s="30">
        <v>45809.0</v>
      </c>
      <c r="L629" s="31">
        <v>1.0</v>
      </c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26" t="s">
        <v>1447</v>
      </c>
      <c r="B630" s="27" t="s">
        <v>263</v>
      </c>
      <c r="C630" s="27" t="s">
        <v>514</v>
      </c>
      <c r="D630" s="27" t="s">
        <v>78</v>
      </c>
      <c r="E630" s="27" t="s">
        <v>21</v>
      </c>
      <c r="F630" s="27" t="s">
        <v>99</v>
      </c>
      <c r="G630" s="27" t="s">
        <v>46</v>
      </c>
      <c r="H630" s="27" t="s">
        <v>80</v>
      </c>
      <c r="I630" s="28">
        <v>43252.0</v>
      </c>
      <c r="J630" s="29"/>
      <c r="K630" s="30">
        <v>44348.0</v>
      </c>
      <c r="L630" s="31">
        <v>1.0</v>
      </c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26" t="s">
        <v>1448</v>
      </c>
      <c r="B631" s="27" t="s">
        <v>1449</v>
      </c>
      <c r="C631" s="32"/>
      <c r="D631" s="27" t="s">
        <v>27</v>
      </c>
      <c r="E631" s="27" t="s">
        <v>21</v>
      </c>
      <c r="F631" s="27" t="s">
        <v>155</v>
      </c>
      <c r="G631" s="27" t="s">
        <v>50</v>
      </c>
      <c r="H631" s="27" t="s">
        <v>155</v>
      </c>
      <c r="I631" s="28">
        <v>43132.0</v>
      </c>
      <c r="J631" s="28">
        <v>44348.0</v>
      </c>
      <c r="K631" s="30">
        <v>45444.0</v>
      </c>
      <c r="L631" s="31">
        <v>2.0</v>
      </c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26" t="s">
        <v>1450</v>
      </c>
      <c r="B632" s="27" t="s">
        <v>150</v>
      </c>
      <c r="C632" s="27" t="s">
        <v>1222</v>
      </c>
      <c r="D632" s="27" t="s">
        <v>27</v>
      </c>
      <c r="E632" s="27" t="s">
        <v>1222</v>
      </c>
      <c r="F632" s="27" t="s">
        <v>29</v>
      </c>
      <c r="G632" s="27" t="s">
        <v>586</v>
      </c>
      <c r="H632" s="27" t="s">
        <v>29</v>
      </c>
      <c r="I632" s="28">
        <v>42401.0</v>
      </c>
      <c r="J632" s="29"/>
      <c r="K632" s="30">
        <v>44713.0</v>
      </c>
      <c r="L632" s="31">
        <v>1.0</v>
      </c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26" t="s">
        <v>1451</v>
      </c>
      <c r="B633" s="27" t="s">
        <v>654</v>
      </c>
      <c r="C633" s="27" t="s">
        <v>146</v>
      </c>
      <c r="D633" s="27" t="s">
        <v>94</v>
      </c>
      <c r="E633" s="27" t="s">
        <v>21</v>
      </c>
      <c r="F633" s="27" t="s">
        <v>364</v>
      </c>
      <c r="G633" s="27" t="s">
        <v>23</v>
      </c>
      <c r="H633" s="27" t="s">
        <v>37</v>
      </c>
      <c r="I633" s="28">
        <v>43617.0</v>
      </c>
      <c r="J633" s="29"/>
      <c r="K633" s="30">
        <v>44713.0</v>
      </c>
      <c r="L633" s="31">
        <v>1.0</v>
      </c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26" t="s">
        <v>1452</v>
      </c>
      <c r="B634" s="27" t="s">
        <v>1168</v>
      </c>
      <c r="C634" s="27" t="s">
        <v>1416</v>
      </c>
      <c r="D634" s="27" t="s">
        <v>224</v>
      </c>
      <c r="E634" s="27" t="s">
        <v>21</v>
      </c>
      <c r="F634" s="27" t="s">
        <v>1453</v>
      </c>
      <c r="G634" s="27" t="s">
        <v>23</v>
      </c>
      <c r="H634" s="27" t="s">
        <v>184</v>
      </c>
      <c r="I634" s="28">
        <v>42887.0</v>
      </c>
      <c r="J634" s="29"/>
      <c r="K634" s="30">
        <v>43983.0</v>
      </c>
      <c r="L634" s="31">
        <v>1.0</v>
      </c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26" t="s">
        <v>1454</v>
      </c>
      <c r="B635" s="27" t="s">
        <v>275</v>
      </c>
      <c r="C635" s="27" t="s">
        <v>302</v>
      </c>
      <c r="D635" s="27" t="s">
        <v>130</v>
      </c>
      <c r="E635" s="27" t="s">
        <v>21</v>
      </c>
      <c r="F635" s="27" t="s">
        <v>109</v>
      </c>
      <c r="G635" s="27" t="s">
        <v>46</v>
      </c>
      <c r="H635" s="27" t="s">
        <v>152</v>
      </c>
      <c r="I635" s="28">
        <v>43617.0</v>
      </c>
      <c r="J635" s="29"/>
      <c r="K635" s="30">
        <v>44713.0</v>
      </c>
      <c r="L635" s="31">
        <v>1.0</v>
      </c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26" t="s">
        <v>1454</v>
      </c>
      <c r="B636" s="27" t="s">
        <v>76</v>
      </c>
      <c r="C636" s="27" t="s">
        <v>1455</v>
      </c>
      <c r="D636" s="27" t="s">
        <v>282</v>
      </c>
      <c r="E636" s="27" t="s">
        <v>21</v>
      </c>
      <c r="F636" s="27" t="s">
        <v>109</v>
      </c>
      <c r="G636" s="27" t="s">
        <v>36</v>
      </c>
      <c r="H636" s="27" t="s">
        <v>251</v>
      </c>
      <c r="I636" s="28">
        <v>43617.0</v>
      </c>
      <c r="J636" s="28">
        <v>43983.0</v>
      </c>
      <c r="K636" s="30">
        <v>45078.0</v>
      </c>
      <c r="L636" s="31">
        <v>2.0</v>
      </c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26" t="s">
        <v>1456</v>
      </c>
      <c r="B637" s="27" t="s">
        <v>18</v>
      </c>
      <c r="C637" s="32"/>
      <c r="D637" s="27" t="s">
        <v>27</v>
      </c>
      <c r="E637" s="27" t="s">
        <v>1457</v>
      </c>
      <c r="F637" s="27" t="s">
        <v>40</v>
      </c>
      <c r="G637" s="27" t="s">
        <v>1458</v>
      </c>
      <c r="H637" s="27" t="s">
        <v>40</v>
      </c>
      <c r="I637" s="28">
        <v>42401.0</v>
      </c>
      <c r="J637" s="29"/>
      <c r="K637" s="30">
        <v>44713.0</v>
      </c>
      <c r="L637" s="31">
        <v>1.0</v>
      </c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26" t="s">
        <v>1459</v>
      </c>
      <c r="B638" s="27" t="s">
        <v>1460</v>
      </c>
      <c r="C638" s="32"/>
      <c r="D638" s="27" t="s">
        <v>27</v>
      </c>
      <c r="E638" s="27" t="s">
        <v>70</v>
      </c>
      <c r="F638" s="27" t="s">
        <v>314</v>
      </c>
      <c r="G638" s="27" t="s">
        <v>23</v>
      </c>
      <c r="H638" s="27" t="s">
        <v>85</v>
      </c>
      <c r="I638" s="28">
        <v>42887.0</v>
      </c>
      <c r="J638" s="29"/>
      <c r="K638" s="30">
        <v>43983.0</v>
      </c>
      <c r="L638" s="31">
        <v>1.0</v>
      </c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26" t="s">
        <v>1461</v>
      </c>
      <c r="B639" s="27" t="s">
        <v>141</v>
      </c>
      <c r="C639" s="27" t="s">
        <v>1462</v>
      </c>
      <c r="D639" s="27" t="s">
        <v>44</v>
      </c>
      <c r="E639" s="27" t="s">
        <v>21</v>
      </c>
      <c r="F639" s="27" t="s">
        <v>79</v>
      </c>
      <c r="G639" s="27" t="s">
        <v>23</v>
      </c>
      <c r="H639" s="27" t="s">
        <v>211</v>
      </c>
      <c r="I639" s="28">
        <v>43252.0</v>
      </c>
      <c r="J639" s="29"/>
      <c r="K639" s="30">
        <v>44348.0</v>
      </c>
      <c r="L639" s="31">
        <v>1.0</v>
      </c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26" t="s">
        <v>1463</v>
      </c>
      <c r="B640" s="27" t="s">
        <v>999</v>
      </c>
      <c r="C640" s="32"/>
      <c r="D640" s="27" t="s">
        <v>27</v>
      </c>
      <c r="E640" s="27" t="s">
        <v>166</v>
      </c>
      <c r="F640" s="27" t="s">
        <v>29</v>
      </c>
      <c r="G640" s="27" t="s">
        <v>1464</v>
      </c>
      <c r="H640" s="27" t="s">
        <v>65</v>
      </c>
      <c r="I640" s="28">
        <v>43136.0</v>
      </c>
      <c r="J640" s="28">
        <v>44348.0</v>
      </c>
      <c r="K640" s="30">
        <v>45444.0</v>
      </c>
      <c r="L640" s="31">
        <v>2.0</v>
      </c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26" t="s">
        <v>1465</v>
      </c>
      <c r="B641" s="27" t="s">
        <v>1466</v>
      </c>
      <c r="C641" s="27" t="s">
        <v>1467</v>
      </c>
      <c r="D641" s="27" t="s">
        <v>20</v>
      </c>
      <c r="E641" s="27" t="s">
        <v>21</v>
      </c>
      <c r="F641" s="27" t="s">
        <v>286</v>
      </c>
      <c r="G641" s="27" t="s">
        <v>23</v>
      </c>
      <c r="H641" s="27" t="s">
        <v>229</v>
      </c>
      <c r="I641" s="28">
        <v>42887.0</v>
      </c>
      <c r="J641" s="29"/>
      <c r="K641" s="30">
        <v>43983.0</v>
      </c>
      <c r="L641" s="31">
        <v>1.0</v>
      </c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26" t="s">
        <v>1468</v>
      </c>
      <c r="B642" s="27" t="s">
        <v>1469</v>
      </c>
      <c r="C642" s="27" t="s">
        <v>1470</v>
      </c>
      <c r="D642" s="27" t="s">
        <v>1471</v>
      </c>
      <c r="E642" s="27" t="s">
        <v>21</v>
      </c>
      <c r="F642" s="27" t="s">
        <v>125</v>
      </c>
      <c r="G642" s="27" t="s">
        <v>36</v>
      </c>
      <c r="H642" s="27" t="s">
        <v>126</v>
      </c>
      <c r="I642" s="28">
        <v>43617.0</v>
      </c>
      <c r="J642" s="29"/>
      <c r="K642" s="30">
        <v>44713.0</v>
      </c>
      <c r="L642" s="31">
        <v>1.0</v>
      </c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26" t="s">
        <v>1472</v>
      </c>
      <c r="B643" s="27" t="s">
        <v>145</v>
      </c>
      <c r="C643" s="32"/>
      <c r="D643" s="27" t="s">
        <v>27</v>
      </c>
      <c r="E643" s="27" t="s">
        <v>1428</v>
      </c>
      <c r="F643" s="27" t="s">
        <v>481</v>
      </c>
      <c r="G643" s="27" t="s">
        <v>36</v>
      </c>
      <c r="H643" s="27" t="s">
        <v>207</v>
      </c>
      <c r="I643" s="28">
        <v>42887.0</v>
      </c>
      <c r="J643" s="28">
        <v>43983.0</v>
      </c>
      <c r="K643" s="30">
        <v>45078.0</v>
      </c>
      <c r="L643" s="31">
        <v>2.0</v>
      </c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26" t="s">
        <v>1473</v>
      </c>
      <c r="B644" s="27" t="s">
        <v>150</v>
      </c>
      <c r="C644" s="27" t="s">
        <v>476</v>
      </c>
      <c r="D644" s="27" t="s">
        <v>94</v>
      </c>
      <c r="E644" s="27" t="s">
        <v>21</v>
      </c>
      <c r="F644" s="27" t="s">
        <v>79</v>
      </c>
      <c r="G644" s="27" t="s">
        <v>36</v>
      </c>
      <c r="H644" s="27" t="s">
        <v>147</v>
      </c>
      <c r="I644" s="28">
        <v>42887.0</v>
      </c>
      <c r="J644" s="29"/>
      <c r="K644" s="30">
        <v>43983.0</v>
      </c>
      <c r="L644" s="31">
        <v>1.0</v>
      </c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26" t="s">
        <v>1474</v>
      </c>
      <c r="B645" s="27" t="s">
        <v>1475</v>
      </c>
      <c r="C645" s="32"/>
      <c r="D645" s="32"/>
      <c r="E645" s="27" t="s">
        <v>285</v>
      </c>
      <c r="F645" s="32"/>
      <c r="G645" s="32"/>
      <c r="H645" s="27" t="s">
        <v>913</v>
      </c>
      <c r="I645" s="28">
        <v>43252.0</v>
      </c>
      <c r="J645" s="29"/>
      <c r="K645" s="30">
        <v>44348.0</v>
      </c>
      <c r="L645" s="31">
        <v>1.0</v>
      </c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26" t="s">
        <v>1476</v>
      </c>
      <c r="B646" s="27" t="s">
        <v>1362</v>
      </c>
      <c r="C646" s="27" t="s">
        <v>170</v>
      </c>
      <c r="D646" s="27" t="s">
        <v>89</v>
      </c>
      <c r="E646" s="27" t="s">
        <v>21</v>
      </c>
      <c r="F646" s="27" t="s">
        <v>71</v>
      </c>
      <c r="G646" s="27" t="s">
        <v>23</v>
      </c>
      <c r="H646" s="27" t="s">
        <v>237</v>
      </c>
      <c r="I646" s="28">
        <v>42887.0</v>
      </c>
      <c r="J646" s="29"/>
      <c r="K646" s="30">
        <v>43983.0</v>
      </c>
      <c r="L646" s="31">
        <v>1.0</v>
      </c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26" t="s">
        <v>1477</v>
      </c>
      <c r="B647" s="27" t="s">
        <v>161</v>
      </c>
      <c r="C647" s="32"/>
      <c r="D647" s="27" t="s">
        <v>27</v>
      </c>
      <c r="E647" s="27" t="s">
        <v>884</v>
      </c>
      <c r="F647" s="27" t="s">
        <v>367</v>
      </c>
      <c r="G647" s="27" t="s">
        <v>36</v>
      </c>
      <c r="H647" s="27" t="s">
        <v>287</v>
      </c>
      <c r="I647" s="28">
        <v>42887.0</v>
      </c>
      <c r="J647" s="29"/>
      <c r="K647" s="30">
        <v>43983.0</v>
      </c>
      <c r="L647" s="31">
        <v>1.0</v>
      </c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26" t="s">
        <v>1478</v>
      </c>
      <c r="B648" s="27" t="s">
        <v>150</v>
      </c>
      <c r="C648" s="32"/>
      <c r="D648" s="27" t="s">
        <v>27</v>
      </c>
      <c r="E648" s="27" t="s">
        <v>891</v>
      </c>
      <c r="F648" s="27" t="s">
        <v>29</v>
      </c>
      <c r="G648" s="27" t="s">
        <v>1479</v>
      </c>
      <c r="H648" s="27" t="s">
        <v>29</v>
      </c>
      <c r="I648" s="28">
        <v>42401.0</v>
      </c>
      <c r="J648" s="29"/>
      <c r="K648" s="30">
        <v>44713.0</v>
      </c>
      <c r="L648" s="31">
        <v>1.0</v>
      </c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26" t="s">
        <v>1480</v>
      </c>
      <c r="B649" s="27" t="s">
        <v>38</v>
      </c>
      <c r="C649" s="32"/>
      <c r="D649" s="27" t="s">
        <v>27</v>
      </c>
      <c r="E649" s="27" t="s">
        <v>162</v>
      </c>
      <c r="F649" s="27" t="s">
        <v>286</v>
      </c>
      <c r="G649" s="27" t="s">
        <v>36</v>
      </c>
      <c r="H649" s="27" t="s">
        <v>24</v>
      </c>
      <c r="I649" s="28">
        <v>42828.0</v>
      </c>
      <c r="J649" s="29"/>
      <c r="K649" s="30">
        <v>45809.0</v>
      </c>
      <c r="L649" s="31">
        <v>1.0</v>
      </c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26" t="s">
        <v>38</v>
      </c>
      <c r="B650" s="27" t="s">
        <v>275</v>
      </c>
      <c r="C650" s="32"/>
      <c r="D650" s="27" t="s">
        <v>27</v>
      </c>
      <c r="E650" s="27" t="s">
        <v>21</v>
      </c>
      <c r="F650" s="27" t="s">
        <v>155</v>
      </c>
      <c r="G650" s="27" t="s">
        <v>41</v>
      </c>
      <c r="H650" s="27" t="s">
        <v>155</v>
      </c>
      <c r="I650" s="28">
        <v>43132.0</v>
      </c>
      <c r="J650" s="28">
        <v>44348.0</v>
      </c>
      <c r="K650" s="30">
        <v>45444.0</v>
      </c>
      <c r="L650" s="31">
        <v>2.0</v>
      </c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26" t="s">
        <v>38</v>
      </c>
      <c r="B651" s="27" t="s">
        <v>625</v>
      </c>
      <c r="C651" s="27" t="s">
        <v>1481</v>
      </c>
      <c r="D651" s="27" t="s">
        <v>1471</v>
      </c>
      <c r="E651" s="27" t="s">
        <v>21</v>
      </c>
      <c r="F651" s="27" t="s">
        <v>125</v>
      </c>
      <c r="G651" s="27" t="s">
        <v>36</v>
      </c>
      <c r="H651" s="27" t="s">
        <v>126</v>
      </c>
      <c r="I651" s="28">
        <v>43617.0</v>
      </c>
      <c r="J651" s="29"/>
      <c r="K651" s="30">
        <v>44713.0</v>
      </c>
      <c r="L651" s="31">
        <v>1.0</v>
      </c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26" t="s">
        <v>38</v>
      </c>
      <c r="B652" s="27" t="s">
        <v>1482</v>
      </c>
      <c r="C652" s="27" t="s">
        <v>1483</v>
      </c>
      <c r="D652" s="27" t="s">
        <v>744</v>
      </c>
      <c r="E652" s="27" t="s">
        <v>21</v>
      </c>
      <c r="F652" s="27" t="s">
        <v>364</v>
      </c>
      <c r="G652" s="27" t="s">
        <v>36</v>
      </c>
      <c r="H652" s="27" t="s">
        <v>57</v>
      </c>
      <c r="I652" s="28">
        <v>43617.0</v>
      </c>
      <c r="J652" s="29"/>
      <c r="K652" s="30">
        <v>44713.0</v>
      </c>
      <c r="L652" s="31">
        <v>1.0</v>
      </c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26" t="s">
        <v>38</v>
      </c>
      <c r="B653" s="27" t="s">
        <v>1484</v>
      </c>
      <c r="C653" s="32"/>
      <c r="D653" s="27" t="s">
        <v>27</v>
      </c>
      <c r="E653" s="27" t="s">
        <v>891</v>
      </c>
      <c r="F653" s="27" t="s">
        <v>29</v>
      </c>
      <c r="G653" s="27" t="s">
        <v>822</v>
      </c>
      <c r="H653" s="27" t="s">
        <v>29</v>
      </c>
      <c r="I653" s="28">
        <v>42767.0</v>
      </c>
      <c r="J653" s="28">
        <v>43983.0</v>
      </c>
      <c r="K653" s="30">
        <v>45078.0</v>
      </c>
      <c r="L653" s="31">
        <v>2.0</v>
      </c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26" t="s">
        <v>1485</v>
      </c>
      <c r="B654" s="27" t="s">
        <v>1486</v>
      </c>
      <c r="C654" s="27" t="s">
        <v>1487</v>
      </c>
      <c r="D654" s="27" t="s">
        <v>222</v>
      </c>
      <c r="E654" s="27" t="s">
        <v>21</v>
      </c>
      <c r="F654" s="27" t="s">
        <v>56</v>
      </c>
      <c r="G654" s="27" t="s">
        <v>23</v>
      </c>
      <c r="H654" s="27" t="s">
        <v>241</v>
      </c>
      <c r="I654" s="28">
        <v>43617.0</v>
      </c>
      <c r="J654" s="29"/>
      <c r="K654" s="30">
        <v>44713.0</v>
      </c>
      <c r="L654" s="31">
        <v>1.0</v>
      </c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26" t="s">
        <v>1485</v>
      </c>
      <c r="B655" s="27" t="s">
        <v>1168</v>
      </c>
      <c r="C655" s="27" t="s">
        <v>182</v>
      </c>
      <c r="D655" s="27" t="s">
        <v>183</v>
      </c>
      <c r="E655" s="27" t="s">
        <v>21</v>
      </c>
      <c r="F655" s="27" t="s">
        <v>45</v>
      </c>
      <c r="G655" s="27" t="s">
        <v>36</v>
      </c>
      <c r="H655" s="27" t="s">
        <v>184</v>
      </c>
      <c r="I655" s="28">
        <v>42887.0</v>
      </c>
      <c r="J655" s="29"/>
      <c r="K655" s="30">
        <v>43983.0</v>
      </c>
      <c r="L655" s="31">
        <v>1.0</v>
      </c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26" t="s">
        <v>1485</v>
      </c>
      <c r="B656" s="27" t="s">
        <v>1488</v>
      </c>
      <c r="C656" s="27" t="s">
        <v>77</v>
      </c>
      <c r="D656" s="27" t="s">
        <v>78</v>
      </c>
      <c r="E656" s="27" t="s">
        <v>21</v>
      </c>
      <c r="F656" s="27" t="s">
        <v>79</v>
      </c>
      <c r="G656" s="27" t="s">
        <v>36</v>
      </c>
      <c r="H656" s="27" t="s">
        <v>80</v>
      </c>
      <c r="I656" s="28">
        <v>43252.0</v>
      </c>
      <c r="J656" s="29"/>
      <c r="K656" s="30">
        <v>44348.0</v>
      </c>
      <c r="L656" s="31">
        <v>1.0</v>
      </c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26" t="s">
        <v>1489</v>
      </c>
      <c r="B657" s="27" t="s">
        <v>1165</v>
      </c>
      <c r="C657" s="27" t="s">
        <v>77</v>
      </c>
      <c r="D657" s="27" t="s">
        <v>78</v>
      </c>
      <c r="E657" s="27" t="s">
        <v>21</v>
      </c>
      <c r="F657" s="27" t="s">
        <v>109</v>
      </c>
      <c r="G657" s="27" t="s">
        <v>46</v>
      </c>
      <c r="H657" s="27" t="s">
        <v>434</v>
      </c>
      <c r="I657" s="28">
        <v>43617.0</v>
      </c>
      <c r="J657" s="29"/>
      <c r="K657" s="30">
        <v>44713.0</v>
      </c>
      <c r="L657" s="31">
        <v>1.0</v>
      </c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26" t="s">
        <v>1490</v>
      </c>
      <c r="B658" s="27" t="s">
        <v>1491</v>
      </c>
      <c r="C658" s="27" t="s">
        <v>1492</v>
      </c>
      <c r="D658" s="27" t="s">
        <v>20</v>
      </c>
      <c r="E658" s="27" t="s">
        <v>21</v>
      </c>
      <c r="F658" s="27" t="s">
        <v>95</v>
      </c>
      <c r="G658" s="27" t="s">
        <v>36</v>
      </c>
      <c r="H658" s="27" t="s">
        <v>152</v>
      </c>
      <c r="I658" s="28">
        <v>43617.0</v>
      </c>
      <c r="J658" s="29"/>
      <c r="K658" s="30">
        <v>44713.0</v>
      </c>
      <c r="L658" s="31">
        <v>1.0</v>
      </c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26" t="s">
        <v>1493</v>
      </c>
      <c r="B659" s="27" t="s">
        <v>266</v>
      </c>
      <c r="C659" s="27" t="s">
        <v>1237</v>
      </c>
      <c r="D659" s="27" t="s">
        <v>143</v>
      </c>
      <c r="E659" s="27" t="s">
        <v>21</v>
      </c>
      <c r="F659" s="27" t="s">
        <v>90</v>
      </c>
      <c r="G659" s="27" t="s">
        <v>46</v>
      </c>
      <c r="H659" s="27" t="s">
        <v>795</v>
      </c>
      <c r="I659" s="28">
        <v>43252.0</v>
      </c>
      <c r="J659" s="29"/>
      <c r="K659" s="30">
        <v>44348.0</v>
      </c>
      <c r="L659" s="31">
        <v>1.0</v>
      </c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26" t="s">
        <v>1494</v>
      </c>
      <c r="B660" s="27" t="s">
        <v>1495</v>
      </c>
      <c r="C660" s="32"/>
      <c r="D660" s="27" t="s">
        <v>27</v>
      </c>
      <c r="E660" s="27" t="s">
        <v>162</v>
      </c>
      <c r="F660" s="27" t="s">
        <v>1496</v>
      </c>
      <c r="G660" s="27" t="s">
        <v>46</v>
      </c>
      <c r="H660" s="27" t="s">
        <v>287</v>
      </c>
      <c r="I660" s="28">
        <v>42887.0</v>
      </c>
      <c r="J660" s="29"/>
      <c r="K660" s="30">
        <v>43983.0</v>
      </c>
      <c r="L660" s="31">
        <v>1.0</v>
      </c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26" t="s">
        <v>1497</v>
      </c>
      <c r="B661" s="27" t="s">
        <v>1498</v>
      </c>
      <c r="C661" s="32"/>
      <c r="D661" s="32"/>
      <c r="E661" s="27" t="s">
        <v>27</v>
      </c>
      <c r="F661" s="32"/>
      <c r="G661" s="32"/>
      <c r="H661" s="27" t="s">
        <v>913</v>
      </c>
      <c r="I661" s="28">
        <v>43252.0</v>
      </c>
      <c r="J661" s="29"/>
      <c r="K661" s="30">
        <v>44348.0</v>
      </c>
      <c r="L661" s="31">
        <v>1.0</v>
      </c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26" t="s">
        <v>1499</v>
      </c>
      <c r="B662" s="27" t="s">
        <v>1018</v>
      </c>
      <c r="C662" s="27" t="s">
        <v>187</v>
      </c>
      <c r="D662" s="27" t="s">
        <v>27</v>
      </c>
      <c r="E662" s="27" t="s">
        <v>187</v>
      </c>
      <c r="F662" s="27" t="s">
        <v>1500</v>
      </c>
      <c r="G662" s="27" t="s">
        <v>23</v>
      </c>
      <c r="H662" s="27" t="s">
        <v>24</v>
      </c>
      <c r="I662" s="28">
        <v>36892.0</v>
      </c>
      <c r="J662" s="29"/>
      <c r="K662" s="30">
        <v>45809.0</v>
      </c>
      <c r="L662" s="31">
        <v>1.0</v>
      </c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33" t="s">
        <v>1501</v>
      </c>
      <c r="B663" s="34" t="s">
        <v>1502</v>
      </c>
      <c r="C663" s="34" t="s">
        <v>547</v>
      </c>
      <c r="D663" s="34" t="s">
        <v>282</v>
      </c>
      <c r="E663" s="34" t="s">
        <v>21</v>
      </c>
      <c r="F663" s="34" t="s">
        <v>630</v>
      </c>
      <c r="G663" s="34" t="s">
        <v>137</v>
      </c>
      <c r="H663" s="34" t="s">
        <v>287</v>
      </c>
      <c r="I663" s="30">
        <v>42887.0</v>
      </c>
      <c r="J663" s="36"/>
      <c r="K663" s="30">
        <v>43983.0</v>
      </c>
      <c r="L663" s="31">
        <v>1.0</v>
      </c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26" t="s">
        <v>1503</v>
      </c>
      <c r="B664" s="27" t="s">
        <v>1504</v>
      </c>
      <c r="C664" s="27" t="s">
        <v>146</v>
      </c>
      <c r="D664" s="27" t="s">
        <v>94</v>
      </c>
      <c r="E664" s="27" t="s">
        <v>21</v>
      </c>
      <c r="F664" s="27" t="s">
        <v>90</v>
      </c>
      <c r="G664" s="27" t="s">
        <v>36</v>
      </c>
      <c r="H664" s="27" t="s">
        <v>295</v>
      </c>
      <c r="I664" s="28">
        <v>43252.0</v>
      </c>
      <c r="J664" s="29"/>
      <c r="K664" s="30">
        <v>44348.0</v>
      </c>
      <c r="L664" s="31">
        <v>1.0</v>
      </c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26" t="s">
        <v>1505</v>
      </c>
      <c r="B665" s="27" t="s">
        <v>1506</v>
      </c>
      <c r="C665" s="32"/>
      <c r="D665" s="27" t="s">
        <v>27</v>
      </c>
      <c r="E665" s="27" t="s">
        <v>28</v>
      </c>
      <c r="F665" s="27" t="s">
        <v>29</v>
      </c>
      <c r="G665" s="27" t="s">
        <v>1507</v>
      </c>
      <c r="H665" s="27" t="s">
        <v>65</v>
      </c>
      <c r="I665" s="28">
        <v>43136.0</v>
      </c>
      <c r="J665" s="28">
        <v>44348.0</v>
      </c>
      <c r="K665" s="30">
        <v>45444.0</v>
      </c>
      <c r="L665" s="31">
        <v>2.0</v>
      </c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26" t="s">
        <v>1508</v>
      </c>
      <c r="B666" s="27" t="s">
        <v>32</v>
      </c>
      <c r="C666" s="27" t="s">
        <v>1509</v>
      </c>
      <c r="D666" s="27" t="s">
        <v>222</v>
      </c>
      <c r="E666" s="27" t="s">
        <v>21</v>
      </c>
      <c r="F666" s="27" t="s">
        <v>370</v>
      </c>
      <c r="G666" s="27" t="s">
        <v>247</v>
      </c>
      <c r="H666" s="27" t="s">
        <v>24</v>
      </c>
      <c r="I666" s="28">
        <v>43132.0</v>
      </c>
      <c r="J666" s="28">
        <v>44348.0</v>
      </c>
      <c r="K666" s="30">
        <v>45809.0</v>
      </c>
      <c r="L666" s="31">
        <v>2.0</v>
      </c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26" t="s">
        <v>1510</v>
      </c>
      <c r="B667" s="27" t="s">
        <v>269</v>
      </c>
      <c r="C667" s="27" t="s">
        <v>146</v>
      </c>
      <c r="D667" s="27" t="s">
        <v>94</v>
      </c>
      <c r="E667" s="27" t="s">
        <v>21</v>
      </c>
      <c r="F667" s="27" t="s">
        <v>90</v>
      </c>
      <c r="G667" s="27" t="s">
        <v>36</v>
      </c>
      <c r="H667" s="27" t="s">
        <v>295</v>
      </c>
      <c r="I667" s="28">
        <v>43252.0</v>
      </c>
      <c r="J667" s="29"/>
      <c r="K667" s="30">
        <v>44348.0</v>
      </c>
      <c r="L667" s="31">
        <v>1.0</v>
      </c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26" t="s">
        <v>1511</v>
      </c>
      <c r="B668" s="27" t="s">
        <v>18</v>
      </c>
      <c r="C668" s="27" t="s">
        <v>1512</v>
      </c>
      <c r="D668" s="27" t="s">
        <v>108</v>
      </c>
      <c r="E668" s="27" t="s">
        <v>21</v>
      </c>
      <c r="F668" s="27" t="s">
        <v>90</v>
      </c>
      <c r="G668" s="27" t="s">
        <v>46</v>
      </c>
      <c r="H668" s="27" t="s">
        <v>425</v>
      </c>
      <c r="I668" s="28">
        <v>43252.0</v>
      </c>
      <c r="J668" s="29"/>
      <c r="K668" s="30">
        <v>44348.0</v>
      </c>
      <c r="L668" s="31">
        <v>1.0</v>
      </c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26" t="s">
        <v>1513</v>
      </c>
      <c r="B669" s="27" t="s">
        <v>116</v>
      </c>
      <c r="C669" s="27" t="s">
        <v>1514</v>
      </c>
      <c r="D669" s="27" t="s">
        <v>94</v>
      </c>
      <c r="E669" s="27" t="s">
        <v>21</v>
      </c>
      <c r="F669" s="27" t="s">
        <v>35</v>
      </c>
      <c r="G669" s="27" t="s">
        <v>23</v>
      </c>
      <c r="H669" s="27" t="s">
        <v>37</v>
      </c>
      <c r="I669" s="28">
        <v>43617.0</v>
      </c>
      <c r="J669" s="29"/>
      <c r="K669" s="30">
        <v>44713.0</v>
      </c>
      <c r="L669" s="31">
        <v>1.0</v>
      </c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26" t="s">
        <v>1515</v>
      </c>
      <c r="B670" s="27" t="s">
        <v>145</v>
      </c>
      <c r="C670" s="27" t="s">
        <v>1516</v>
      </c>
      <c r="D670" s="27" t="s">
        <v>282</v>
      </c>
      <c r="E670" s="27" t="s">
        <v>21</v>
      </c>
      <c r="F670" s="27" t="s">
        <v>642</v>
      </c>
      <c r="G670" s="27" t="s">
        <v>137</v>
      </c>
      <c r="H670" s="27" t="s">
        <v>135</v>
      </c>
      <c r="I670" s="28">
        <v>43252.0</v>
      </c>
      <c r="J670" s="28">
        <v>44348.0</v>
      </c>
      <c r="K670" s="30">
        <v>45444.0</v>
      </c>
      <c r="L670" s="31">
        <v>2.0</v>
      </c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26" t="s">
        <v>1517</v>
      </c>
      <c r="B671" s="27" t="s">
        <v>217</v>
      </c>
      <c r="C671" s="27" t="s">
        <v>1518</v>
      </c>
      <c r="D671" s="27" t="s">
        <v>20</v>
      </c>
      <c r="E671" s="27" t="s">
        <v>21</v>
      </c>
      <c r="F671" s="27" t="s">
        <v>35</v>
      </c>
      <c r="G671" s="27" t="s">
        <v>23</v>
      </c>
      <c r="H671" s="27" t="s">
        <v>233</v>
      </c>
      <c r="I671" s="28">
        <v>43617.0</v>
      </c>
      <c r="J671" s="29"/>
      <c r="K671" s="30">
        <v>44713.0</v>
      </c>
      <c r="L671" s="31">
        <v>1.0</v>
      </c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26" t="s">
        <v>1519</v>
      </c>
      <c r="B672" s="27" t="s">
        <v>272</v>
      </c>
      <c r="C672" s="27" t="s">
        <v>1518</v>
      </c>
      <c r="D672" s="27" t="s">
        <v>20</v>
      </c>
      <c r="E672" s="27" t="s">
        <v>21</v>
      </c>
      <c r="F672" s="27" t="s">
        <v>35</v>
      </c>
      <c r="G672" s="27" t="s">
        <v>23</v>
      </c>
      <c r="H672" s="27" t="s">
        <v>233</v>
      </c>
      <c r="I672" s="28">
        <v>43617.0</v>
      </c>
      <c r="J672" s="29"/>
      <c r="K672" s="30">
        <v>44713.0</v>
      </c>
      <c r="L672" s="31">
        <v>1.0</v>
      </c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26" t="s">
        <v>1520</v>
      </c>
      <c r="B673" s="27" t="s">
        <v>76</v>
      </c>
      <c r="C673" s="27" t="s">
        <v>401</v>
      </c>
      <c r="D673" s="27" t="s">
        <v>44</v>
      </c>
      <c r="E673" s="27" t="s">
        <v>21</v>
      </c>
      <c r="F673" s="27" t="s">
        <v>71</v>
      </c>
      <c r="G673" s="27" t="s">
        <v>46</v>
      </c>
      <c r="H673" s="27" t="s">
        <v>211</v>
      </c>
      <c r="I673" s="28">
        <v>43252.0</v>
      </c>
      <c r="J673" s="29"/>
      <c r="K673" s="30">
        <v>44348.0</v>
      </c>
      <c r="L673" s="31">
        <v>1.0</v>
      </c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26" t="s">
        <v>1521</v>
      </c>
      <c r="B674" s="27" t="s">
        <v>1522</v>
      </c>
      <c r="C674" s="27" t="s">
        <v>833</v>
      </c>
      <c r="D674" s="27" t="s">
        <v>313</v>
      </c>
      <c r="E674" s="27" t="s">
        <v>21</v>
      </c>
      <c r="F674" s="32"/>
      <c r="G674" s="32"/>
      <c r="H674" s="27" t="s">
        <v>24</v>
      </c>
      <c r="I674" s="28">
        <v>41640.0</v>
      </c>
      <c r="J674" s="29"/>
      <c r="K674" s="30">
        <v>45658.0</v>
      </c>
      <c r="L674" s="31">
        <v>1.0</v>
      </c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26" t="s">
        <v>1523</v>
      </c>
      <c r="B675" s="27" t="s">
        <v>351</v>
      </c>
      <c r="C675" s="27" t="s">
        <v>605</v>
      </c>
      <c r="D675" s="27" t="s">
        <v>130</v>
      </c>
      <c r="E675" s="27" t="s">
        <v>21</v>
      </c>
      <c r="F675" s="27" t="s">
        <v>71</v>
      </c>
      <c r="G675" s="27" t="s">
        <v>46</v>
      </c>
      <c r="H675" s="27" t="s">
        <v>975</v>
      </c>
      <c r="I675" s="28">
        <v>42887.0</v>
      </c>
      <c r="J675" s="28">
        <v>44348.0</v>
      </c>
      <c r="K675" s="30">
        <v>45444.0</v>
      </c>
      <c r="L675" s="31">
        <v>2.0</v>
      </c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26" t="s">
        <v>1523</v>
      </c>
      <c r="B676" s="27" t="s">
        <v>116</v>
      </c>
      <c r="C676" s="27" t="s">
        <v>1524</v>
      </c>
      <c r="D676" s="27" t="s">
        <v>851</v>
      </c>
      <c r="E676" s="27" t="s">
        <v>21</v>
      </c>
      <c r="F676" s="27" t="s">
        <v>144</v>
      </c>
      <c r="G676" s="27" t="s">
        <v>1525</v>
      </c>
      <c r="H676" s="27" t="s">
        <v>135</v>
      </c>
      <c r="I676" s="28">
        <v>43252.0</v>
      </c>
      <c r="J676" s="29"/>
      <c r="K676" s="30">
        <v>44348.0</v>
      </c>
      <c r="L676" s="31">
        <v>1.0</v>
      </c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26" t="s">
        <v>1526</v>
      </c>
      <c r="B677" s="27" t="s">
        <v>249</v>
      </c>
      <c r="C677" s="27" t="s">
        <v>1527</v>
      </c>
      <c r="D677" s="27" t="s">
        <v>20</v>
      </c>
      <c r="E677" s="27" t="s">
        <v>21</v>
      </c>
      <c r="F677" s="27" t="s">
        <v>56</v>
      </c>
      <c r="G677" s="27" t="s">
        <v>23</v>
      </c>
      <c r="H677" s="27" t="s">
        <v>233</v>
      </c>
      <c r="I677" s="28">
        <v>43617.0</v>
      </c>
      <c r="J677" s="29"/>
      <c r="K677" s="30">
        <v>44713.0</v>
      </c>
      <c r="L677" s="31">
        <v>1.0</v>
      </c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26" t="s">
        <v>1528</v>
      </c>
      <c r="B678" s="27" t="s">
        <v>394</v>
      </c>
      <c r="C678" s="27" t="s">
        <v>1529</v>
      </c>
      <c r="D678" s="27" t="s">
        <v>108</v>
      </c>
      <c r="E678" s="27" t="s">
        <v>21</v>
      </c>
      <c r="F678" s="27" t="s">
        <v>109</v>
      </c>
      <c r="G678" s="27" t="s">
        <v>46</v>
      </c>
      <c r="H678" s="27" t="s">
        <v>119</v>
      </c>
      <c r="I678" s="28">
        <v>43617.0</v>
      </c>
      <c r="J678" s="29"/>
      <c r="K678" s="30">
        <v>45078.0</v>
      </c>
      <c r="L678" s="31">
        <v>1.0</v>
      </c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33" t="s">
        <v>1530</v>
      </c>
      <c r="B679" s="34" t="s">
        <v>1531</v>
      </c>
      <c r="C679" s="34" t="s">
        <v>1455</v>
      </c>
      <c r="D679" s="34" t="s">
        <v>282</v>
      </c>
      <c r="E679" s="34" t="s">
        <v>21</v>
      </c>
      <c r="F679" s="34" t="s">
        <v>45</v>
      </c>
      <c r="G679" s="34" t="s">
        <v>23</v>
      </c>
      <c r="H679" s="34" t="s">
        <v>149</v>
      </c>
      <c r="I679" s="30">
        <v>42522.0</v>
      </c>
      <c r="J679" s="36"/>
      <c r="K679" s="30">
        <v>44713.0</v>
      </c>
      <c r="L679" s="31">
        <v>1.0</v>
      </c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26" t="s">
        <v>1532</v>
      </c>
      <c r="B680" s="27" t="s">
        <v>145</v>
      </c>
      <c r="C680" s="27" t="s">
        <v>1516</v>
      </c>
      <c r="D680" s="27" t="s">
        <v>282</v>
      </c>
      <c r="E680" s="27" t="s">
        <v>21</v>
      </c>
      <c r="F680" s="27" t="s">
        <v>90</v>
      </c>
      <c r="G680" s="27" t="s">
        <v>36</v>
      </c>
      <c r="H680" s="27" t="s">
        <v>255</v>
      </c>
      <c r="I680" s="28">
        <v>42887.0</v>
      </c>
      <c r="J680" s="29"/>
      <c r="K680" s="30">
        <v>43983.0</v>
      </c>
      <c r="L680" s="31">
        <v>1.0</v>
      </c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26" t="s">
        <v>1533</v>
      </c>
      <c r="B681" s="27" t="s">
        <v>351</v>
      </c>
      <c r="C681" s="27" t="s">
        <v>1534</v>
      </c>
      <c r="D681" s="27" t="s">
        <v>20</v>
      </c>
      <c r="E681" s="27" t="s">
        <v>21</v>
      </c>
      <c r="F681" s="27" t="s">
        <v>79</v>
      </c>
      <c r="G681" s="27" t="s">
        <v>23</v>
      </c>
      <c r="H681" s="27" t="s">
        <v>328</v>
      </c>
      <c r="I681" s="28">
        <v>43252.0</v>
      </c>
      <c r="J681" s="29"/>
      <c r="K681" s="30">
        <v>44348.0</v>
      </c>
      <c r="L681" s="31">
        <v>1.0</v>
      </c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26" t="s">
        <v>1535</v>
      </c>
      <c r="B682" s="27" t="s">
        <v>82</v>
      </c>
      <c r="C682" s="32"/>
      <c r="D682" s="27" t="s">
        <v>27</v>
      </c>
      <c r="E682" s="27" t="s">
        <v>39</v>
      </c>
      <c r="F682" s="27" t="s">
        <v>40</v>
      </c>
      <c r="G682" s="27" t="s">
        <v>1536</v>
      </c>
      <c r="H682" s="27" t="s">
        <v>40</v>
      </c>
      <c r="I682" s="28">
        <v>42401.0</v>
      </c>
      <c r="J682" s="29"/>
      <c r="K682" s="30">
        <v>44713.0</v>
      </c>
      <c r="L682" s="31">
        <v>1.0</v>
      </c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26" t="s">
        <v>1537</v>
      </c>
      <c r="B683" s="27" t="s">
        <v>466</v>
      </c>
      <c r="C683" s="27" t="s">
        <v>1538</v>
      </c>
      <c r="D683" s="27" t="s">
        <v>44</v>
      </c>
      <c r="E683" s="27" t="s">
        <v>21</v>
      </c>
      <c r="F683" s="27" t="s">
        <v>45</v>
      </c>
      <c r="G683" s="27" t="s">
        <v>46</v>
      </c>
      <c r="H683" s="27" t="s">
        <v>689</v>
      </c>
      <c r="I683" s="28">
        <v>42887.0</v>
      </c>
      <c r="J683" s="29"/>
      <c r="K683" s="30">
        <v>43983.0</v>
      </c>
      <c r="L683" s="31">
        <v>1.0</v>
      </c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26" t="s">
        <v>1539</v>
      </c>
      <c r="B684" s="27" t="s">
        <v>839</v>
      </c>
      <c r="C684" s="27" t="s">
        <v>1540</v>
      </c>
      <c r="D684" s="27" t="s">
        <v>744</v>
      </c>
      <c r="E684" s="27" t="s">
        <v>21</v>
      </c>
      <c r="F684" s="27" t="s">
        <v>90</v>
      </c>
      <c r="G684" s="27" t="s">
        <v>23</v>
      </c>
      <c r="H684" s="27" t="s">
        <v>331</v>
      </c>
      <c r="I684" s="28">
        <v>43252.0</v>
      </c>
      <c r="J684" s="29"/>
      <c r="K684" s="30">
        <v>44348.0</v>
      </c>
      <c r="L684" s="31">
        <v>1.0</v>
      </c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26" t="s">
        <v>1541</v>
      </c>
      <c r="B685" s="27" t="s">
        <v>120</v>
      </c>
      <c r="C685" s="27" t="s">
        <v>1542</v>
      </c>
      <c r="D685" s="27" t="s">
        <v>130</v>
      </c>
      <c r="E685" s="27" t="s">
        <v>21</v>
      </c>
      <c r="F685" s="27" t="s">
        <v>71</v>
      </c>
      <c r="G685" s="27" t="s">
        <v>23</v>
      </c>
      <c r="H685" s="27" t="s">
        <v>85</v>
      </c>
      <c r="I685" s="28">
        <v>42887.0</v>
      </c>
      <c r="J685" s="29"/>
      <c r="K685" s="30">
        <v>43983.0</v>
      </c>
      <c r="L685" s="31">
        <v>1.0</v>
      </c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33" t="s">
        <v>1543</v>
      </c>
      <c r="B686" s="34" t="s">
        <v>654</v>
      </c>
      <c r="C686" s="34" t="s">
        <v>1396</v>
      </c>
      <c r="D686" s="34" t="s">
        <v>44</v>
      </c>
      <c r="E686" s="34" t="s">
        <v>21</v>
      </c>
      <c r="F686" s="34" t="s">
        <v>56</v>
      </c>
      <c r="G686" s="34" t="s">
        <v>23</v>
      </c>
      <c r="H686" s="34" t="s">
        <v>397</v>
      </c>
      <c r="I686" s="30">
        <v>43617.0</v>
      </c>
      <c r="J686" s="36"/>
      <c r="K686" s="30">
        <v>44713.0</v>
      </c>
      <c r="L686" s="31">
        <v>1.0</v>
      </c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26" t="s">
        <v>1544</v>
      </c>
      <c r="B687" s="27" t="s">
        <v>87</v>
      </c>
      <c r="C687" s="27" t="s">
        <v>1545</v>
      </c>
      <c r="D687" s="27" t="s">
        <v>20</v>
      </c>
      <c r="E687" s="27" t="s">
        <v>21</v>
      </c>
      <c r="F687" s="27" t="s">
        <v>109</v>
      </c>
      <c r="G687" s="27" t="s">
        <v>36</v>
      </c>
      <c r="H687" s="27" t="s">
        <v>233</v>
      </c>
      <c r="I687" s="28">
        <v>43617.0</v>
      </c>
      <c r="J687" s="29"/>
      <c r="K687" s="30">
        <v>44713.0</v>
      </c>
      <c r="L687" s="31">
        <v>1.0</v>
      </c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26" t="s">
        <v>1546</v>
      </c>
      <c r="B688" s="27" t="s">
        <v>654</v>
      </c>
      <c r="C688" s="27" t="s">
        <v>1547</v>
      </c>
      <c r="D688" s="27" t="s">
        <v>44</v>
      </c>
      <c r="E688" s="27" t="s">
        <v>21</v>
      </c>
      <c r="F688" s="27" t="s">
        <v>383</v>
      </c>
      <c r="G688" s="27" t="s">
        <v>46</v>
      </c>
      <c r="H688" s="27" t="s">
        <v>233</v>
      </c>
      <c r="I688" s="28">
        <v>43617.0</v>
      </c>
      <c r="J688" s="28">
        <v>43983.0</v>
      </c>
      <c r="K688" s="30">
        <v>45078.0</v>
      </c>
      <c r="L688" s="31">
        <v>2.0</v>
      </c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26" t="s">
        <v>1548</v>
      </c>
      <c r="B689" s="27" t="s">
        <v>76</v>
      </c>
      <c r="C689" s="27" t="s">
        <v>1549</v>
      </c>
      <c r="D689" s="27" t="s">
        <v>1193</v>
      </c>
      <c r="E689" s="27" t="s">
        <v>21</v>
      </c>
      <c r="F689" s="27" t="s">
        <v>380</v>
      </c>
      <c r="G689" s="32"/>
      <c r="H689" s="27" t="s">
        <v>24</v>
      </c>
      <c r="I689" s="28">
        <v>36892.0</v>
      </c>
      <c r="J689" s="29"/>
      <c r="K689" s="30">
        <v>45809.0</v>
      </c>
      <c r="L689" s="31">
        <v>1.0</v>
      </c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26" t="s">
        <v>1550</v>
      </c>
      <c r="B690" s="27" t="s">
        <v>190</v>
      </c>
      <c r="C690" s="27" t="s">
        <v>146</v>
      </c>
      <c r="D690" s="27" t="s">
        <v>94</v>
      </c>
      <c r="E690" s="27" t="s">
        <v>21</v>
      </c>
      <c r="F690" s="27" t="s">
        <v>79</v>
      </c>
      <c r="G690" s="27" t="s">
        <v>46</v>
      </c>
      <c r="H690" s="27" t="s">
        <v>295</v>
      </c>
      <c r="I690" s="28">
        <v>43252.0</v>
      </c>
      <c r="J690" s="29"/>
      <c r="K690" s="30">
        <v>44348.0</v>
      </c>
      <c r="L690" s="31">
        <v>1.0</v>
      </c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26" t="s">
        <v>1551</v>
      </c>
      <c r="B691" s="27" t="s">
        <v>116</v>
      </c>
      <c r="C691" s="27" t="s">
        <v>476</v>
      </c>
      <c r="D691" s="27" t="s">
        <v>143</v>
      </c>
      <c r="E691" s="27" t="s">
        <v>21</v>
      </c>
      <c r="F691" s="27" t="s">
        <v>638</v>
      </c>
      <c r="G691" s="27" t="s">
        <v>46</v>
      </c>
      <c r="H691" s="27" t="s">
        <v>207</v>
      </c>
      <c r="I691" s="28">
        <v>42887.0</v>
      </c>
      <c r="J691" s="29"/>
      <c r="K691" s="30">
        <v>43983.0</v>
      </c>
      <c r="L691" s="31">
        <v>1.0</v>
      </c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26" t="s">
        <v>1552</v>
      </c>
      <c r="B692" s="27" t="s">
        <v>231</v>
      </c>
      <c r="C692" s="27" t="s">
        <v>1553</v>
      </c>
      <c r="D692" s="27" t="s">
        <v>744</v>
      </c>
      <c r="E692" s="27" t="s">
        <v>21</v>
      </c>
      <c r="F692" s="27" t="s">
        <v>1108</v>
      </c>
      <c r="G692" s="27" t="s">
        <v>46</v>
      </c>
      <c r="H692" s="27" t="s">
        <v>126</v>
      </c>
      <c r="I692" s="28">
        <v>43617.0</v>
      </c>
      <c r="J692" s="29"/>
      <c r="K692" s="30">
        <v>44713.0</v>
      </c>
      <c r="L692" s="31">
        <v>1.0</v>
      </c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26" t="s">
        <v>1554</v>
      </c>
      <c r="B693" s="27" t="s">
        <v>18</v>
      </c>
      <c r="C693" s="27" t="s">
        <v>1555</v>
      </c>
      <c r="D693" s="27" t="s">
        <v>89</v>
      </c>
      <c r="E693" s="27" t="s">
        <v>21</v>
      </c>
      <c r="F693" s="27" t="s">
        <v>79</v>
      </c>
      <c r="G693" s="27" t="s">
        <v>46</v>
      </c>
      <c r="H693" s="27" t="s">
        <v>331</v>
      </c>
      <c r="I693" s="28">
        <v>43252.0</v>
      </c>
      <c r="J693" s="29"/>
      <c r="K693" s="30">
        <v>44348.0</v>
      </c>
      <c r="L693" s="31">
        <v>1.0</v>
      </c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26" t="s">
        <v>1556</v>
      </c>
      <c r="B694" s="27" t="s">
        <v>1557</v>
      </c>
      <c r="C694" s="32"/>
      <c r="D694" s="27" t="s">
        <v>27</v>
      </c>
      <c r="E694" s="27" t="s">
        <v>1558</v>
      </c>
      <c r="F694" s="27" t="s">
        <v>367</v>
      </c>
      <c r="G694" s="27" t="s">
        <v>36</v>
      </c>
      <c r="H694" s="27" t="s">
        <v>24</v>
      </c>
      <c r="I694" s="28">
        <v>42828.0</v>
      </c>
      <c r="J694" s="28">
        <v>43983.0</v>
      </c>
      <c r="K694" s="30">
        <v>45078.0</v>
      </c>
      <c r="L694" s="31">
        <v>2.0</v>
      </c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26" t="s">
        <v>1559</v>
      </c>
      <c r="B695" s="27" t="s">
        <v>1560</v>
      </c>
      <c r="C695" s="32"/>
      <c r="D695" s="27" t="s">
        <v>27</v>
      </c>
      <c r="E695" s="27" t="s">
        <v>706</v>
      </c>
      <c r="F695" s="27" t="s">
        <v>380</v>
      </c>
      <c r="G695" s="32"/>
      <c r="H695" s="27" t="s">
        <v>24</v>
      </c>
      <c r="I695" s="28">
        <v>36892.0</v>
      </c>
      <c r="J695" s="29"/>
      <c r="K695" s="30">
        <v>45809.0</v>
      </c>
      <c r="L695" s="31">
        <v>1.0</v>
      </c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26" t="s">
        <v>1561</v>
      </c>
      <c r="B696" s="27" t="s">
        <v>346</v>
      </c>
      <c r="C696" s="32"/>
      <c r="D696" s="27" t="s">
        <v>27</v>
      </c>
      <c r="E696" s="27" t="s">
        <v>706</v>
      </c>
      <c r="F696" s="27" t="s">
        <v>286</v>
      </c>
      <c r="G696" s="27" t="s">
        <v>23</v>
      </c>
      <c r="H696" s="27" t="s">
        <v>287</v>
      </c>
      <c r="I696" s="28">
        <v>42887.0</v>
      </c>
      <c r="J696" s="29"/>
      <c r="K696" s="30">
        <v>43983.0</v>
      </c>
      <c r="L696" s="31">
        <v>1.0</v>
      </c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26" t="s">
        <v>1562</v>
      </c>
      <c r="B697" s="27" t="s">
        <v>953</v>
      </c>
      <c r="C697" s="27" t="s">
        <v>88</v>
      </c>
      <c r="D697" s="27" t="s">
        <v>89</v>
      </c>
      <c r="E697" s="27" t="s">
        <v>21</v>
      </c>
      <c r="F697" s="27" t="s">
        <v>79</v>
      </c>
      <c r="G697" s="27" t="s">
        <v>36</v>
      </c>
      <c r="H697" s="27" t="s">
        <v>331</v>
      </c>
      <c r="I697" s="28">
        <v>43252.0</v>
      </c>
      <c r="J697" s="29"/>
      <c r="K697" s="30">
        <v>44348.0</v>
      </c>
      <c r="L697" s="31">
        <v>1.0</v>
      </c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26" t="s">
        <v>18</v>
      </c>
      <c r="B698" s="27" t="s">
        <v>266</v>
      </c>
      <c r="C698" s="32"/>
      <c r="D698" s="27" t="s">
        <v>27</v>
      </c>
      <c r="E698" s="27" t="s">
        <v>1563</v>
      </c>
      <c r="F698" s="27" t="s">
        <v>40</v>
      </c>
      <c r="G698" s="27" t="s">
        <v>1564</v>
      </c>
      <c r="H698" s="27" t="s">
        <v>40</v>
      </c>
      <c r="I698" s="28">
        <v>42401.0</v>
      </c>
      <c r="J698" s="29"/>
      <c r="K698" s="30">
        <v>44713.0</v>
      </c>
      <c r="L698" s="31">
        <v>1.0</v>
      </c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26" t="s">
        <v>1565</v>
      </c>
      <c r="B699" s="27" t="s">
        <v>169</v>
      </c>
      <c r="C699" s="27" t="s">
        <v>338</v>
      </c>
      <c r="D699" s="27" t="s">
        <v>282</v>
      </c>
      <c r="E699" s="27" t="s">
        <v>21</v>
      </c>
      <c r="F699" s="27" t="s">
        <v>630</v>
      </c>
      <c r="G699" s="27" t="s">
        <v>46</v>
      </c>
      <c r="H699" s="27" t="s">
        <v>287</v>
      </c>
      <c r="I699" s="28">
        <v>42887.0</v>
      </c>
      <c r="J699" s="29"/>
      <c r="K699" s="30">
        <v>43983.0</v>
      </c>
      <c r="L699" s="31">
        <v>1.0</v>
      </c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26" t="s">
        <v>1566</v>
      </c>
      <c r="B700" s="27" t="s">
        <v>1567</v>
      </c>
      <c r="C700" s="27" t="s">
        <v>1568</v>
      </c>
      <c r="D700" s="27" t="s">
        <v>323</v>
      </c>
      <c r="E700" s="27" t="s">
        <v>21</v>
      </c>
      <c r="F700" s="27" t="s">
        <v>192</v>
      </c>
      <c r="G700" s="27" t="s">
        <v>23</v>
      </c>
      <c r="H700" s="27" t="s">
        <v>126</v>
      </c>
      <c r="I700" s="28">
        <v>43617.0</v>
      </c>
      <c r="J700" s="28">
        <v>44713.0</v>
      </c>
      <c r="K700" s="30">
        <v>45809.0</v>
      </c>
      <c r="L700" s="31">
        <v>2.0</v>
      </c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26" t="s">
        <v>1569</v>
      </c>
      <c r="B701" s="27" t="s">
        <v>1570</v>
      </c>
      <c r="C701" s="27" t="s">
        <v>1239</v>
      </c>
      <c r="D701" s="27" t="s">
        <v>34</v>
      </c>
      <c r="E701" s="27" t="s">
        <v>21</v>
      </c>
      <c r="F701" s="27" t="s">
        <v>739</v>
      </c>
      <c r="G701" s="27" t="s">
        <v>46</v>
      </c>
      <c r="H701" s="27" t="s">
        <v>126</v>
      </c>
      <c r="I701" s="28">
        <v>43617.0</v>
      </c>
      <c r="J701" s="28">
        <v>44713.0</v>
      </c>
      <c r="K701" s="30">
        <v>45809.0</v>
      </c>
      <c r="L701" s="31">
        <v>2.0</v>
      </c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26" t="s">
        <v>1571</v>
      </c>
      <c r="B702" s="27" t="s">
        <v>1572</v>
      </c>
      <c r="C702" s="27" t="s">
        <v>1573</v>
      </c>
      <c r="D702" s="27" t="s">
        <v>78</v>
      </c>
      <c r="E702" s="27" t="s">
        <v>21</v>
      </c>
      <c r="F702" s="27" t="s">
        <v>155</v>
      </c>
      <c r="G702" s="27" t="s">
        <v>1574</v>
      </c>
      <c r="H702" s="27" t="s">
        <v>155</v>
      </c>
      <c r="I702" s="28">
        <v>43132.0</v>
      </c>
      <c r="J702" s="28">
        <v>44348.0</v>
      </c>
      <c r="K702" s="30">
        <v>45444.0</v>
      </c>
      <c r="L702" s="31">
        <v>2.0</v>
      </c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26" t="s">
        <v>1571</v>
      </c>
      <c r="B703" s="27" t="s">
        <v>1575</v>
      </c>
      <c r="C703" s="27" t="s">
        <v>637</v>
      </c>
      <c r="D703" s="27" t="s">
        <v>282</v>
      </c>
      <c r="E703" s="27" t="s">
        <v>21</v>
      </c>
      <c r="F703" s="27" t="s">
        <v>90</v>
      </c>
      <c r="G703" s="27" t="s">
        <v>36</v>
      </c>
      <c r="H703" s="27" t="s">
        <v>207</v>
      </c>
      <c r="I703" s="28">
        <v>42887.0</v>
      </c>
      <c r="J703" s="29"/>
      <c r="K703" s="30">
        <v>43983.0</v>
      </c>
      <c r="L703" s="31">
        <v>1.0</v>
      </c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26" t="s">
        <v>1571</v>
      </c>
      <c r="B704" s="27" t="s">
        <v>150</v>
      </c>
      <c r="C704" s="27" t="s">
        <v>1576</v>
      </c>
      <c r="D704" s="27" t="s">
        <v>282</v>
      </c>
      <c r="E704" s="27" t="s">
        <v>21</v>
      </c>
      <c r="F704" s="27" t="s">
        <v>715</v>
      </c>
      <c r="G704" s="27" t="s">
        <v>23</v>
      </c>
      <c r="H704" s="27" t="s">
        <v>287</v>
      </c>
      <c r="I704" s="28">
        <v>42887.0</v>
      </c>
      <c r="J704" s="29"/>
      <c r="K704" s="30">
        <v>43983.0</v>
      </c>
      <c r="L704" s="31">
        <v>1.0</v>
      </c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26" t="s">
        <v>1577</v>
      </c>
      <c r="B705" s="27" t="s">
        <v>654</v>
      </c>
      <c r="C705" s="27" t="s">
        <v>1578</v>
      </c>
      <c r="D705" s="27" t="s">
        <v>282</v>
      </c>
      <c r="E705" s="27" t="s">
        <v>21</v>
      </c>
      <c r="F705" s="27" t="s">
        <v>1246</v>
      </c>
      <c r="G705" s="27" t="s">
        <v>36</v>
      </c>
      <c r="H705" s="27" t="s">
        <v>207</v>
      </c>
      <c r="I705" s="28">
        <v>42887.0</v>
      </c>
      <c r="J705" s="28">
        <v>43983.0</v>
      </c>
      <c r="K705" s="30">
        <v>45078.0</v>
      </c>
      <c r="L705" s="31">
        <v>2.0</v>
      </c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33" t="s">
        <v>1579</v>
      </c>
      <c r="B706" s="34" t="s">
        <v>351</v>
      </c>
      <c r="C706" s="27" t="s">
        <v>1580</v>
      </c>
      <c r="D706" s="27" t="s">
        <v>130</v>
      </c>
      <c r="E706" s="34" t="s">
        <v>21</v>
      </c>
      <c r="F706" s="27" t="s">
        <v>56</v>
      </c>
      <c r="G706" s="27" t="s">
        <v>23</v>
      </c>
      <c r="H706" s="34" t="s">
        <v>152</v>
      </c>
      <c r="I706" s="30">
        <v>43617.0</v>
      </c>
      <c r="J706" s="36"/>
      <c r="K706" s="30">
        <v>44713.0</v>
      </c>
      <c r="L706" s="31">
        <v>1.0</v>
      </c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26" t="s">
        <v>1411</v>
      </c>
      <c r="B707" s="27" t="s">
        <v>1581</v>
      </c>
      <c r="C707" s="27" t="s">
        <v>347</v>
      </c>
      <c r="D707" s="27" t="s">
        <v>348</v>
      </c>
      <c r="E707" s="27" t="s">
        <v>21</v>
      </c>
      <c r="F707" s="27" t="s">
        <v>56</v>
      </c>
      <c r="G707" s="27" t="s">
        <v>36</v>
      </c>
      <c r="H707" s="27" t="s">
        <v>251</v>
      </c>
      <c r="I707" s="28">
        <v>43617.0</v>
      </c>
      <c r="J707" s="29"/>
      <c r="K707" s="30">
        <v>44713.0</v>
      </c>
      <c r="L707" s="31">
        <v>1.0</v>
      </c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26" t="s">
        <v>1411</v>
      </c>
      <c r="B708" s="27" t="s">
        <v>145</v>
      </c>
      <c r="C708" s="27" t="s">
        <v>1086</v>
      </c>
      <c r="D708" s="27" t="s">
        <v>44</v>
      </c>
      <c r="E708" s="27" t="s">
        <v>21</v>
      </c>
      <c r="F708" s="27" t="s">
        <v>99</v>
      </c>
      <c r="G708" s="27" t="s">
        <v>23</v>
      </c>
      <c r="H708" s="27" t="s">
        <v>425</v>
      </c>
      <c r="I708" s="28">
        <v>43252.0</v>
      </c>
      <c r="J708" s="29"/>
      <c r="K708" s="30">
        <v>44348.0</v>
      </c>
      <c r="L708" s="31">
        <v>1.0</v>
      </c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26" t="s">
        <v>1411</v>
      </c>
      <c r="B709" s="27" t="s">
        <v>150</v>
      </c>
      <c r="C709" s="32"/>
      <c r="D709" s="27" t="s">
        <v>27</v>
      </c>
      <c r="E709" s="27" t="s">
        <v>39</v>
      </c>
      <c r="F709" s="27" t="s">
        <v>40</v>
      </c>
      <c r="G709" s="27" t="s">
        <v>64</v>
      </c>
      <c r="H709" s="27" t="s">
        <v>40</v>
      </c>
      <c r="I709" s="28">
        <v>42401.0</v>
      </c>
      <c r="J709" s="29"/>
      <c r="K709" s="30">
        <v>44713.0</v>
      </c>
      <c r="L709" s="31">
        <v>1.0</v>
      </c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26" t="s">
        <v>1582</v>
      </c>
      <c r="B710" s="27" t="s">
        <v>534</v>
      </c>
      <c r="C710" s="27" t="s">
        <v>1583</v>
      </c>
      <c r="D710" s="27" t="s">
        <v>94</v>
      </c>
      <c r="E710" s="27" t="s">
        <v>21</v>
      </c>
      <c r="F710" s="32"/>
      <c r="G710" s="32"/>
      <c r="H710" s="27" t="s">
        <v>913</v>
      </c>
      <c r="I710" s="28">
        <v>43252.0</v>
      </c>
      <c r="J710" s="29"/>
      <c r="K710" s="30">
        <v>44348.0</v>
      </c>
      <c r="L710" s="31">
        <v>1.0</v>
      </c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26" t="s">
        <v>1584</v>
      </c>
      <c r="B711" s="27" t="s">
        <v>1214</v>
      </c>
      <c r="C711" s="32"/>
      <c r="D711" s="27" t="s">
        <v>27</v>
      </c>
      <c r="E711" s="27" t="s">
        <v>39</v>
      </c>
      <c r="F711" s="27" t="s">
        <v>40</v>
      </c>
      <c r="G711" s="27" t="s">
        <v>159</v>
      </c>
      <c r="H711" s="27" t="s">
        <v>287</v>
      </c>
      <c r="I711" s="28">
        <v>42887.0</v>
      </c>
      <c r="J711" s="29"/>
      <c r="K711" s="30">
        <v>43983.0</v>
      </c>
      <c r="L711" s="31">
        <v>1.0</v>
      </c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26" t="s">
        <v>1585</v>
      </c>
      <c r="B712" s="27" t="s">
        <v>351</v>
      </c>
      <c r="C712" s="27" t="s">
        <v>146</v>
      </c>
      <c r="D712" s="27" t="s">
        <v>94</v>
      </c>
      <c r="E712" s="27" t="s">
        <v>21</v>
      </c>
      <c r="F712" s="27" t="s">
        <v>79</v>
      </c>
      <c r="G712" s="27" t="s">
        <v>23</v>
      </c>
      <c r="H712" s="27" t="s">
        <v>100</v>
      </c>
      <c r="I712" s="28">
        <v>42887.0</v>
      </c>
      <c r="J712" s="29"/>
      <c r="K712" s="30">
        <v>43983.0</v>
      </c>
      <c r="L712" s="31">
        <v>1.0</v>
      </c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26" t="s">
        <v>1585</v>
      </c>
      <c r="B713" s="27" t="s">
        <v>1586</v>
      </c>
      <c r="C713" s="32"/>
      <c r="D713" s="27" t="s">
        <v>27</v>
      </c>
      <c r="E713" s="27" t="s">
        <v>136</v>
      </c>
      <c r="F713" s="27" t="s">
        <v>40</v>
      </c>
      <c r="G713" s="27" t="s">
        <v>61</v>
      </c>
      <c r="H713" s="27" t="s">
        <v>40</v>
      </c>
      <c r="I713" s="28">
        <v>42401.0</v>
      </c>
      <c r="J713" s="29"/>
      <c r="K713" s="30">
        <v>44713.0</v>
      </c>
      <c r="L713" s="31">
        <v>1.0</v>
      </c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26" t="s">
        <v>1585</v>
      </c>
      <c r="B714" s="27" t="s">
        <v>493</v>
      </c>
      <c r="C714" s="27" t="s">
        <v>1179</v>
      </c>
      <c r="D714" s="27" t="s">
        <v>94</v>
      </c>
      <c r="E714" s="27" t="s">
        <v>21</v>
      </c>
      <c r="F714" s="27" t="s">
        <v>90</v>
      </c>
      <c r="G714" s="27" t="s">
        <v>23</v>
      </c>
      <c r="H714" s="27" t="s">
        <v>295</v>
      </c>
      <c r="I714" s="28">
        <v>43252.0</v>
      </c>
      <c r="J714" s="29"/>
      <c r="K714" s="30">
        <v>44348.0</v>
      </c>
      <c r="L714" s="31">
        <v>1.0</v>
      </c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26" t="s">
        <v>1587</v>
      </c>
      <c r="B715" s="27" t="s">
        <v>154</v>
      </c>
      <c r="C715" s="27" t="s">
        <v>1138</v>
      </c>
      <c r="D715" s="27" t="s">
        <v>282</v>
      </c>
      <c r="E715" s="27" t="s">
        <v>21</v>
      </c>
      <c r="F715" s="27" t="s">
        <v>45</v>
      </c>
      <c r="G715" s="27" t="s">
        <v>36</v>
      </c>
      <c r="H715" s="27" t="s">
        <v>100</v>
      </c>
      <c r="I715" s="28">
        <v>42887.0</v>
      </c>
      <c r="J715" s="29"/>
      <c r="K715" s="30">
        <v>43983.0</v>
      </c>
      <c r="L715" s="31">
        <v>1.0</v>
      </c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26" t="s">
        <v>1588</v>
      </c>
      <c r="B716" s="27" t="s">
        <v>1589</v>
      </c>
      <c r="C716" s="27" t="s">
        <v>1590</v>
      </c>
      <c r="D716" s="27" t="s">
        <v>78</v>
      </c>
      <c r="E716" s="27" t="s">
        <v>21</v>
      </c>
      <c r="F716" s="27" t="s">
        <v>90</v>
      </c>
      <c r="G716" s="27" t="s">
        <v>46</v>
      </c>
      <c r="H716" s="27" t="s">
        <v>244</v>
      </c>
      <c r="I716" s="28">
        <v>42522.0</v>
      </c>
      <c r="J716" s="29"/>
      <c r="K716" s="30">
        <v>43983.0</v>
      </c>
      <c r="L716" s="31">
        <v>1.0</v>
      </c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33" t="s">
        <v>1591</v>
      </c>
      <c r="B717" s="34" t="s">
        <v>227</v>
      </c>
      <c r="C717" s="27" t="s">
        <v>1034</v>
      </c>
      <c r="D717" s="27" t="s">
        <v>130</v>
      </c>
      <c r="E717" s="34" t="s">
        <v>21</v>
      </c>
      <c r="F717" s="27" t="s">
        <v>408</v>
      </c>
      <c r="G717" s="27" t="s">
        <v>264</v>
      </c>
      <c r="H717" s="34" t="s">
        <v>408</v>
      </c>
      <c r="I717" s="30">
        <v>42772.0</v>
      </c>
      <c r="J717" s="30">
        <v>43983.0</v>
      </c>
      <c r="K717" s="30">
        <v>45078.0</v>
      </c>
      <c r="L717" s="31">
        <v>2.0</v>
      </c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26" t="s">
        <v>771</v>
      </c>
      <c r="B718" s="27" t="s">
        <v>546</v>
      </c>
      <c r="C718" s="27" t="s">
        <v>1186</v>
      </c>
      <c r="D718" s="27" t="s">
        <v>323</v>
      </c>
      <c r="E718" s="27" t="s">
        <v>21</v>
      </c>
      <c r="F718" s="27" t="s">
        <v>192</v>
      </c>
      <c r="G718" s="27" t="s">
        <v>23</v>
      </c>
      <c r="H718" s="27" t="s">
        <v>126</v>
      </c>
      <c r="I718" s="28">
        <v>43617.0</v>
      </c>
      <c r="J718" s="28">
        <v>44713.0</v>
      </c>
      <c r="K718" s="30">
        <v>45809.0</v>
      </c>
      <c r="L718" s="31">
        <v>2.0</v>
      </c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26" t="s">
        <v>1592</v>
      </c>
      <c r="B719" s="27" t="s">
        <v>223</v>
      </c>
      <c r="C719" s="27" t="s">
        <v>1414</v>
      </c>
      <c r="D719" s="27" t="s">
        <v>851</v>
      </c>
      <c r="E719" s="27" t="s">
        <v>21</v>
      </c>
      <c r="F719" s="32"/>
      <c r="G719" s="32"/>
      <c r="H719" s="27" t="s">
        <v>913</v>
      </c>
      <c r="I719" s="28">
        <v>43252.0</v>
      </c>
      <c r="J719" s="29"/>
      <c r="K719" s="30">
        <v>44348.0</v>
      </c>
      <c r="L719" s="31">
        <v>1.0</v>
      </c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26" t="s">
        <v>1593</v>
      </c>
      <c r="B720" s="27" t="s">
        <v>702</v>
      </c>
      <c r="C720" s="27" t="s">
        <v>1594</v>
      </c>
      <c r="D720" s="27" t="s">
        <v>282</v>
      </c>
      <c r="E720" s="27" t="s">
        <v>21</v>
      </c>
      <c r="F720" s="32"/>
      <c r="G720" s="32"/>
      <c r="H720" s="27" t="s">
        <v>913</v>
      </c>
      <c r="I720" s="28">
        <v>43252.0</v>
      </c>
      <c r="J720" s="29"/>
      <c r="K720" s="30">
        <v>44348.0</v>
      </c>
      <c r="L720" s="31">
        <v>1.0</v>
      </c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26" t="s">
        <v>1593</v>
      </c>
      <c r="B721" s="27" t="s">
        <v>423</v>
      </c>
      <c r="C721" s="27" t="s">
        <v>93</v>
      </c>
      <c r="D721" s="27" t="s">
        <v>94</v>
      </c>
      <c r="E721" s="27" t="s">
        <v>21</v>
      </c>
      <c r="F721" s="27" t="s">
        <v>79</v>
      </c>
      <c r="G721" s="27" t="s">
        <v>36</v>
      </c>
      <c r="H721" s="27" t="s">
        <v>425</v>
      </c>
      <c r="I721" s="28">
        <v>43252.0</v>
      </c>
      <c r="J721" s="29"/>
      <c r="K721" s="30">
        <v>44348.0</v>
      </c>
      <c r="L721" s="31">
        <v>1.0</v>
      </c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26" t="s">
        <v>1595</v>
      </c>
      <c r="B722" s="27" t="s">
        <v>190</v>
      </c>
      <c r="C722" s="27" t="s">
        <v>834</v>
      </c>
      <c r="D722" s="27" t="s">
        <v>458</v>
      </c>
      <c r="E722" s="27" t="s">
        <v>21</v>
      </c>
      <c r="F722" s="27" t="s">
        <v>71</v>
      </c>
      <c r="G722" s="27" t="s">
        <v>46</v>
      </c>
      <c r="H722" s="27" t="s">
        <v>110</v>
      </c>
      <c r="I722" s="28">
        <v>43617.0</v>
      </c>
      <c r="J722" s="28">
        <v>43983.0</v>
      </c>
      <c r="K722" s="30">
        <v>45078.0</v>
      </c>
      <c r="L722" s="31">
        <v>2.0</v>
      </c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26" t="s">
        <v>1596</v>
      </c>
      <c r="B723" s="27" t="s">
        <v>18</v>
      </c>
      <c r="C723" s="27" t="s">
        <v>363</v>
      </c>
      <c r="D723" s="27" t="s">
        <v>143</v>
      </c>
      <c r="E723" s="27" t="s">
        <v>21</v>
      </c>
      <c r="F723" s="27" t="s">
        <v>90</v>
      </c>
      <c r="G723" s="27" t="s">
        <v>46</v>
      </c>
      <c r="H723" s="27" t="s">
        <v>255</v>
      </c>
      <c r="I723" s="28">
        <v>42887.0</v>
      </c>
      <c r="J723" s="29"/>
      <c r="K723" s="30">
        <v>43983.0</v>
      </c>
      <c r="L723" s="31">
        <v>1.0</v>
      </c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26" t="s">
        <v>1597</v>
      </c>
      <c r="B724" s="27" t="s">
        <v>647</v>
      </c>
      <c r="C724" s="27" t="s">
        <v>1598</v>
      </c>
      <c r="D724" s="27" t="s">
        <v>222</v>
      </c>
      <c r="E724" s="27" t="s">
        <v>21</v>
      </c>
      <c r="F724" s="27" t="s">
        <v>1187</v>
      </c>
      <c r="G724" s="27" t="s">
        <v>23</v>
      </c>
      <c r="H724" s="27" t="s">
        <v>126</v>
      </c>
      <c r="I724" s="28">
        <v>43617.0</v>
      </c>
      <c r="J724" s="29"/>
      <c r="K724" s="30">
        <v>44713.0</v>
      </c>
      <c r="L724" s="31">
        <v>1.0</v>
      </c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26" t="s">
        <v>1599</v>
      </c>
      <c r="B725" s="27" t="s">
        <v>150</v>
      </c>
      <c r="C725" s="27" t="s">
        <v>1154</v>
      </c>
      <c r="D725" s="27" t="s">
        <v>222</v>
      </c>
      <c r="E725" s="27" t="s">
        <v>21</v>
      </c>
      <c r="F725" s="27" t="s">
        <v>79</v>
      </c>
      <c r="G725" s="27" t="s">
        <v>36</v>
      </c>
      <c r="H725" s="27" t="s">
        <v>328</v>
      </c>
      <c r="I725" s="28">
        <v>43252.0</v>
      </c>
      <c r="J725" s="29"/>
      <c r="K725" s="30">
        <v>44348.0</v>
      </c>
      <c r="L725" s="31">
        <v>1.0</v>
      </c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26" t="s">
        <v>1600</v>
      </c>
      <c r="B726" s="27" t="s">
        <v>1601</v>
      </c>
      <c r="C726" s="32"/>
      <c r="D726" s="27" t="s">
        <v>27</v>
      </c>
      <c r="E726" s="27" t="s">
        <v>28</v>
      </c>
      <c r="F726" s="27" t="s">
        <v>29</v>
      </c>
      <c r="G726" s="27" t="s">
        <v>467</v>
      </c>
      <c r="H726" s="27" t="s">
        <v>65</v>
      </c>
      <c r="I726" s="28">
        <v>43136.0</v>
      </c>
      <c r="J726" s="28">
        <v>44348.0</v>
      </c>
      <c r="K726" s="30">
        <v>45444.0</v>
      </c>
      <c r="L726" s="31">
        <v>2.0</v>
      </c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26" t="s">
        <v>1602</v>
      </c>
      <c r="B727" s="27" t="s">
        <v>556</v>
      </c>
      <c r="C727" s="32"/>
      <c r="D727" s="27" t="s">
        <v>27</v>
      </c>
      <c r="E727" s="27" t="s">
        <v>39</v>
      </c>
      <c r="F727" s="27" t="s">
        <v>40</v>
      </c>
      <c r="G727" s="27" t="s">
        <v>797</v>
      </c>
      <c r="H727" s="27" t="s">
        <v>40</v>
      </c>
      <c r="I727" s="28">
        <v>42767.0</v>
      </c>
      <c r="J727" s="28">
        <v>43983.0</v>
      </c>
      <c r="K727" s="30">
        <v>45078.0</v>
      </c>
      <c r="L727" s="31">
        <v>2.0</v>
      </c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26" t="s">
        <v>1603</v>
      </c>
      <c r="B728" s="27" t="s">
        <v>423</v>
      </c>
      <c r="C728" s="27" t="s">
        <v>1604</v>
      </c>
      <c r="D728" s="27" t="s">
        <v>313</v>
      </c>
      <c r="E728" s="27" t="s">
        <v>21</v>
      </c>
      <c r="F728" s="27" t="s">
        <v>495</v>
      </c>
      <c r="G728" s="27" t="s">
        <v>23</v>
      </c>
      <c r="H728" s="27" t="s">
        <v>126</v>
      </c>
      <c r="I728" s="28">
        <v>43617.0</v>
      </c>
      <c r="J728" s="29"/>
      <c r="K728" s="30">
        <v>44713.0</v>
      </c>
      <c r="L728" s="31">
        <v>1.0</v>
      </c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26" t="s">
        <v>1605</v>
      </c>
      <c r="B729" s="27" t="s">
        <v>1606</v>
      </c>
      <c r="C729" s="32"/>
      <c r="D729" s="27" t="s">
        <v>27</v>
      </c>
      <c r="E729" s="27" t="s">
        <v>70</v>
      </c>
      <c r="F729" s="27" t="s">
        <v>408</v>
      </c>
      <c r="G729" s="27" t="s">
        <v>64</v>
      </c>
      <c r="H729" s="27" t="s">
        <v>408</v>
      </c>
      <c r="I729" s="28">
        <v>42769.0</v>
      </c>
      <c r="J729" s="28">
        <v>43983.0</v>
      </c>
      <c r="K729" s="30">
        <v>45078.0</v>
      </c>
      <c r="L729" s="31">
        <v>2.0</v>
      </c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26" t="s">
        <v>1607</v>
      </c>
      <c r="B730" s="27" t="s">
        <v>1608</v>
      </c>
      <c r="C730" s="27" t="s">
        <v>1406</v>
      </c>
      <c r="D730" s="27" t="s">
        <v>78</v>
      </c>
      <c r="E730" s="27" t="s">
        <v>21</v>
      </c>
      <c r="F730" s="27" t="s">
        <v>90</v>
      </c>
      <c r="G730" s="27" t="s">
        <v>36</v>
      </c>
      <c r="H730" s="27" t="s">
        <v>80</v>
      </c>
      <c r="I730" s="28">
        <v>43252.0</v>
      </c>
      <c r="J730" s="29"/>
      <c r="K730" s="30">
        <v>44348.0</v>
      </c>
      <c r="L730" s="31">
        <v>1.0</v>
      </c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26" t="s">
        <v>1609</v>
      </c>
      <c r="B731" s="27" t="s">
        <v>353</v>
      </c>
      <c r="C731" s="27" t="s">
        <v>1610</v>
      </c>
      <c r="D731" s="27" t="s">
        <v>282</v>
      </c>
      <c r="E731" s="27" t="s">
        <v>21</v>
      </c>
      <c r="F731" s="27" t="s">
        <v>380</v>
      </c>
      <c r="G731" s="32"/>
      <c r="H731" s="27" t="s">
        <v>24</v>
      </c>
      <c r="I731" s="28">
        <v>36892.0</v>
      </c>
      <c r="J731" s="29"/>
      <c r="K731" s="30">
        <v>45809.0</v>
      </c>
      <c r="L731" s="31">
        <v>1.0</v>
      </c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26" t="s">
        <v>1611</v>
      </c>
      <c r="B732" s="27" t="s">
        <v>1612</v>
      </c>
      <c r="C732" s="32"/>
      <c r="D732" s="27" t="s">
        <v>27</v>
      </c>
      <c r="E732" s="27" t="s">
        <v>930</v>
      </c>
      <c r="F732" s="27" t="s">
        <v>29</v>
      </c>
      <c r="G732" s="27" t="s">
        <v>1613</v>
      </c>
      <c r="H732" s="27" t="s">
        <v>65</v>
      </c>
      <c r="I732" s="28">
        <v>43136.0</v>
      </c>
      <c r="J732" s="28">
        <v>44348.0</v>
      </c>
      <c r="K732" s="30">
        <v>45444.0</v>
      </c>
      <c r="L732" s="31">
        <v>2.0</v>
      </c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26" t="s">
        <v>1614</v>
      </c>
      <c r="B733" s="27" t="s">
        <v>1615</v>
      </c>
      <c r="C733" s="32"/>
      <c r="D733" s="27" t="s">
        <v>27</v>
      </c>
      <c r="E733" s="27" t="s">
        <v>28</v>
      </c>
      <c r="F733" s="27" t="s">
        <v>29</v>
      </c>
      <c r="G733" s="27" t="s">
        <v>1574</v>
      </c>
      <c r="H733" s="27" t="s">
        <v>29</v>
      </c>
      <c r="I733" s="28">
        <v>42401.0</v>
      </c>
      <c r="J733" s="29"/>
      <c r="K733" s="30">
        <v>44713.0</v>
      </c>
      <c r="L733" s="31">
        <v>1.0</v>
      </c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26" t="s">
        <v>1616</v>
      </c>
      <c r="B734" s="27" t="s">
        <v>1617</v>
      </c>
      <c r="C734" s="27" t="s">
        <v>1618</v>
      </c>
      <c r="D734" s="27" t="s">
        <v>44</v>
      </c>
      <c r="E734" s="27" t="s">
        <v>21</v>
      </c>
      <c r="F734" s="27" t="s">
        <v>95</v>
      </c>
      <c r="G734" s="27" t="s">
        <v>36</v>
      </c>
      <c r="H734" s="27" t="s">
        <v>397</v>
      </c>
      <c r="I734" s="28">
        <v>43617.0</v>
      </c>
      <c r="J734" s="29"/>
      <c r="K734" s="30">
        <v>44713.0</v>
      </c>
      <c r="L734" s="31">
        <v>1.0</v>
      </c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26" t="s">
        <v>1619</v>
      </c>
      <c r="B735" s="27" t="s">
        <v>1620</v>
      </c>
      <c r="C735" s="32"/>
      <c r="D735" s="27" t="s">
        <v>27</v>
      </c>
      <c r="E735" s="27" t="s">
        <v>28</v>
      </c>
      <c r="F735" s="27" t="s">
        <v>29</v>
      </c>
      <c r="G735" s="27" t="s">
        <v>586</v>
      </c>
      <c r="H735" s="27" t="s">
        <v>29</v>
      </c>
      <c r="I735" s="28">
        <v>42401.0</v>
      </c>
      <c r="J735" s="29"/>
      <c r="K735" s="30">
        <v>44713.0</v>
      </c>
      <c r="L735" s="31">
        <v>1.0</v>
      </c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26" t="s">
        <v>1621</v>
      </c>
      <c r="B736" s="27" t="s">
        <v>87</v>
      </c>
      <c r="C736" s="27" t="s">
        <v>54</v>
      </c>
      <c r="D736" s="27" t="s">
        <v>641</v>
      </c>
      <c r="E736" s="27" t="s">
        <v>21</v>
      </c>
      <c r="F736" s="27" t="s">
        <v>99</v>
      </c>
      <c r="G736" s="27" t="s">
        <v>46</v>
      </c>
      <c r="H736" s="27" t="s">
        <v>339</v>
      </c>
      <c r="I736" s="28">
        <v>43252.0</v>
      </c>
      <c r="J736" s="29"/>
      <c r="K736" s="30">
        <v>44348.0</v>
      </c>
      <c r="L736" s="31">
        <v>1.0</v>
      </c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26" t="s">
        <v>1622</v>
      </c>
      <c r="B737" s="27" t="s">
        <v>223</v>
      </c>
      <c r="C737" s="27" t="s">
        <v>1623</v>
      </c>
      <c r="D737" s="27" t="s">
        <v>118</v>
      </c>
      <c r="E737" s="27" t="s">
        <v>21</v>
      </c>
      <c r="F737" s="27" t="s">
        <v>642</v>
      </c>
      <c r="G737" s="27" t="s">
        <v>36</v>
      </c>
      <c r="H737" s="27" t="s">
        <v>975</v>
      </c>
      <c r="I737" s="28">
        <v>43252.0</v>
      </c>
      <c r="J737" s="29"/>
      <c r="K737" s="30">
        <v>44348.0</v>
      </c>
      <c r="L737" s="31">
        <v>1.0</v>
      </c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26" t="s">
        <v>1624</v>
      </c>
      <c r="B738" s="27" t="s">
        <v>190</v>
      </c>
      <c r="C738" s="27" t="s">
        <v>652</v>
      </c>
      <c r="D738" s="27" t="s">
        <v>55</v>
      </c>
      <c r="E738" s="27" t="s">
        <v>21</v>
      </c>
      <c r="F738" s="27" t="s">
        <v>109</v>
      </c>
      <c r="G738" s="27" t="s">
        <v>36</v>
      </c>
      <c r="H738" s="27" t="s">
        <v>57</v>
      </c>
      <c r="I738" s="28">
        <v>43617.0</v>
      </c>
      <c r="J738" s="29"/>
      <c r="K738" s="30">
        <v>44713.0</v>
      </c>
      <c r="L738" s="31">
        <v>1.0</v>
      </c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26" t="s">
        <v>1624</v>
      </c>
      <c r="B739" s="27" t="s">
        <v>106</v>
      </c>
      <c r="C739" s="27" t="s">
        <v>273</v>
      </c>
      <c r="D739" s="27" t="s">
        <v>94</v>
      </c>
      <c r="E739" s="27" t="s">
        <v>21</v>
      </c>
      <c r="F739" s="27" t="s">
        <v>314</v>
      </c>
      <c r="G739" s="27" t="s">
        <v>23</v>
      </c>
      <c r="H739" s="27" t="s">
        <v>147</v>
      </c>
      <c r="I739" s="28">
        <v>42887.0</v>
      </c>
      <c r="J739" s="29"/>
      <c r="K739" s="30">
        <v>43983.0</v>
      </c>
      <c r="L739" s="31">
        <v>1.0</v>
      </c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33" t="s">
        <v>1625</v>
      </c>
      <c r="B740" s="34" t="s">
        <v>82</v>
      </c>
      <c r="C740" s="34" t="s">
        <v>1209</v>
      </c>
      <c r="D740" s="34" t="s">
        <v>428</v>
      </c>
      <c r="E740" s="34" t="s">
        <v>21</v>
      </c>
      <c r="F740" s="34" t="s">
        <v>56</v>
      </c>
      <c r="G740" s="34" t="s">
        <v>36</v>
      </c>
      <c r="H740" s="34" t="s">
        <v>110</v>
      </c>
      <c r="I740" s="30">
        <v>43617.0</v>
      </c>
      <c r="J740" s="36"/>
      <c r="K740" s="30">
        <v>44713.0</v>
      </c>
      <c r="L740" s="31">
        <v>1.0</v>
      </c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26" t="s">
        <v>1626</v>
      </c>
      <c r="B741" s="27" t="s">
        <v>18</v>
      </c>
      <c r="C741" s="32"/>
      <c r="D741" s="27" t="s">
        <v>27</v>
      </c>
      <c r="E741" s="27" t="s">
        <v>27</v>
      </c>
      <c r="F741" s="27" t="s">
        <v>155</v>
      </c>
      <c r="G741" s="27" t="s">
        <v>736</v>
      </c>
      <c r="H741" s="27" t="s">
        <v>155</v>
      </c>
      <c r="I741" s="28">
        <v>43132.0</v>
      </c>
      <c r="J741" s="28">
        <v>44348.0</v>
      </c>
      <c r="K741" s="30">
        <v>45444.0</v>
      </c>
      <c r="L741" s="31">
        <v>2.0</v>
      </c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33" t="s">
        <v>1627</v>
      </c>
      <c r="B742" s="34" t="s">
        <v>1628</v>
      </c>
      <c r="C742" s="34" t="s">
        <v>1000</v>
      </c>
      <c r="D742" s="34" t="s">
        <v>183</v>
      </c>
      <c r="E742" s="34" t="s">
        <v>21</v>
      </c>
      <c r="F742" s="34" t="s">
        <v>380</v>
      </c>
      <c r="G742" s="35"/>
      <c r="H742" s="34" t="s">
        <v>24</v>
      </c>
      <c r="I742" s="30">
        <v>38124.0</v>
      </c>
      <c r="J742" s="36"/>
      <c r="K742" s="30">
        <v>45809.0</v>
      </c>
      <c r="L742" s="31">
        <v>1.0</v>
      </c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26" t="s">
        <v>1629</v>
      </c>
      <c r="B743" s="27" t="s">
        <v>1581</v>
      </c>
      <c r="C743" s="27" t="s">
        <v>552</v>
      </c>
      <c r="D743" s="27" t="s">
        <v>78</v>
      </c>
      <c r="E743" s="27" t="s">
        <v>21</v>
      </c>
      <c r="F743" s="27" t="s">
        <v>109</v>
      </c>
      <c r="G743" s="27" t="s">
        <v>46</v>
      </c>
      <c r="H743" s="27" t="s">
        <v>434</v>
      </c>
      <c r="I743" s="28">
        <v>43617.0</v>
      </c>
      <c r="J743" s="29"/>
      <c r="K743" s="30">
        <v>44713.0</v>
      </c>
      <c r="L743" s="31">
        <v>1.0</v>
      </c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26" t="s">
        <v>1630</v>
      </c>
      <c r="B744" s="27" t="s">
        <v>1631</v>
      </c>
      <c r="C744" s="32"/>
      <c r="D744" s="27" t="s">
        <v>27</v>
      </c>
      <c r="E744" s="27" t="s">
        <v>27</v>
      </c>
      <c r="F744" s="27" t="s">
        <v>155</v>
      </c>
      <c r="G744" s="27" t="s">
        <v>1613</v>
      </c>
      <c r="H744" s="27" t="s">
        <v>155</v>
      </c>
      <c r="I744" s="28">
        <v>43132.0</v>
      </c>
      <c r="J744" s="28">
        <v>44348.0</v>
      </c>
      <c r="K744" s="30">
        <v>45444.0</v>
      </c>
      <c r="L744" s="31">
        <v>2.0</v>
      </c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26" t="s">
        <v>1632</v>
      </c>
      <c r="B745" s="27" t="s">
        <v>266</v>
      </c>
      <c r="C745" s="27" t="s">
        <v>1633</v>
      </c>
      <c r="D745" s="27" t="s">
        <v>1634</v>
      </c>
      <c r="E745" s="27" t="s">
        <v>21</v>
      </c>
      <c r="F745" s="27" t="s">
        <v>45</v>
      </c>
      <c r="G745" s="27" t="s">
        <v>23</v>
      </c>
      <c r="H745" s="27" t="s">
        <v>135</v>
      </c>
      <c r="I745" s="28">
        <v>43252.0</v>
      </c>
      <c r="J745" s="28">
        <v>44348.0</v>
      </c>
      <c r="K745" s="30">
        <v>45444.0</v>
      </c>
      <c r="L745" s="31">
        <v>2.0</v>
      </c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26" t="s">
        <v>1635</v>
      </c>
      <c r="B746" s="27" t="s">
        <v>1050</v>
      </c>
      <c r="C746" s="27" t="s">
        <v>1636</v>
      </c>
      <c r="D746" s="27" t="s">
        <v>27</v>
      </c>
      <c r="E746" s="27" t="s">
        <v>39</v>
      </c>
      <c r="F746" s="27" t="s">
        <v>40</v>
      </c>
      <c r="G746" s="27" t="s">
        <v>270</v>
      </c>
      <c r="H746" s="27" t="s">
        <v>40</v>
      </c>
      <c r="I746" s="28">
        <v>42401.0</v>
      </c>
      <c r="J746" s="29"/>
      <c r="K746" s="30">
        <v>44713.0</v>
      </c>
      <c r="L746" s="31">
        <v>1.0</v>
      </c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26" t="s">
        <v>1637</v>
      </c>
      <c r="B747" s="27" t="s">
        <v>811</v>
      </c>
      <c r="C747" s="27" t="s">
        <v>1638</v>
      </c>
      <c r="D747" s="27" t="s">
        <v>282</v>
      </c>
      <c r="E747" s="27" t="s">
        <v>21</v>
      </c>
      <c r="F747" s="27" t="s">
        <v>45</v>
      </c>
      <c r="G747" s="27" t="s">
        <v>46</v>
      </c>
      <c r="H747" s="27" t="s">
        <v>135</v>
      </c>
      <c r="I747" s="28">
        <v>43252.0</v>
      </c>
      <c r="J747" s="28">
        <v>44348.0</v>
      </c>
      <c r="K747" s="30">
        <v>45444.0</v>
      </c>
      <c r="L747" s="31">
        <v>2.0</v>
      </c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26" t="s">
        <v>1637</v>
      </c>
      <c r="B748" s="27" t="s">
        <v>1639</v>
      </c>
      <c r="C748" s="27" t="s">
        <v>1640</v>
      </c>
      <c r="D748" s="27" t="s">
        <v>20</v>
      </c>
      <c r="E748" s="27" t="s">
        <v>21</v>
      </c>
      <c r="F748" s="27" t="s">
        <v>79</v>
      </c>
      <c r="G748" s="27" t="s">
        <v>23</v>
      </c>
      <c r="H748" s="27" t="s">
        <v>72</v>
      </c>
      <c r="I748" s="28">
        <v>43252.0</v>
      </c>
      <c r="J748" s="29"/>
      <c r="K748" s="30">
        <v>44348.0</v>
      </c>
      <c r="L748" s="31">
        <v>1.0</v>
      </c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26" t="s">
        <v>1637</v>
      </c>
      <c r="B749" s="27" t="s">
        <v>76</v>
      </c>
      <c r="C749" s="27" t="s">
        <v>1641</v>
      </c>
      <c r="D749" s="27" t="s">
        <v>224</v>
      </c>
      <c r="E749" s="27" t="s">
        <v>21</v>
      </c>
      <c r="F749" s="27" t="s">
        <v>90</v>
      </c>
      <c r="G749" s="27" t="s">
        <v>46</v>
      </c>
      <c r="H749" s="27" t="s">
        <v>184</v>
      </c>
      <c r="I749" s="28">
        <v>42887.0</v>
      </c>
      <c r="J749" s="29"/>
      <c r="K749" s="30">
        <v>43983.0</v>
      </c>
      <c r="L749" s="31">
        <v>1.0</v>
      </c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26" t="s">
        <v>1642</v>
      </c>
      <c r="B750" s="27" t="s">
        <v>369</v>
      </c>
      <c r="C750" s="32"/>
      <c r="D750" s="27" t="s">
        <v>27</v>
      </c>
      <c r="E750" s="27" t="s">
        <v>139</v>
      </c>
      <c r="F750" s="27" t="s">
        <v>40</v>
      </c>
      <c r="G750" s="27" t="s">
        <v>1366</v>
      </c>
      <c r="H750" s="27" t="s">
        <v>40</v>
      </c>
      <c r="I750" s="28">
        <v>42401.0</v>
      </c>
      <c r="J750" s="29"/>
      <c r="K750" s="30">
        <v>44713.0</v>
      </c>
      <c r="L750" s="31">
        <v>1.0</v>
      </c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26" t="s">
        <v>1643</v>
      </c>
      <c r="B751" s="27" t="s">
        <v>42</v>
      </c>
      <c r="C751" s="27" t="s">
        <v>1644</v>
      </c>
      <c r="D751" s="27" t="s">
        <v>222</v>
      </c>
      <c r="E751" s="27" t="s">
        <v>21</v>
      </c>
      <c r="F751" s="27" t="s">
        <v>155</v>
      </c>
      <c r="G751" s="27" t="s">
        <v>1645</v>
      </c>
      <c r="H751" s="27" t="s">
        <v>155</v>
      </c>
      <c r="I751" s="28">
        <v>43132.0</v>
      </c>
      <c r="J751" s="28">
        <v>44348.0</v>
      </c>
      <c r="K751" s="30">
        <v>45444.0</v>
      </c>
      <c r="L751" s="31">
        <v>2.0</v>
      </c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26" t="s">
        <v>1646</v>
      </c>
      <c r="B752" s="27" t="s">
        <v>1381</v>
      </c>
      <c r="C752" s="27" t="s">
        <v>1647</v>
      </c>
      <c r="D752" s="27" t="s">
        <v>313</v>
      </c>
      <c r="E752" s="27" t="s">
        <v>21</v>
      </c>
      <c r="F752" s="27" t="s">
        <v>421</v>
      </c>
      <c r="G752" s="27" t="s">
        <v>36</v>
      </c>
      <c r="H752" s="27" t="s">
        <v>582</v>
      </c>
      <c r="I752" s="28">
        <v>42887.0</v>
      </c>
      <c r="J752" s="29"/>
      <c r="K752" s="30">
        <v>43983.0</v>
      </c>
      <c r="L752" s="31">
        <v>1.0</v>
      </c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26" t="s">
        <v>1648</v>
      </c>
      <c r="B753" s="27" t="s">
        <v>1649</v>
      </c>
      <c r="C753" s="32"/>
      <c r="D753" s="27" t="s">
        <v>27</v>
      </c>
      <c r="E753" s="27" t="s">
        <v>28</v>
      </c>
      <c r="F753" s="27" t="s">
        <v>29</v>
      </c>
      <c r="G753" s="27" t="s">
        <v>114</v>
      </c>
      <c r="H753" s="27" t="s">
        <v>29</v>
      </c>
      <c r="I753" s="28">
        <v>42767.0</v>
      </c>
      <c r="J753" s="28">
        <v>43983.0</v>
      </c>
      <c r="K753" s="30">
        <v>45078.0</v>
      </c>
      <c r="L753" s="31">
        <v>2.0</v>
      </c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26" t="s">
        <v>1650</v>
      </c>
      <c r="B754" s="27" t="s">
        <v>1651</v>
      </c>
      <c r="C754" s="32"/>
      <c r="D754" s="27" t="s">
        <v>27</v>
      </c>
      <c r="E754" s="27" t="s">
        <v>162</v>
      </c>
      <c r="F754" s="27" t="s">
        <v>1246</v>
      </c>
      <c r="G754" s="27" t="s">
        <v>46</v>
      </c>
      <c r="H754" s="27" t="s">
        <v>149</v>
      </c>
      <c r="I754" s="28">
        <v>42522.0</v>
      </c>
      <c r="J754" s="29"/>
      <c r="K754" s="30">
        <v>44713.0</v>
      </c>
      <c r="L754" s="31">
        <v>1.0</v>
      </c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26" t="s">
        <v>1652</v>
      </c>
      <c r="B755" s="27" t="s">
        <v>116</v>
      </c>
      <c r="C755" s="27" t="s">
        <v>1653</v>
      </c>
      <c r="D755" s="27" t="s">
        <v>44</v>
      </c>
      <c r="E755" s="27" t="s">
        <v>21</v>
      </c>
      <c r="F755" s="27" t="s">
        <v>693</v>
      </c>
      <c r="G755" s="27" t="s">
        <v>46</v>
      </c>
      <c r="H755" s="27" t="s">
        <v>135</v>
      </c>
      <c r="I755" s="28">
        <v>43252.0</v>
      </c>
      <c r="J755" s="29"/>
      <c r="K755" s="30">
        <v>44348.0</v>
      </c>
      <c r="L755" s="31">
        <v>1.0</v>
      </c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26" t="s">
        <v>1654</v>
      </c>
      <c r="B756" s="32"/>
      <c r="C756" s="32"/>
      <c r="D756" s="27" t="s">
        <v>27</v>
      </c>
      <c r="E756" s="27" t="s">
        <v>113</v>
      </c>
      <c r="F756" s="27" t="s">
        <v>29</v>
      </c>
      <c r="G756" s="27" t="s">
        <v>1645</v>
      </c>
      <c r="H756" s="27" t="s">
        <v>29</v>
      </c>
      <c r="I756" s="28">
        <v>42401.0</v>
      </c>
      <c r="J756" s="29"/>
      <c r="K756" s="30">
        <v>44713.0</v>
      </c>
      <c r="L756" s="31">
        <v>1.0</v>
      </c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26" t="s">
        <v>1655</v>
      </c>
      <c r="B757" s="27" t="s">
        <v>1427</v>
      </c>
      <c r="C757" s="32"/>
      <c r="D757" s="27" t="s">
        <v>27</v>
      </c>
      <c r="E757" s="27" t="s">
        <v>39</v>
      </c>
      <c r="F757" s="27" t="s">
        <v>40</v>
      </c>
      <c r="G757" s="27" t="s">
        <v>1656</v>
      </c>
      <c r="H757" s="27" t="s">
        <v>40</v>
      </c>
      <c r="I757" s="28">
        <v>43132.0</v>
      </c>
      <c r="J757" s="28">
        <v>44348.0</v>
      </c>
      <c r="K757" s="30">
        <v>45444.0</v>
      </c>
      <c r="L757" s="31">
        <v>2.0</v>
      </c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26" t="s">
        <v>1655</v>
      </c>
      <c r="B758" s="27" t="s">
        <v>275</v>
      </c>
      <c r="C758" s="27" t="s">
        <v>1086</v>
      </c>
      <c r="D758" s="27" t="s">
        <v>44</v>
      </c>
      <c r="E758" s="27" t="s">
        <v>21</v>
      </c>
      <c r="F758" s="27" t="s">
        <v>99</v>
      </c>
      <c r="G758" s="27" t="s">
        <v>36</v>
      </c>
      <c r="H758" s="27" t="s">
        <v>100</v>
      </c>
      <c r="I758" s="28">
        <v>42887.0</v>
      </c>
      <c r="J758" s="29"/>
      <c r="K758" s="30">
        <v>43983.0</v>
      </c>
      <c r="L758" s="31">
        <v>1.0</v>
      </c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26" t="s">
        <v>1657</v>
      </c>
      <c r="B759" s="27" t="s">
        <v>1658</v>
      </c>
      <c r="C759" s="27" t="s">
        <v>448</v>
      </c>
      <c r="D759" s="27" t="s">
        <v>143</v>
      </c>
      <c r="E759" s="27" t="s">
        <v>21</v>
      </c>
      <c r="F759" s="27" t="s">
        <v>45</v>
      </c>
      <c r="G759" s="27" t="s">
        <v>137</v>
      </c>
      <c r="H759" s="27" t="s">
        <v>149</v>
      </c>
      <c r="I759" s="28">
        <v>42522.0</v>
      </c>
      <c r="J759" s="29"/>
      <c r="K759" s="30">
        <v>44713.0</v>
      </c>
      <c r="L759" s="31">
        <v>1.0</v>
      </c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26" t="s">
        <v>1659</v>
      </c>
      <c r="B760" s="27" t="s">
        <v>1660</v>
      </c>
      <c r="C760" s="32"/>
      <c r="D760" s="27" t="s">
        <v>27</v>
      </c>
      <c r="E760" s="27" t="s">
        <v>706</v>
      </c>
      <c r="F760" s="27" t="s">
        <v>380</v>
      </c>
      <c r="G760" s="32"/>
      <c r="H760" s="27" t="s">
        <v>24</v>
      </c>
      <c r="I760" s="28">
        <v>36892.0</v>
      </c>
      <c r="J760" s="29"/>
      <c r="K760" s="30">
        <v>45809.0</v>
      </c>
      <c r="L760" s="31">
        <v>1.0</v>
      </c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26" t="s">
        <v>1661</v>
      </c>
      <c r="B761" s="27" t="s">
        <v>1662</v>
      </c>
      <c r="C761" s="32"/>
      <c r="D761" s="27" t="s">
        <v>224</v>
      </c>
      <c r="E761" s="27" t="s">
        <v>21</v>
      </c>
      <c r="F761" s="27" t="s">
        <v>79</v>
      </c>
      <c r="G761" s="27" t="s">
        <v>23</v>
      </c>
      <c r="H761" s="27" t="s">
        <v>225</v>
      </c>
      <c r="I761" s="28">
        <v>43252.0</v>
      </c>
      <c r="J761" s="29"/>
      <c r="K761" s="30">
        <v>44348.0</v>
      </c>
      <c r="L761" s="31">
        <v>1.0</v>
      </c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26" t="s">
        <v>1663</v>
      </c>
      <c r="B762" s="27" t="s">
        <v>1664</v>
      </c>
      <c r="C762" s="27" t="s">
        <v>601</v>
      </c>
      <c r="D762" s="27" t="s">
        <v>143</v>
      </c>
      <c r="E762" s="27" t="s">
        <v>21</v>
      </c>
      <c r="F762" s="27" t="s">
        <v>642</v>
      </c>
      <c r="G762" s="27" t="s">
        <v>36</v>
      </c>
      <c r="H762" s="27" t="s">
        <v>135</v>
      </c>
      <c r="I762" s="28">
        <v>43252.0</v>
      </c>
      <c r="J762" s="28">
        <v>44348.0</v>
      </c>
      <c r="K762" s="30">
        <v>45444.0</v>
      </c>
      <c r="L762" s="31">
        <v>2.0</v>
      </c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26" t="s">
        <v>1665</v>
      </c>
      <c r="B763" s="27" t="s">
        <v>351</v>
      </c>
      <c r="C763" s="27" t="s">
        <v>1666</v>
      </c>
      <c r="D763" s="27" t="s">
        <v>348</v>
      </c>
      <c r="E763" s="27" t="s">
        <v>21</v>
      </c>
      <c r="F763" s="27" t="s">
        <v>79</v>
      </c>
      <c r="G763" s="27" t="s">
        <v>46</v>
      </c>
      <c r="H763" s="27" t="s">
        <v>258</v>
      </c>
      <c r="I763" s="28">
        <v>42887.0</v>
      </c>
      <c r="J763" s="29"/>
      <c r="K763" s="30">
        <v>43983.0</v>
      </c>
      <c r="L763" s="31">
        <v>1.0</v>
      </c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26" t="s">
        <v>1667</v>
      </c>
      <c r="B764" s="27" t="s">
        <v>517</v>
      </c>
      <c r="C764" s="27" t="s">
        <v>146</v>
      </c>
      <c r="D764" s="27" t="s">
        <v>94</v>
      </c>
      <c r="E764" s="27" t="s">
        <v>21</v>
      </c>
      <c r="F764" s="27" t="s">
        <v>90</v>
      </c>
      <c r="G764" s="27" t="s">
        <v>23</v>
      </c>
      <c r="H764" s="27" t="s">
        <v>339</v>
      </c>
      <c r="I764" s="28">
        <v>43252.0</v>
      </c>
      <c r="J764" s="29"/>
      <c r="K764" s="30">
        <v>44348.0</v>
      </c>
      <c r="L764" s="31">
        <v>1.0</v>
      </c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26" t="s">
        <v>1667</v>
      </c>
      <c r="B765" s="27" t="s">
        <v>1668</v>
      </c>
      <c r="C765" s="32"/>
      <c r="D765" s="27" t="s">
        <v>27</v>
      </c>
      <c r="E765" s="27" t="s">
        <v>1669</v>
      </c>
      <c r="F765" s="27" t="s">
        <v>1670</v>
      </c>
      <c r="G765" s="27" t="s">
        <v>36</v>
      </c>
      <c r="H765" s="27" t="s">
        <v>879</v>
      </c>
      <c r="I765" s="28">
        <v>42828.0</v>
      </c>
      <c r="J765" s="28">
        <v>43983.0</v>
      </c>
      <c r="K765" s="30">
        <v>45078.0</v>
      </c>
      <c r="L765" s="31">
        <v>2.0</v>
      </c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26" t="s">
        <v>1671</v>
      </c>
      <c r="B766" s="27" t="s">
        <v>227</v>
      </c>
      <c r="C766" s="32"/>
      <c r="D766" s="27" t="s">
        <v>27</v>
      </c>
      <c r="E766" s="27" t="s">
        <v>166</v>
      </c>
      <c r="F766" s="27" t="s">
        <v>29</v>
      </c>
      <c r="G766" s="27" t="s">
        <v>264</v>
      </c>
      <c r="H766" s="27" t="s">
        <v>65</v>
      </c>
      <c r="I766" s="28">
        <v>43136.0</v>
      </c>
      <c r="J766" s="28">
        <v>44348.0</v>
      </c>
      <c r="K766" s="30">
        <v>45444.0</v>
      </c>
      <c r="L766" s="31">
        <v>2.0</v>
      </c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26" t="s">
        <v>1672</v>
      </c>
      <c r="B767" s="27" t="s">
        <v>154</v>
      </c>
      <c r="C767" s="32"/>
      <c r="D767" s="27" t="s">
        <v>27</v>
      </c>
      <c r="E767" s="27" t="s">
        <v>1673</v>
      </c>
      <c r="F767" s="27" t="s">
        <v>40</v>
      </c>
      <c r="G767" s="27" t="s">
        <v>1479</v>
      </c>
      <c r="H767" s="27" t="s">
        <v>40</v>
      </c>
      <c r="I767" s="28">
        <v>42401.0</v>
      </c>
      <c r="J767" s="29"/>
      <c r="K767" s="30">
        <v>44713.0</v>
      </c>
      <c r="L767" s="31">
        <v>1.0</v>
      </c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26" t="s">
        <v>1674</v>
      </c>
      <c r="B768" s="27" t="s">
        <v>1675</v>
      </c>
      <c r="C768" s="27" t="s">
        <v>1676</v>
      </c>
      <c r="D768" s="27" t="s">
        <v>222</v>
      </c>
      <c r="E768" s="27" t="s">
        <v>21</v>
      </c>
      <c r="F768" s="27" t="s">
        <v>56</v>
      </c>
      <c r="G768" s="27" t="s">
        <v>46</v>
      </c>
      <c r="H768" s="27" t="s">
        <v>241</v>
      </c>
      <c r="I768" s="28">
        <v>43617.0</v>
      </c>
      <c r="J768" s="29"/>
      <c r="K768" s="30">
        <v>44713.0</v>
      </c>
      <c r="L768" s="31">
        <v>1.0</v>
      </c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26" t="s">
        <v>1677</v>
      </c>
      <c r="B769" s="27" t="s">
        <v>1678</v>
      </c>
      <c r="C769" s="32"/>
      <c r="D769" s="27" t="s">
        <v>27</v>
      </c>
      <c r="E769" s="27" t="s">
        <v>27</v>
      </c>
      <c r="F769" s="27" t="s">
        <v>155</v>
      </c>
      <c r="G769" s="27" t="s">
        <v>815</v>
      </c>
      <c r="H769" s="27" t="s">
        <v>155</v>
      </c>
      <c r="I769" s="28">
        <v>43132.0</v>
      </c>
      <c r="J769" s="28">
        <v>44348.0</v>
      </c>
      <c r="K769" s="30">
        <v>45444.0</v>
      </c>
      <c r="L769" s="31">
        <v>2.0</v>
      </c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33" t="s">
        <v>1679</v>
      </c>
      <c r="B770" s="34" t="s">
        <v>42</v>
      </c>
      <c r="C770" s="35"/>
      <c r="D770" s="34" t="s">
        <v>130</v>
      </c>
      <c r="E770" s="34" t="s">
        <v>21</v>
      </c>
      <c r="F770" s="27" t="s">
        <v>290</v>
      </c>
      <c r="G770" s="27" t="s">
        <v>50</v>
      </c>
      <c r="H770" s="34" t="s">
        <v>287</v>
      </c>
      <c r="I770" s="30">
        <v>42887.0</v>
      </c>
      <c r="J770" s="36"/>
      <c r="K770" s="30">
        <v>43983.0</v>
      </c>
      <c r="L770" s="31">
        <v>1.0</v>
      </c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26" t="s">
        <v>1680</v>
      </c>
      <c r="B771" s="27" t="s">
        <v>1681</v>
      </c>
      <c r="C771" s="27" t="s">
        <v>1244</v>
      </c>
      <c r="D771" s="27" t="s">
        <v>323</v>
      </c>
      <c r="E771" s="27" t="s">
        <v>21</v>
      </c>
      <c r="F771" s="27" t="s">
        <v>79</v>
      </c>
      <c r="G771" s="27" t="s">
        <v>23</v>
      </c>
      <c r="H771" s="27" t="s">
        <v>324</v>
      </c>
      <c r="I771" s="28">
        <v>43252.0</v>
      </c>
      <c r="J771" s="29"/>
      <c r="K771" s="30">
        <v>44348.0</v>
      </c>
      <c r="L771" s="31">
        <v>1.0</v>
      </c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26" t="s">
        <v>1682</v>
      </c>
      <c r="B772" s="27" t="s">
        <v>1683</v>
      </c>
      <c r="C772" s="32"/>
      <c r="D772" s="32"/>
      <c r="E772" s="27" t="s">
        <v>334</v>
      </c>
      <c r="F772" s="27" t="s">
        <v>367</v>
      </c>
      <c r="G772" s="27" t="s">
        <v>36</v>
      </c>
      <c r="H772" s="27" t="s">
        <v>135</v>
      </c>
      <c r="I772" s="28">
        <v>43252.0</v>
      </c>
      <c r="J772" s="28">
        <v>44348.0</v>
      </c>
      <c r="K772" s="30">
        <v>45444.0</v>
      </c>
      <c r="L772" s="31">
        <v>2.0</v>
      </c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26" t="s">
        <v>1684</v>
      </c>
      <c r="B773" s="27" t="s">
        <v>87</v>
      </c>
      <c r="C773" s="27" t="s">
        <v>1233</v>
      </c>
      <c r="D773" s="27" t="s">
        <v>222</v>
      </c>
      <c r="E773" s="27" t="s">
        <v>21</v>
      </c>
      <c r="F773" s="27" t="s">
        <v>109</v>
      </c>
      <c r="G773" s="27" t="s">
        <v>23</v>
      </c>
      <c r="H773" s="27" t="s">
        <v>241</v>
      </c>
      <c r="I773" s="28">
        <v>43617.0</v>
      </c>
      <c r="J773" s="29"/>
      <c r="K773" s="30">
        <v>44713.0</v>
      </c>
      <c r="L773" s="31">
        <v>1.0</v>
      </c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33" t="s">
        <v>1685</v>
      </c>
      <c r="B774" s="34" t="s">
        <v>223</v>
      </c>
      <c r="C774" s="35"/>
      <c r="D774" s="34" t="s">
        <v>27</v>
      </c>
      <c r="E774" s="34" t="s">
        <v>70</v>
      </c>
      <c r="F774" s="34" t="s">
        <v>1686</v>
      </c>
      <c r="G774" s="34" t="s">
        <v>1574</v>
      </c>
      <c r="H774" s="34" t="s">
        <v>408</v>
      </c>
      <c r="I774" s="30">
        <v>42406.0</v>
      </c>
      <c r="J774" s="30">
        <v>43983.0</v>
      </c>
      <c r="K774" s="30">
        <v>45078.0</v>
      </c>
      <c r="L774" s="31">
        <v>2.0</v>
      </c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26" t="s">
        <v>1685</v>
      </c>
      <c r="B775" s="27" t="s">
        <v>266</v>
      </c>
      <c r="C775" s="27" t="s">
        <v>1687</v>
      </c>
      <c r="D775" s="27" t="s">
        <v>143</v>
      </c>
      <c r="E775" s="27" t="s">
        <v>21</v>
      </c>
      <c r="F775" s="27" t="s">
        <v>895</v>
      </c>
      <c r="G775" s="27" t="s">
        <v>23</v>
      </c>
      <c r="H775" s="27" t="s">
        <v>126</v>
      </c>
      <c r="I775" s="28">
        <v>43617.0</v>
      </c>
      <c r="J775" s="29"/>
      <c r="K775" s="30">
        <v>44713.0</v>
      </c>
      <c r="L775" s="37">
        <v>1.0</v>
      </c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33" t="s">
        <v>1688</v>
      </c>
      <c r="B776" s="34" t="s">
        <v>647</v>
      </c>
      <c r="C776" s="34" t="s">
        <v>1512</v>
      </c>
      <c r="D776" s="34" t="s">
        <v>108</v>
      </c>
      <c r="E776" s="34" t="s">
        <v>21</v>
      </c>
      <c r="F776" s="34" t="s">
        <v>90</v>
      </c>
      <c r="G776" s="34" t="s">
        <v>46</v>
      </c>
      <c r="H776" s="34" t="s">
        <v>425</v>
      </c>
      <c r="I776" s="30">
        <v>43252.0</v>
      </c>
      <c r="J776" s="36"/>
      <c r="K776" s="30">
        <v>44348.0</v>
      </c>
      <c r="L776" s="37">
        <v>1.0</v>
      </c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26" t="s">
        <v>1689</v>
      </c>
      <c r="B777" s="27" t="s">
        <v>82</v>
      </c>
      <c r="C777" s="27" t="s">
        <v>1690</v>
      </c>
      <c r="D777" s="27" t="s">
        <v>222</v>
      </c>
      <c r="E777" s="27" t="s">
        <v>21</v>
      </c>
      <c r="F777" s="27" t="s">
        <v>79</v>
      </c>
      <c r="G777" s="27" t="s">
        <v>36</v>
      </c>
      <c r="H777" s="27" t="s">
        <v>344</v>
      </c>
      <c r="I777" s="28">
        <v>42887.0</v>
      </c>
      <c r="J777" s="29"/>
      <c r="K777" s="30">
        <v>43983.0</v>
      </c>
      <c r="L777" s="37">
        <v>1.0</v>
      </c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33" t="s">
        <v>1691</v>
      </c>
      <c r="B778" s="34" t="s">
        <v>1692</v>
      </c>
      <c r="C778" s="35"/>
      <c r="D778" s="34" t="s">
        <v>27</v>
      </c>
      <c r="E778" s="34" t="s">
        <v>28</v>
      </c>
      <c r="F778" s="34" t="s">
        <v>29</v>
      </c>
      <c r="G778" s="34" t="s">
        <v>578</v>
      </c>
      <c r="H778" s="34" t="s">
        <v>29</v>
      </c>
      <c r="I778" s="30">
        <v>42767.0</v>
      </c>
      <c r="J778" s="30">
        <v>43983.0</v>
      </c>
      <c r="K778" s="30">
        <v>45078.0</v>
      </c>
      <c r="L778" s="37">
        <v>2.0</v>
      </c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26" t="s">
        <v>1693</v>
      </c>
      <c r="B779" s="27" t="s">
        <v>1694</v>
      </c>
      <c r="C779" s="32"/>
      <c r="D779" s="27" t="s">
        <v>27</v>
      </c>
      <c r="E779" s="27" t="s">
        <v>39</v>
      </c>
      <c r="F779" s="27" t="s">
        <v>40</v>
      </c>
      <c r="G779" s="27" t="s">
        <v>764</v>
      </c>
      <c r="H779" s="27" t="s">
        <v>287</v>
      </c>
      <c r="I779" s="28">
        <v>42887.0</v>
      </c>
      <c r="J779" s="29"/>
      <c r="K779" s="30">
        <v>43983.0</v>
      </c>
      <c r="L779" s="37">
        <v>1.0</v>
      </c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26" t="s">
        <v>1695</v>
      </c>
      <c r="B780" s="27" t="s">
        <v>1696</v>
      </c>
      <c r="C780" s="32"/>
      <c r="D780" s="27" t="s">
        <v>27</v>
      </c>
      <c r="E780" s="27" t="s">
        <v>930</v>
      </c>
      <c r="F780" s="27" t="s">
        <v>29</v>
      </c>
      <c r="G780" s="27" t="s">
        <v>578</v>
      </c>
      <c r="H780" s="27" t="s">
        <v>65</v>
      </c>
      <c r="I780" s="28">
        <v>43136.0</v>
      </c>
      <c r="J780" s="28">
        <v>44348.0</v>
      </c>
      <c r="K780" s="30">
        <v>45444.0</v>
      </c>
      <c r="L780" s="37">
        <v>2.0</v>
      </c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26" t="s">
        <v>1697</v>
      </c>
      <c r="B781" s="27" t="s">
        <v>1698</v>
      </c>
      <c r="C781" s="32"/>
      <c r="D781" s="27" t="s">
        <v>27</v>
      </c>
      <c r="E781" s="27" t="s">
        <v>21</v>
      </c>
      <c r="F781" s="27" t="s">
        <v>40</v>
      </c>
      <c r="G781" s="27" t="s">
        <v>264</v>
      </c>
      <c r="H781" s="27" t="s">
        <v>287</v>
      </c>
      <c r="I781" s="28">
        <v>42887.0</v>
      </c>
      <c r="J781" s="29"/>
      <c r="K781" s="30">
        <v>43983.0</v>
      </c>
      <c r="L781" s="37">
        <v>1.0</v>
      </c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33" t="s">
        <v>1699</v>
      </c>
      <c r="B782" s="34" t="s">
        <v>1700</v>
      </c>
      <c r="C782" s="35"/>
      <c r="D782" s="34" t="s">
        <v>27</v>
      </c>
      <c r="E782" s="34" t="s">
        <v>28</v>
      </c>
      <c r="F782" s="27" t="s">
        <v>29</v>
      </c>
      <c r="G782" s="27" t="s">
        <v>586</v>
      </c>
      <c r="H782" s="34" t="s">
        <v>29</v>
      </c>
      <c r="I782" s="30">
        <v>42401.0</v>
      </c>
      <c r="J782" s="36"/>
      <c r="K782" s="30">
        <v>44713.0</v>
      </c>
      <c r="L782" s="37">
        <v>1.0</v>
      </c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26" t="s">
        <v>1701</v>
      </c>
      <c r="B783" s="27" t="s">
        <v>413</v>
      </c>
      <c r="C783" s="27" t="s">
        <v>1702</v>
      </c>
      <c r="D783" s="27" t="s">
        <v>78</v>
      </c>
      <c r="E783" s="27" t="s">
        <v>21</v>
      </c>
      <c r="F783" s="27" t="s">
        <v>79</v>
      </c>
      <c r="G783" s="27" t="s">
        <v>23</v>
      </c>
      <c r="H783" s="27" t="s">
        <v>80</v>
      </c>
      <c r="I783" s="28">
        <v>43252.0</v>
      </c>
      <c r="J783" s="29"/>
      <c r="K783" s="30">
        <v>44348.0</v>
      </c>
      <c r="L783" s="37">
        <v>1.0</v>
      </c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26" t="s">
        <v>1703</v>
      </c>
      <c r="B784" s="27" t="s">
        <v>811</v>
      </c>
      <c r="C784" s="27" t="s">
        <v>1704</v>
      </c>
      <c r="D784" s="27" t="s">
        <v>282</v>
      </c>
      <c r="E784" s="27" t="s">
        <v>21</v>
      </c>
      <c r="F784" s="27" t="s">
        <v>1009</v>
      </c>
      <c r="G784" s="27" t="s">
        <v>137</v>
      </c>
      <c r="H784" s="27" t="s">
        <v>126</v>
      </c>
      <c r="I784" s="28">
        <v>43617.0</v>
      </c>
      <c r="J784" s="28">
        <v>44713.0</v>
      </c>
      <c r="K784" s="30">
        <v>45809.0</v>
      </c>
      <c r="L784" s="37">
        <v>2.0</v>
      </c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33" t="s">
        <v>1705</v>
      </c>
      <c r="B785" s="34" t="s">
        <v>223</v>
      </c>
      <c r="C785" s="34" t="s">
        <v>1706</v>
      </c>
      <c r="D785" s="34" t="s">
        <v>744</v>
      </c>
      <c r="E785" s="34" t="s">
        <v>21</v>
      </c>
      <c r="F785" s="27" t="s">
        <v>155</v>
      </c>
      <c r="G785" s="27" t="s">
        <v>1656</v>
      </c>
      <c r="H785" s="34" t="s">
        <v>155</v>
      </c>
      <c r="I785" s="30">
        <v>43132.0</v>
      </c>
      <c r="J785" s="30">
        <v>44348.0</v>
      </c>
      <c r="K785" s="30">
        <v>45444.0</v>
      </c>
      <c r="L785" s="37">
        <v>2.0</v>
      </c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26" t="s">
        <v>1705</v>
      </c>
      <c r="B786" s="27" t="s">
        <v>311</v>
      </c>
      <c r="C786" s="27" t="s">
        <v>1707</v>
      </c>
      <c r="D786" s="27" t="s">
        <v>317</v>
      </c>
      <c r="E786" s="27" t="s">
        <v>21</v>
      </c>
      <c r="F786" s="27" t="s">
        <v>380</v>
      </c>
      <c r="G786" s="32"/>
      <c r="H786" s="27" t="s">
        <v>24</v>
      </c>
      <c r="I786" s="28">
        <v>36892.0</v>
      </c>
      <c r="J786" s="29"/>
      <c r="K786" s="30">
        <v>45809.0</v>
      </c>
      <c r="L786" s="37">
        <v>1.0</v>
      </c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26" t="s">
        <v>1708</v>
      </c>
      <c r="B787" s="27" t="s">
        <v>1709</v>
      </c>
      <c r="C787" s="32"/>
      <c r="D787" s="27" t="s">
        <v>27</v>
      </c>
      <c r="E787" s="27" t="s">
        <v>884</v>
      </c>
      <c r="F787" s="27" t="s">
        <v>878</v>
      </c>
      <c r="G787" s="27" t="s">
        <v>46</v>
      </c>
      <c r="H787" s="27" t="s">
        <v>879</v>
      </c>
      <c r="I787" s="28">
        <v>42828.0</v>
      </c>
      <c r="J787" s="28">
        <v>43983.0</v>
      </c>
      <c r="K787" s="30">
        <v>45078.0</v>
      </c>
      <c r="L787" s="37">
        <v>2.0</v>
      </c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26" t="s">
        <v>1710</v>
      </c>
      <c r="B788" s="27" t="s">
        <v>82</v>
      </c>
      <c r="C788" s="32"/>
      <c r="D788" s="27" t="s">
        <v>27</v>
      </c>
      <c r="E788" s="27" t="s">
        <v>39</v>
      </c>
      <c r="F788" s="27" t="s">
        <v>40</v>
      </c>
      <c r="G788" s="27" t="s">
        <v>832</v>
      </c>
      <c r="H788" s="27" t="s">
        <v>40</v>
      </c>
      <c r="I788" s="28">
        <v>43132.0</v>
      </c>
      <c r="J788" s="28">
        <v>44348.0</v>
      </c>
      <c r="K788" s="30">
        <v>45444.0</v>
      </c>
      <c r="L788" s="37">
        <v>2.0</v>
      </c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26" t="s">
        <v>1711</v>
      </c>
      <c r="B789" s="27" t="s">
        <v>1712</v>
      </c>
      <c r="C789" s="27" t="s">
        <v>243</v>
      </c>
      <c r="D789" s="27" t="s">
        <v>78</v>
      </c>
      <c r="E789" s="27" t="s">
        <v>21</v>
      </c>
      <c r="F789" s="27" t="s">
        <v>90</v>
      </c>
      <c r="G789" s="27" t="s">
        <v>36</v>
      </c>
      <c r="H789" s="27" t="s">
        <v>244</v>
      </c>
      <c r="I789" s="28">
        <v>42887.0</v>
      </c>
      <c r="J789" s="29"/>
      <c r="K789" s="30">
        <v>43983.0</v>
      </c>
      <c r="L789" s="37">
        <v>1.0</v>
      </c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26" t="s">
        <v>1713</v>
      </c>
      <c r="B790" s="27" t="s">
        <v>169</v>
      </c>
      <c r="C790" s="32"/>
      <c r="D790" s="27" t="s">
        <v>27</v>
      </c>
      <c r="E790" s="27" t="s">
        <v>39</v>
      </c>
      <c r="F790" s="27" t="s">
        <v>40</v>
      </c>
      <c r="G790" s="27" t="s">
        <v>1130</v>
      </c>
      <c r="H790" s="27" t="s">
        <v>40</v>
      </c>
      <c r="I790" s="28">
        <v>42401.0</v>
      </c>
      <c r="J790" s="29"/>
      <c r="K790" s="30">
        <v>44713.0</v>
      </c>
      <c r="L790" s="37">
        <v>1.0</v>
      </c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26" t="s">
        <v>1714</v>
      </c>
      <c r="B791" s="27" t="s">
        <v>1715</v>
      </c>
      <c r="C791" s="27" t="s">
        <v>228</v>
      </c>
      <c r="D791" s="27" t="s">
        <v>20</v>
      </c>
      <c r="E791" s="27" t="s">
        <v>21</v>
      </c>
      <c r="F791" s="27" t="s">
        <v>421</v>
      </c>
      <c r="G791" s="27" t="s">
        <v>36</v>
      </c>
      <c r="H791" s="27" t="s">
        <v>331</v>
      </c>
      <c r="I791" s="28">
        <v>43252.0</v>
      </c>
      <c r="J791" s="29"/>
      <c r="K791" s="30">
        <v>44348.0</v>
      </c>
      <c r="L791" s="37">
        <v>1.0</v>
      </c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33" t="s">
        <v>1716</v>
      </c>
      <c r="B792" s="34" t="s">
        <v>431</v>
      </c>
      <c r="C792" s="32"/>
      <c r="D792" s="27" t="s">
        <v>317</v>
      </c>
      <c r="E792" s="34" t="s">
        <v>21</v>
      </c>
      <c r="F792" s="27" t="s">
        <v>155</v>
      </c>
      <c r="G792" s="27" t="s">
        <v>1717</v>
      </c>
      <c r="H792" s="34" t="s">
        <v>155</v>
      </c>
      <c r="I792" s="30">
        <v>43132.0</v>
      </c>
      <c r="J792" s="30">
        <v>44348.0</v>
      </c>
      <c r="K792" s="30">
        <v>45444.0</v>
      </c>
      <c r="L792" s="37">
        <v>2.0</v>
      </c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26" t="s">
        <v>1718</v>
      </c>
      <c r="B793" s="27" t="s">
        <v>1719</v>
      </c>
      <c r="C793" s="32"/>
      <c r="D793" s="32"/>
      <c r="E793" s="27" t="s">
        <v>162</v>
      </c>
      <c r="F793" s="27" t="s">
        <v>1496</v>
      </c>
      <c r="G793" s="27" t="s">
        <v>46</v>
      </c>
      <c r="H793" s="27" t="s">
        <v>287</v>
      </c>
      <c r="I793" s="28">
        <v>42887.0</v>
      </c>
      <c r="J793" s="29"/>
      <c r="K793" s="30">
        <v>43983.0</v>
      </c>
      <c r="L793" s="37">
        <v>1.0</v>
      </c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26" t="s">
        <v>1720</v>
      </c>
      <c r="B794" s="27" t="s">
        <v>517</v>
      </c>
      <c r="C794" s="27" t="s">
        <v>1721</v>
      </c>
      <c r="D794" s="27" t="s">
        <v>130</v>
      </c>
      <c r="E794" s="27" t="s">
        <v>21</v>
      </c>
      <c r="F794" s="27" t="s">
        <v>79</v>
      </c>
      <c r="G794" s="27" t="s">
        <v>36</v>
      </c>
      <c r="H794" s="27" t="s">
        <v>85</v>
      </c>
      <c r="I794" s="28">
        <v>42887.0</v>
      </c>
      <c r="J794" s="29"/>
      <c r="K794" s="30">
        <v>43983.0</v>
      </c>
      <c r="L794" s="37">
        <v>1.0</v>
      </c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26" t="s">
        <v>1197</v>
      </c>
      <c r="B795" s="27" t="s">
        <v>1722</v>
      </c>
      <c r="C795" s="32"/>
      <c r="D795" s="27" t="s">
        <v>27</v>
      </c>
      <c r="E795" s="27" t="s">
        <v>1723</v>
      </c>
      <c r="F795" s="27" t="s">
        <v>29</v>
      </c>
      <c r="G795" s="27" t="s">
        <v>409</v>
      </c>
      <c r="H795" s="27" t="s">
        <v>65</v>
      </c>
      <c r="I795" s="28">
        <v>43136.0</v>
      </c>
      <c r="J795" s="28">
        <v>44348.0</v>
      </c>
      <c r="K795" s="30">
        <v>45444.0</v>
      </c>
      <c r="L795" s="37">
        <v>2.0</v>
      </c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26" t="s">
        <v>1724</v>
      </c>
      <c r="B796" s="27" t="s">
        <v>776</v>
      </c>
      <c r="C796" s="32"/>
      <c r="D796" s="32"/>
      <c r="E796" s="27" t="s">
        <v>27</v>
      </c>
      <c r="F796" s="27" t="s">
        <v>290</v>
      </c>
      <c r="G796" s="27" t="s">
        <v>399</v>
      </c>
      <c r="H796" s="27" t="s">
        <v>287</v>
      </c>
      <c r="I796" s="28">
        <v>42887.0</v>
      </c>
      <c r="J796" s="29"/>
      <c r="K796" s="30">
        <v>43983.0</v>
      </c>
      <c r="L796" s="37">
        <v>1.0</v>
      </c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26" t="s">
        <v>1724</v>
      </c>
      <c r="B797" s="27" t="s">
        <v>353</v>
      </c>
      <c r="C797" s="27" t="s">
        <v>1725</v>
      </c>
      <c r="D797" s="27" t="s">
        <v>44</v>
      </c>
      <c r="E797" s="27" t="s">
        <v>21</v>
      </c>
      <c r="F797" s="27" t="s">
        <v>803</v>
      </c>
      <c r="G797" s="27" t="s">
        <v>23</v>
      </c>
      <c r="H797" s="27" t="s">
        <v>135</v>
      </c>
      <c r="I797" s="28">
        <v>43252.0</v>
      </c>
      <c r="J797" s="29"/>
      <c r="K797" s="30">
        <v>44348.0</v>
      </c>
      <c r="L797" s="37">
        <v>1.0</v>
      </c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26" t="s">
        <v>1726</v>
      </c>
      <c r="B798" s="27" t="s">
        <v>275</v>
      </c>
      <c r="C798" s="27" t="s">
        <v>448</v>
      </c>
      <c r="D798" s="27" t="s">
        <v>143</v>
      </c>
      <c r="E798" s="27" t="s">
        <v>21</v>
      </c>
      <c r="F798" s="27" t="s">
        <v>45</v>
      </c>
      <c r="G798" s="27" t="s">
        <v>137</v>
      </c>
      <c r="H798" s="27" t="s">
        <v>149</v>
      </c>
      <c r="I798" s="28">
        <v>42522.0</v>
      </c>
      <c r="J798" s="29"/>
      <c r="K798" s="30">
        <v>44713.0</v>
      </c>
      <c r="L798" s="37">
        <v>1.0</v>
      </c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26" t="s">
        <v>1726</v>
      </c>
      <c r="B799" s="27" t="s">
        <v>321</v>
      </c>
      <c r="C799" s="27" t="s">
        <v>401</v>
      </c>
      <c r="D799" s="27" t="s">
        <v>44</v>
      </c>
      <c r="E799" s="27" t="s">
        <v>21</v>
      </c>
      <c r="F799" s="27" t="s">
        <v>109</v>
      </c>
      <c r="G799" s="27" t="s">
        <v>46</v>
      </c>
      <c r="H799" s="27" t="s">
        <v>397</v>
      </c>
      <c r="I799" s="28">
        <v>43617.0</v>
      </c>
      <c r="J799" s="28">
        <v>43983.0</v>
      </c>
      <c r="K799" s="30">
        <v>45078.0</v>
      </c>
      <c r="L799" s="37">
        <v>2.0</v>
      </c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26" t="s">
        <v>1727</v>
      </c>
      <c r="B800" s="27" t="s">
        <v>82</v>
      </c>
      <c r="C800" s="32"/>
      <c r="D800" s="32"/>
      <c r="E800" s="27" t="s">
        <v>70</v>
      </c>
      <c r="F800" s="27" t="s">
        <v>45</v>
      </c>
      <c r="G800" s="27" t="s">
        <v>23</v>
      </c>
      <c r="H800" s="27" t="s">
        <v>72</v>
      </c>
      <c r="I800" s="28">
        <v>43252.0</v>
      </c>
      <c r="J800" s="29"/>
      <c r="K800" s="30">
        <v>44348.0</v>
      </c>
      <c r="L800" s="37">
        <v>1.0</v>
      </c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26" t="s">
        <v>692</v>
      </c>
      <c r="B801" s="27" t="s">
        <v>141</v>
      </c>
      <c r="C801" s="27" t="s">
        <v>1728</v>
      </c>
      <c r="D801" s="27" t="s">
        <v>108</v>
      </c>
      <c r="E801" s="27" t="s">
        <v>21</v>
      </c>
      <c r="F801" s="27" t="s">
        <v>314</v>
      </c>
      <c r="G801" s="27" t="s">
        <v>23</v>
      </c>
      <c r="H801" s="27" t="s">
        <v>689</v>
      </c>
      <c r="I801" s="28">
        <v>42887.0</v>
      </c>
      <c r="J801" s="29"/>
      <c r="K801" s="30">
        <v>43983.0</v>
      </c>
      <c r="L801" s="37">
        <v>1.0</v>
      </c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26" t="s">
        <v>1729</v>
      </c>
      <c r="B802" s="27" t="s">
        <v>1445</v>
      </c>
      <c r="C802" s="27" t="s">
        <v>1573</v>
      </c>
      <c r="D802" s="27" t="s">
        <v>317</v>
      </c>
      <c r="E802" s="27" t="s">
        <v>21</v>
      </c>
      <c r="F802" s="27" t="s">
        <v>380</v>
      </c>
      <c r="G802" s="32"/>
      <c r="H802" s="27" t="s">
        <v>24</v>
      </c>
      <c r="I802" s="28">
        <v>36892.0</v>
      </c>
      <c r="J802" s="29"/>
      <c r="K802" s="30">
        <v>45809.0</v>
      </c>
      <c r="L802" s="37">
        <v>1.0</v>
      </c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26" t="s">
        <v>1730</v>
      </c>
      <c r="B803" s="27" t="s">
        <v>266</v>
      </c>
      <c r="C803" s="32"/>
      <c r="D803" s="27" t="s">
        <v>27</v>
      </c>
      <c r="E803" s="27" t="s">
        <v>70</v>
      </c>
      <c r="F803" s="27" t="s">
        <v>370</v>
      </c>
      <c r="G803" s="27" t="s">
        <v>1613</v>
      </c>
      <c r="H803" s="27" t="s">
        <v>24</v>
      </c>
      <c r="I803" s="28">
        <v>43132.0</v>
      </c>
      <c r="J803" s="28">
        <v>44348.0</v>
      </c>
      <c r="K803" s="30">
        <v>45809.0</v>
      </c>
      <c r="L803" s="37">
        <v>2.0</v>
      </c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26" t="s">
        <v>1731</v>
      </c>
      <c r="B804" s="27" t="s">
        <v>120</v>
      </c>
      <c r="C804" s="27" t="s">
        <v>1233</v>
      </c>
      <c r="D804" s="27" t="s">
        <v>222</v>
      </c>
      <c r="E804" s="27" t="s">
        <v>21</v>
      </c>
      <c r="F804" s="27" t="s">
        <v>421</v>
      </c>
      <c r="G804" s="27" t="s">
        <v>36</v>
      </c>
      <c r="H804" s="27" t="s">
        <v>229</v>
      </c>
      <c r="I804" s="28">
        <v>42887.0</v>
      </c>
      <c r="J804" s="29"/>
      <c r="K804" s="30">
        <v>43983.0</v>
      </c>
      <c r="L804" s="31">
        <v>1.0</v>
      </c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26" t="s">
        <v>631</v>
      </c>
      <c r="B805" s="27" t="s">
        <v>416</v>
      </c>
      <c r="C805" s="27" t="s">
        <v>998</v>
      </c>
      <c r="D805" s="27" t="s">
        <v>458</v>
      </c>
      <c r="E805" s="27" t="s">
        <v>21</v>
      </c>
      <c r="F805" s="27" t="s">
        <v>90</v>
      </c>
      <c r="G805" s="27" t="s">
        <v>36</v>
      </c>
      <c r="H805" s="27" t="s">
        <v>689</v>
      </c>
      <c r="I805" s="28">
        <v>42887.0</v>
      </c>
      <c r="J805" s="29"/>
      <c r="K805" s="30">
        <v>43983.0</v>
      </c>
      <c r="L805" s="31">
        <v>1.0</v>
      </c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26" t="s">
        <v>369</v>
      </c>
      <c r="B806" s="27" t="s">
        <v>231</v>
      </c>
      <c r="C806" s="27" t="s">
        <v>170</v>
      </c>
      <c r="D806" s="27" t="s">
        <v>89</v>
      </c>
      <c r="E806" s="27" t="s">
        <v>21</v>
      </c>
      <c r="F806" s="27" t="s">
        <v>95</v>
      </c>
      <c r="G806" s="27" t="s">
        <v>36</v>
      </c>
      <c r="H806" s="27" t="s">
        <v>171</v>
      </c>
      <c r="I806" s="28">
        <v>43617.0</v>
      </c>
      <c r="J806" s="29"/>
      <c r="K806" s="30">
        <v>44713.0</v>
      </c>
      <c r="L806" s="31">
        <v>1.0</v>
      </c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26" t="s">
        <v>1732</v>
      </c>
      <c r="B807" s="27" t="s">
        <v>554</v>
      </c>
      <c r="C807" s="27" t="s">
        <v>338</v>
      </c>
      <c r="D807" s="27" t="s">
        <v>222</v>
      </c>
      <c r="E807" s="27" t="s">
        <v>21</v>
      </c>
      <c r="F807" s="27" t="s">
        <v>79</v>
      </c>
      <c r="G807" s="27" t="s">
        <v>36</v>
      </c>
      <c r="H807" s="27" t="s">
        <v>295</v>
      </c>
      <c r="I807" s="28">
        <v>43252.0</v>
      </c>
      <c r="J807" s="29"/>
      <c r="K807" s="30">
        <v>44348.0</v>
      </c>
      <c r="L807" s="31">
        <v>1.0</v>
      </c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26" t="s">
        <v>1732</v>
      </c>
      <c r="B808" s="27" t="s">
        <v>253</v>
      </c>
      <c r="C808" s="32"/>
      <c r="D808" s="27" t="s">
        <v>27</v>
      </c>
      <c r="E808" s="27" t="s">
        <v>39</v>
      </c>
      <c r="F808" s="27" t="s">
        <v>40</v>
      </c>
      <c r="G808" s="27" t="s">
        <v>399</v>
      </c>
      <c r="H808" s="27" t="s">
        <v>40</v>
      </c>
      <c r="I808" s="28">
        <v>43132.0</v>
      </c>
      <c r="J808" s="28">
        <v>44348.0</v>
      </c>
      <c r="K808" s="30">
        <v>45444.0</v>
      </c>
      <c r="L808" s="31">
        <v>2.0</v>
      </c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26" t="s">
        <v>1732</v>
      </c>
      <c r="B809" s="27" t="s">
        <v>542</v>
      </c>
      <c r="C809" s="27" t="s">
        <v>338</v>
      </c>
      <c r="D809" s="27" t="s">
        <v>222</v>
      </c>
      <c r="E809" s="27" t="s">
        <v>21</v>
      </c>
      <c r="F809" s="32"/>
      <c r="G809" s="32"/>
      <c r="H809" s="27" t="s">
        <v>913</v>
      </c>
      <c r="I809" s="28">
        <v>43252.0</v>
      </c>
      <c r="J809" s="29"/>
      <c r="K809" s="30">
        <v>44348.0</v>
      </c>
      <c r="L809" s="31">
        <v>1.0</v>
      </c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26" t="s">
        <v>1732</v>
      </c>
      <c r="B810" s="27" t="s">
        <v>1484</v>
      </c>
      <c r="C810" s="27" t="s">
        <v>1132</v>
      </c>
      <c r="D810" s="27" t="s">
        <v>222</v>
      </c>
      <c r="E810" s="27" t="s">
        <v>21</v>
      </c>
      <c r="F810" s="27" t="s">
        <v>380</v>
      </c>
      <c r="G810" s="32"/>
      <c r="H810" s="27" t="s">
        <v>24</v>
      </c>
      <c r="I810" s="28">
        <v>36892.0</v>
      </c>
      <c r="J810" s="29"/>
      <c r="K810" s="30">
        <v>45809.0</v>
      </c>
      <c r="L810" s="31">
        <v>1.0</v>
      </c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26" t="s">
        <v>1733</v>
      </c>
      <c r="B811" s="27" t="s">
        <v>1734</v>
      </c>
      <c r="C811" s="32"/>
      <c r="D811" s="27" t="s">
        <v>27</v>
      </c>
      <c r="E811" s="27" t="s">
        <v>21</v>
      </c>
      <c r="F811" s="27" t="s">
        <v>408</v>
      </c>
      <c r="G811" s="27" t="s">
        <v>432</v>
      </c>
      <c r="H811" s="27" t="s">
        <v>408</v>
      </c>
      <c r="I811" s="28">
        <v>42772.0</v>
      </c>
      <c r="J811" s="28">
        <v>43983.0</v>
      </c>
      <c r="K811" s="30">
        <v>45078.0</v>
      </c>
      <c r="L811" s="31">
        <v>2.0</v>
      </c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26" t="s">
        <v>1735</v>
      </c>
      <c r="B812" s="27" t="s">
        <v>227</v>
      </c>
      <c r="C812" s="27" t="s">
        <v>1736</v>
      </c>
      <c r="D812" s="27" t="s">
        <v>130</v>
      </c>
      <c r="E812" s="27" t="s">
        <v>21</v>
      </c>
      <c r="F812" s="27" t="s">
        <v>642</v>
      </c>
      <c r="G812" s="27" t="s">
        <v>36</v>
      </c>
      <c r="H812" s="27" t="s">
        <v>72</v>
      </c>
      <c r="I812" s="28">
        <v>43252.0</v>
      </c>
      <c r="J812" s="29"/>
      <c r="K812" s="30">
        <v>44348.0</v>
      </c>
      <c r="L812" s="31">
        <v>1.0</v>
      </c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26" t="s">
        <v>1737</v>
      </c>
      <c r="B813" s="27" t="s">
        <v>150</v>
      </c>
      <c r="C813" s="27" t="s">
        <v>802</v>
      </c>
      <c r="D813" s="27" t="s">
        <v>313</v>
      </c>
      <c r="E813" s="27" t="s">
        <v>21</v>
      </c>
      <c r="F813" s="27" t="s">
        <v>803</v>
      </c>
      <c r="G813" s="27" t="s">
        <v>137</v>
      </c>
      <c r="H813" s="27" t="s">
        <v>135</v>
      </c>
      <c r="I813" s="28">
        <v>43252.0</v>
      </c>
      <c r="J813" s="29"/>
      <c r="K813" s="30">
        <v>44348.0</v>
      </c>
      <c r="L813" s="31">
        <v>1.0</v>
      </c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26" t="s">
        <v>1738</v>
      </c>
      <c r="B814" s="27" t="s">
        <v>1739</v>
      </c>
      <c r="C814" s="27" t="s">
        <v>1740</v>
      </c>
      <c r="D814" s="27" t="s">
        <v>641</v>
      </c>
      <c r="E814" s="27" t="s">
        <v>21</v>
      </c>
      <c r="F814" s="27" t="s">
        <v>56</v>
      </c>
      <c r="G814" s="27" t="s">
        <v>46</v>
      </c>
      <c r="H814" s="27" t="s">
        <v>171</v>
      </c>
      <c r="I814" s="28">
        <v>43617.0</v>
      </c>
      <c r="J814" s="29"/>
      <c r="K814" s="30">
        <v>44713.0</v>
      </c>
      <c r="L814" s="31">
        <v>1.0</v>
      </c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26" t="s">
        <v>1741</v>
      </c>
      <c r="B815" s="27" t="s">
        <v>1742</v>
      </c>
      <c r="C815" s="27" t="s">
        <v>218</v>
      </c>
      <c r="D815" s="27" t="s">
        <v>55</v>
      </c>
      <c r="E815" s="27" t="s">
        <v>21</v>
      </c>
      <c r="F815" s="27" t="s">
        <v>95</v>
      </c>
      <c r="G815" s="27" t="s">
        <v>36</v>
      </c>
      <c r="H815" s="27" t="s">
        <v>57</v>
      </c>
      <c r="I815" s="28">
        <v>43617.0</v>
      </c>
      <c r="J815" s="29"/>
      <c r="K815" s="30">
        <v>44713.0</v>
      </c>
      <c r="L815" s="31">
        <v>1.0</v>
      </c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26" t="s">
        <v>1743</v>
      </c>
      <c r="B816" s="27" t="s">
        <v>1744</v>
      </c>
      <c r="C816" s="32"/>
      <c r="D816" s="32"/>
      <c r="E816" s="27" t="s">
        <v>70</v>
      </c>
      <c r="F816" s="27" t="s">
        <v>71</v>
      </c>
      <c r="G816" s="27" t="s">
        <v>23</v>
      </c>
      <c r="H816" s="27" t="s">
        <v>72</v>
      </c>
      <c r="I816" s="28">
        <v>43252.0</v>
      </c>
      <c r="J816" s="29"/>
      <c r="K816" s="30">
        <v>44348.0</v>
      </c>
      <c r="L816" s="31">
        <v>1.0</v>
      </c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26" t="s">
        <v>1745</v>
      </c>
      <c r="B817" s="27" t="s">
        <v>1651</v>
      </c>
      <c r="C817" s="32"/>
      <c r="D817" s="27" t="s">
        <v>27</v>
      </c>
      <c r="E817" s="27" t="s">
        <v>162</v>
      </c>
      <c r="F817" s="27" t="s">
        <v>29</v>
      </c>
      <c r="G817" s="27" t="s">
        <v>586</v>
      </c>
      <c r="H817" s="27" t="s">
        <v>29</v>
      </c>
      <c r="I817" s="28">
        <v>42401.0</v>
      </c>
      <c r="J817" s="29"/>
      <c r="K817" s="30">
        <v>44713.0</v>
      </c>
      <c r="L817" s="31">
        <v>1.0</v>
      </c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26" t="s">
        <v>1746</v>
      </c>
      <c r="B818" s="27" t="s">
        <v>1747</v>
      </c>
      <c r="C818" s="32"/>
      <c r="D818" s="27" t="s">
        <v>27</v>
      </c>
      <c r="E818" s="27" t="s">
        <v>884</v>
      </c>
      <c r="F818" s="27" t="s">
        <v>878</v>
      </c>
      <c r="G818" s="27" t="s">
        <v>46</v>
      </c>
      <c r="H818" s="27" t="s">
        <v>879</v>
      </c>
      <c r="I818" s="28">
        <v>42828.0</v>
      </c>
      <c r="J818" s="28">
        <v>43983.0</v>
      </c>
      <c r="K818" s="30">
        <v>45444.0</v>
      </c>
      <c r="L818" s="31">
        <v>2.0</v>
      </c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26" t="s">
        <v>1748</v>
      </c>
      <c r="B819" s="27" t="s">
        <v>190</v>
      </c>
      <c r="C819" s="27" t="s">
        <v>526</v>
      </c>
      <c r="D819" s="27" t="s">
        <v>527</v>
      </c>
      <c r="E819" s="27" t="s">
        <v>21</v>
      </c>
      <c r="F819" s="27" t="s">
        <v>90</v>
      </c>
      <c r="G819" s="27" t="s">
        <v>36</v>
      </c>
      <c r="H819" s="27" t="s">
        <v>184</v>
      </c>
      <c r="I819" s="28">
        <v>42887.0</v>
      </c>
      <c r="J819" s="29"/>
      <c r="K819" s="30">
        <v>43983.0</v>
      </c>
      <c r="L819" s="31">
        <v>1.0</v>
      </c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26" t="s">
        <v>1748</v>
      </c>
      <c r="B820" s="27" t="s">
        <v>1327</v>
      </c>
      <c r="C820" s="32"/>
      <c r="D820" s="27" t="s">
        <v>27</v>
      </c>
      <c r="E820" s="27" t="s">
        <v>1749</v>
      </c>
      <c r="F820" s="27" t="s">
        <v>29</v>
      </c>
      <c r="G820" s="27" t="s">
        <v>815</v>
      </c>
      <c r="H820" s="27" t="s">
        <v>29</v>
      </c>
      <c r="I820" s="28">
        <v>42401.0</v>
      </c>
      <c r="J820" s="29"/>
      <c r="K820" s="30">
        <v>44713.0</v>
      </c>
      <c r="L820" s="31">
        <v>1.0</v>
      </c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26" t="s">
        <v>1748</v>
      </c>
      <c r="B821" s="27" t="s">
        <v>647</v>
      </c>
      <c r="C821" s="27" t="s">
        <v>655</v>
      </c>
      <c r="D821" s="27" t="s">
        <v>78</v>
      </c>
      <c r="E821" s="27" t="s">
        <v>21</v>
      </c>
      <c r="F821" s="27" t="s">
        <v>71</v>
      </c>
      <c r="G821" s="27" t="s">
        <v>23</v>
      </c>
      <c r="H821" s="27" t="s">
        <v>434</v>
      </c>
      <c r="I821" s="28">
        <v>43617.0</v>
      </c>
      <c r="J821" s="29"/>
      <c r="K821" s="30">
        <v>44713.0</v>
      </c>
      <c r="L821" s="31">
        <v>1.0</v>
      </c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26" t="s">
        <v>1748</v>
      </c>
      <c r="B822" s="27" t="s">
        <v>654</v>
      </c>
      <c r="C822" s="27" t="s">
        <v>1750</v>
      </c>
      <c r="D822" s="27" t="s">
        <v>183</v>
      </c>
      <c r="E822" s="27" t="s">
        <v>21</v>
      </c>
      <c r="F822" s="27" t="s">
        <v>314</v>
      </c>
      <c r="G822" s="27" t="s">
        <v>36</v>
      </c>
      <c r="H822" s="27" t="s">
        <v>184</v>
      </c>
      <c r="I822" s="28">
        <v>42887.0</v>
      </c>
      <c r="J822" s="29"/>
      <c r="K822" s="30">
        <v>44348.0</v>
      </c>
      <c r="L822" s="31">
        <v>1.0</v>
      </c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26" t="s">
        <v>1751</v>
      </c>
      <c r="B823" s="27" t="s">
        <v>447</v>
      </c>
      <c r="C823" s="32"/>
      <c r="D823" s="32"/>
      <c r="E823" s="27" t="s">
        <v>21</v>
      </c>
      <c r="F823" s="32"/>
      <c r="G823" s="32"/>
      <c r="H823" s="27" t="s">
        <v>913</v>
      </c>
      <c r="I823" s="28">
        <v>43252.0</v>
      </c>
      <c r="J823" s="29"/>
      <c r="K823" s="30">
        <v>44348.0</v>
      </c>
      <c r="L823" s="31">
        <v>1.0</v>
      </c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26" t="s">
        <v>1751</v>
      </c>
      <c r="B824" s="27" t="s">
        <v>1752</v>
      </c>
      <c r="C824" s="27" t="s">
        <v>1753</v>
      </c>
      <c r="D824" s="27" t="s">
        <v>94</v>
      </c>
      <c r="E824" s="27" t="s">
        <v>21</v>
      </c>
      <c r="F824" s="27" t="s">
        <v>733</v>
      </c>
      <c r="G824" s="27" t="s">
        <v>36</v>
      </c>
      <c r="H824" s="27" t="s">
        <v>37</v>
      </c>
      <c r="I824" s="28">
        <v>43617.0</v>
      </c>
      <c r="J824" s="29"/>
      <c r="K824" s="30">
        <v>44713.0</v>
      </c>
      <c r="L824" s="31">
        <v>1.0</v>
      </c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33" t="s">
        <v>1751</v>
      </c>
      <c r="B825" s="34" t="s">
        <v>116</v>
      </c>
      <c r="C825" s="34" t="s">
        <v>1754</v>
      </c>
      <c r="D825" s="34" t="s">
        <v>222</v>
      </c>
      <c r="E825" s="34" t="s">
        <v>21</v>
      </c>
      <c r="F825" s="34" t="s">
        <v>56</v>
      </c>
      <c r="G825" s="34" t="s">
        <v>46</v>
      </c>
      <c r="H825" s="34" t="s">
        <v>233</v>
      </c>
      <c r="I825" s="30">
        <v>43617.0</v>
      </c>
      <c r="J825" s="36"/>
      <c r="K825" s="30">
        <v>44713.0</v>
      </c>
      <c r="L825" s="31">
        <v>1.0</v>
      </c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26" t="s">
        <v>1751</v>
      </c>
      <c r="B826" s="27" t="s">
        <v>1755</v>
      </c>
      <c r="C826" s="32"/>
      <c r="D826" s="27" t="s">
        <v>224</v>
      </c>
      <c r="E826" s="27" t="s">
        <v>21</v>
      </c>
      <c r="F826" s="27" t="s">
        <v>90</v>
      </c>
      <c r="G826" s="27" t="s">
        <v>46</v>
      </c>
      <c r="H826" s="27" t="s">
        <v>975</v>
      </c>
      <c r="I826" s="28">
        <v>43252.0</v>
      </c>
      <c r="J826" s="28">
        <v>44348.0</v>
      </c>
      <c r="K826" s="30">
        <v>45444.0</v>
      </c>
      <c r="L826" s="31">
        <v>2.0</v>
      </c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26" t="s">
        <v>1756</v>
      </c>
      <c r="B827" s="27" t="s">
        <v>1757</v>
      </c>
      <c r="C827" s="27" t="s">
        <v>1758</v>
      </c>
      <c r="D827" s="27" t="s">
        <v>343</v>
      </c>
      <c r="E827" s="27" t="s">
        <v>21</v>
      </c>
      <c r="F827" s="27" t="s">
        <v>79</v>
      </c>
      <c r="G827" s="27" t="s">
        <v>46</v>
      </c>
      <c r="H827" s="27" t="s">
        <v>229</v>
      </c>
      <c r="I827" s="28">
        <v>42887.0</v>
      </c>
      <c r="J827" s="29"/>
      <c r="K827" s="30">
        <v>43983.0</v>
      </c>
      <c r="L827" s="31">
        <v>1.0</v>
      </c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26" t="s">
        <v>1760</v>
      </c>
      <c r="B828" s="27" t="s">
        <v>1761</v>
      </c>
      <c r="C828" s="32"/>
      <c r="D828" s="27" t="s">
        <v>27</v>
      </c>
      <c r="E828" s="27" t="s">
        <v>1762</v>
      </c>
      <c r="F828" s="27" t="s">
        <v>40</v>
      </c>
      <c r="G828" s="27" t="s">
        <v>264</v>
      </c>
      <c r="H828" s="27" t="s">
        <v>40</v>
      </c>
      <c r="I828" s="28">
        <v>43132.0</v>
      </c>
      <c r="J828" s="28">
        <v>44348.0</v>
      </c>
      <c r="K828" s="30">
        <v>45444.0</v>
      </c>
      <c r="L828" s="31">
        <v>2.0</v>
      </c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26" t="s">
        <v>1763</v>
      </c>
      <c r="B829" s="27" t="s">
        <v>1764</v>
      </c>
      <c r="C829" s="27" t="s">
        <v>363</v>
      </c>
      <c r="D829" s="27" t="s">
        <v>143</v>
      </c>
      <c r="E829" s="27" t="s">
        <v>21</v>
      </c>
      <c r="F829" s="27" t="s">
        <v>90</v>
      </c>
      <c r="G829" s="27" t="s">
        <v>46</v>
      </c>
      <c r="H829" s="27" t="s">
        <v>255</v>
      </c>
      <c r="I829" s="28">
        <v>42887.0</v>
      </c>
      <c r="J829" s="29"/>
      <c r="K829" s="30">
        <v>43983.0</v>
      </c>
      <c r="L829" s="31">
        <v>1.0</v>
      </c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26" t="s">
        <v>1765</v>
      </c>
      <c r="B830" s="27" t="s">
        <v>293</v>
      </c>
      <c r="C830" s="27" t="s">
        <v>146</v>
      </c>
      <c r="D830" s="27" t="s">
        <v>94</v>
      </c>
      <c r="E830" s="27" t="s">
        <v>21</v>
      </c>
      <c r="F830" s="27" t="s">
        <v>109</v>
      </c>
      <c r="G830" s="27" t="s">
        <v>23</v>
      </c>
      <c r="H830" s="27" t="s">
        <v>37</v>
      </c>
      <c r="I830" s="28">
        <v>43617.0</v>
      </c>
      <c r="J830" s="29"/>
      <c r="K830" s="30">
        <v>44713.0</v>
      </c>
      <c r="L830" s="31">
        <v>1.0</v>
      </c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26" t="s">
        <v>1766</v>
      </c>
      <c r="B831" s="27" t="s">
        <v>38</v>
      </c>
      <c r="C831" s="32"/>
      <c r="D831" s="27" t="s">
        <v>27</v>
      </c>
      <c r="E831" s="27" t="s">
        <v>487</v>
      </c>
      <c r="F831" s="27" t="s">
        <v>40</v>
      </c>
      <c r="G831" s="27" t="s">
        <v>1464</v>
      </c>
      <c r="H831" s="27" t="s">
        <v>40</v>
      </c>
      <c r="I831" s="28">
        <v>42401.0</v>
      </c>
      <c r="J831" s="29"/>
      <c r="K831" s="30">
        <v>44713.0</v>
      </c>
      <c r="L831" s="31">
        <v>1.0</v>
      </c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26" t="s">
        <v>1766</v>
      </c>
      <c r="B832" s="27" t="s">
        <v>1003</v>
      </c>
      <c r="C832" s="32"/>
      <c r="D832" s="27" t="s">
        <v>27</v>
      </c>
      <c r="E832" s="27" t="s">
        <v>21</v>
      </c>
      <c r="F832" s="27" t="s">
        <v>155</v>
      </c>
      <c r="G832" s="27" t="s">
        <v>571</v>
      </c>
      <c r="H832" s="27" t="s">
        <v>155</v>
      </c>
      <c r="I832" s="28">
        <v>43132.0</v>
      </c>
      <c r="J832" s="28">
        <v>44348.0</v>
      </c>
      <c r="K832" s="30">
        <v>45444.0</v>
      </c>
      <c r="L832" s="31">
        <v>2.0</v>
      </c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26" t="s">
        <v>1767</v>
      </c>
      <c r="B833" s="27" t="s">
        <v>1768</v>
      </c>
      <c r="C833" s="32"/>
      <c r="D833" s="27" t="s">
        <v>27</v>
      </c>
      <c r="E833" s="27" t="s">
        <v>60</v>
      </c>
      <c r="F833" s="27" t="s">
        <v>29</v>
      </c>
      <c r="G833" s="27" t="s">
        <v>1769</v>
      </c>
      <c r="H833" s="27" t="s">
        <v>29</v>
      </c>
      <c r="I833" s="28">
        <v>42401.0</v>
      </c>
      <c r="J833" s="29"/>
      <c r="K833" s="30">
        <v>44713.0</v>
      </c>
      <c r="L833" s="31">
        <v>1.0</v>
      </c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26" t="s">
        <v>1770</v>
      </c>
      <c r="B834" s="27" t="s">
        <v>1771</v>
      </c>
      <c r="C834" s="32"/>
      <c r="D834" s="27" t="s">
        <v>27</v>
      </c>
      <c r="E834" s="27" t="s">
        <v>706</v>
      </c>
      <c r="F834" s="27" t="s">
        <v>878</v>
      </c>
      <c r="G834" s="27" t="s">
        <v>36</v>
      </c>
      <c r="H834" s="27" t="s">
        <v>879</v>
      </c>
      <c r="I834" s="28">
        <v>42828.0</v>
      </c>
      <c r="J834" s="28">
        <v>43983.0</v>
      </c>
      <c r="K834" s="30">
        <v>44348.0</v>
      </c>
      <c r="L834" s="31">
        <v>2.0</v>
      </c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26" t="s">
        <v>1772</v>
      </c>
      <c r="B835" s="27" t="s">
        <v>18</v>
      </c>
      <c r="C835" s="27" t="s">
        <v>1237</v>
      </c>
      <c r="D835" s="27" t="s">
        <v>143</v>
      </c>
      <c r="E835" s="27" t="s">
        <v>21</v>
      </c>
      <c r="F835" s="27" t="s">
        <v>558</v>
      </c>
      <c r="G835" s="27" t="s">
        <v>137</v>
      </c>
      <c r="H835" s="27" t="s">
        <v>126</v>
      </c>
      <c r="I835" s="28">
        <v>43617.0</v>
      </c>
      <c r="J835" s="28">
        <v>44713.0</v>
      </c>
      <c r="K835" s="30">
        <v>45809.0</v>
      </c>
      <c r="L835" s="31">
        <v>2.0</v>
      </c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26" t="s">
        <v>1773</v>
      </c>
      <c r="B836" s="27" t="s">
        <v>537</v>
      </c>
      <c r="C836" s="32"/>
      <c r="D836" s="27" t="s">
        <v>27</v>
      </c>
      <c r="E836" s="27" t="s">
        <v>39</v>
      </c>
      <c r="F836" s="27" t="s">
        <v>40</v>
      </c>
      <c r="G836" s="27" t="s">
        <v>64</v>
      </c>
      <c r="H836" s="27" t="s">
        <v>40</v>
      </c>
      <c r="I836" s="28">
        <v>43132.0</v>
      </c>
      <c r="J836" s="28">
        <v>44348.0</v>
      </c>
      <c r="K836" s="30">
        <v>45444.0</v>
      </c>
      <c r="L836" s="31">
        <v>2.0</v>
      </c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26" t="s">
        <v>1775</v>
      </c>
      <c r="B837" s="27" t="s">
        <v>321</v>
      </c>
      <c r="C837" s="27" t="s">
        <v>1776</v>
      </c>
      <c r="D837" s="27" t="s">
        <v>44</v>
      </c>
      <c r="E837" s="27" t="s">
        <v>21</v>
      </c>
      <c r="F837" s="27" t="s">
        <v>364</v>
      </c>
      <c r="G837" s="27" t="s">
        <v>46</v>
      </c>
      <c r="H837" s="27" t="s">
        <v>397</v>
      </c>
      <c r="I837" s="28">
        <v>43617.0</v>
      </c>
      <c r="J837" s="29"/>
      <c r="K837" s="30">
        <v>44713.0</v>
      </c>
      <c r="L837" s="31">
        <v>1.0</v>
      </c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26" t="s">
        <v>1778</v>
      </c>
      <c r="B838" s="27" t="s">
        <v>1143</v>
      </c>
      <c r="C838" s="27" t="s">
        <v>1373</v>
      </c>
      <c r="D838" s="27" t="s">
        <v>317</v>
      </c>
      <c r="E838" s="27" t="s">
        <v>21</v>
      </c>
      <c r="F838" s="27" t="s">
        <v>364</v>
      </c>
      <c r="G838" s="27" t="s">
        <v>23</v>
      </c>
      <c r="H838" s="27" t="s">
        <v>171</v>
      </c>
      <c r="I838" s="28">
        <v>43617.0</v>
      </c>
      <c r="J838" s="29"/>
      <c r="K838" s="30">
        <v>44713.0</v>
      </c>
      <c r="L838" s="31">
        <v>1.0</v>
      </c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26" t="s">
        <v>1780</v>
      </c>
      <c r="B839" s="27" t="s">
        <v>145</v>
      </c>
      <c r="C839" s="27" t="s">
        <v>1781</v>
      </c>
      <c r="D839" s="27" t="s">
        <v>89</v>
      </c>
      <c r="E839" s="27" t="s">
        <v>21</v>
      </c>
      <c r="F839" s="27" t="s">
        <v>314</v>
      </c>
      <c r="G839" s="27" t="s">
        <v>23</v>
      </c>
      <c r="H839" s="27" t="s">
        <v>237</v>
      </c>
      <c r="I839" s="28">
        <v>42887.0</v>
      </c>
      <c r="J839" s="29"/>
      <c r="K839" s="30">
        <v>43983.0</v>
      </c>
      <c r="L839" s="31">
        <v>1.0</v>
      </c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26" t="s">
        <v>1783</v>
      </c>
      <c r="B840" s="27" t="s">
        <v>517</v>
      </c>
      <c r="C840" s="27" t="s">
        <v>1237</v>
      </c>
      <c r="D840" s="27" t="s">
        <v>143</v>
      </c>
      <c r="E840" s="27" t="s">
        <v>21</v>
      </c>
      <c r="F840" s="27" t="s">
        <v>314</v>
      </c>
      <c r="G840" s="27" t="s">
        <v>36</v>
      </c>
      <c r="H840" s="27" t="s">
        <v>255</v>
      </c>
      <c r="I840" s="28">
        <v>42887.0</v>
      </c>
      <c r="J840" s="29"/>
      <c r="K840" s="30">
        <v>43983.0</v>
      </c>
      <c r="L840" s="31">
        <v>1.0</v>
      </c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26" t="s">
        <v>1783</v>
      </c>
      <c r="B841" s="27" t="s">
        <v>1784</v>
      </c>
      <c r="C841" s="27" t="s">
        <v>514</v>
      </c>
      <c r="D841" s="27" t="s">
        <v>78</v>
      </c>
      <c r="E841" s="27" t="s">
        <v>21</v>
      </c>
      <c r="F841" s="27" t="s">
        <v>56</v>
      </c>
      <c r="G841" s="27" t="s">
        <v>46</v>
      </c>
      <c r="H841" s="27" t="s">
        <v>434</v>
      </c>
      <c r="I841" s="28">
        <v>43617.0</v>
      </c>
      <c r="J841" s="29"/>
      <c r="K841" s="30">
        <v>44713.0</v>
      </c>
      <c r="L841" s="31">
        <v>1.0</v>
      </c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26" t="s">
        <v>1785</v>
      </c>
      <c r="B842" s="27" t="s">
        <v>1786</v>
      </c>
      <c r="C842" s="27" t="s">
        <v>1787</v>
      </c>
      <c r="D842" s="27" t="s">
        <v>108</v>
      </c>
      <c r="E842" s="27" t="s">
        <v>21</v>
      </c>
      <c r="F842" s="27" t="s">
        <v>79</v>
      </c>
      <c r="G842" s="27" t="s">
        <v>46</v>
      </c>
      <c r="H842" s="27" t="s">
        <v>425</v>
      </c>
      <c r="I842" s="28">
        <v>43252.0</v>
      </c>
      <c r="J842" s="29"/>
      <c r="K842" s="30">
        <v>44348.0</v>
      </c>
      <c r="L842" s="31">
        <v>1.0</v>
      </c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26" t="s">
        <v>1788</v>
      </c>
      <c r="B843" s="27" t="s">
        <v>87</v>
      </c>
      <c r="C843" s="27" t="s">
        <v>872</v>
      </c>
      <c r="D843" s="27" t="s">
        <v>20</v>
      </c>
      <c r="E843" s="27" t="s">
        <v>21</v>
      </c>
      <c r="F843" s="27" t="s">
        <v>364</v>
      </c>
      <c r="G843" s="27" t="s">
        <v>46</v>
      </c>
      <c r="H843" s="27" t="s">
        <v>233</v>
      </c>
      <c r="I843" s="28">
        <v>43617.0</v>
      </c>
      <c r="J843" s="29"/>
      <c r="K843" s="30">
        <v>44713.0</v>
      </c>
      <c r="L843" s="31">
        <v>1.0</v>
      </c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26" t="s">
        <v>1790</v>
      </c>
      <c r="B844" s="27" t="s">
        <v>1792</v>
      </c>
      <c r="C844" s="27" t="s">
        <v>1793</v>
      </c>
      <c r="D844" s="27" t="s">
        <v>458</v>
      </c>
      <c r="E844" s="27" t="s">
        <v>21</v>
      </c>
      <c r="F844" s="27" t="s">
        <v>380</v>
      </c>
      <c r="G844" s="32"/>
      <c r="H844" s="27" t="s">
        <v>24</v>
      </c>
      <c r="I844" s="28">
        <v>36892.0</v>
      </c>
      <c r="J844" s="29"/>
      <c r="K844" s="30">
        <v>45809.0</v>
      </c>
      <c r="L844" s="31">
        <v>1.0</v>
      </c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26" t="s">
        <v>1797</v>
      </c>
      <c r="B845" s="27" t="s">
        <v>275</v>
      </c>
      <c r="C845" s="27" t="s">
        <v>107</v>
      </c>
      <c r="D845" s="27" t="s">
        <v>108</v>
      </c>
      <c r="E845" s="27" t="s">
        <v>21</v>
      </c>
      <c r="F845" s="27" t="s">
        <v>109</v>
      </c>
      <c r="G845" s="27" t="s">
        <v>23</v>
      </c>
      <c r="H845" s="27" t="s">
        <v>110</v>
      </c>
      <c r="I845" s="28">
        <v>43617.0</v>
      </c>
      <c r="J845" s="29"/>
      <c r="K845" s="30">
        <v>44713.0</v>
      </c>
      <c r="L845" s="31">
        <v>1.0</v>
      </c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26" t="s">
        <v>1801</v>
      </c>
      <c r="B846" s="27" t="s">
        <v>619</v>
      </c>
      <c r="C846" s="27" t="s">
        <v>1802</v>
      </c>
      <c r="D846" s="27" t="s">
        <v>20</v>
      </c>
      <c r="E846" s="27" t="s">
        <v>21</v>
      </c>
      <c r="F846" s="27" t="s">
        <v>99</v>
      </c>
      <c r="G846" s="27" t="s">
        <v>23</v>
      </c>
      <c r="H846" s="27" t="s">
        <v>135</v>
      </c>
      <c r="I846" s="28">
        <v>43252.0</v>
      </c>
      <c r="J846" s="29"/>
      <c r="K846" s="30">
        <v>44348.0</v>
      </c>
      <c r="L846" s="31">
        <v>1.0</v>
      </c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26" t="s">
        <v>1803</v>
      </c>
      <c r="B847" s="27" t="s">
        <v>839</v>
      </c>
      <c r="C847" s="27" t="s">
        <v>1804</v>
      </c>
      <c r="D847" s="27" t="s">
        <v>78</v>
      </c>
      <c r="E847" s="27" t="s">
        <v>21</v>
      </c>
      <c r="F847" s="27" t="s">
        <v>71</v>
      </c>
      <c r="G847" s="27" t="s">
        <v>46</v>
      </c>
      <c r="H847" s="27" t="s">
        <v>80</v>
      </c>
      <c r="I847" s="28">
        <v>43252.0</v>
      </c>
      <c r="J847" s="29"/>
      <c r="K847" s="30">
        <v>44348.0</v>
      </c>
      <c r="L847" s="31">
        <v>1.0</v>
      </c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26" t="s">
        <v>1807</v>
      </c>
      <c r="B848" s="27" t="s">
        <v>87</v>
      </c>
      <c r="C848" s="27" t="s">
        <v>448</v>
      </c>
      <c r="D848" s="27" t="s">
        <v>143</v>
      </c>
      <c r="E848" s="27" t="s">
        <v>21</v>
      </c>
      <c r="F848" s="27" t="s">
        <v>1810</v>
      </c>
      <c r="G848" s="27" t="s">
        <v>137</v>
      </c>
      <c r="H848" s="27" t="s">
        <v>135</v>
      </c>
      <c r="I848" s="28">
        <v>43252.0</v>
      </c>
      <c r="J848" s="28">
        <v>44348.0</v>
      </c>
      <c r="K848" s="30">
        <v>45444.0</v>
      </c>
      <c r="L848" s="31">
        <v>2.0</v>
      </c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26" t="s">
        <v>549</v>
      </c>
      <c r="B849" s="27" t="s">
        <v>811</v>
      </c>
      <c r="C849" s="27" t="s">
        <v>1813</v>
      </c>
      <c r="D849" s="27" t="s">
        <v>94</v>
      </c>
      <c r="E849" s="27" t="s">
        <v>21</v>
      </c>
      <c r="F849" s="27" t="s">
        <v>45</v>
      </c>
      <c r="G849" s="27" t="s">
        <v>23</v>
      </c>
      <c r="H849" s="27" t="s">
        <v>975</v>
      </c>
      <c r="I849" s="28">
        <v>43252.0</v>
      </c>
      <c r="J849" s="28">
        <v>44348.0</v>
      </c>
      <c r="K849" s="30">
        <v>45444.0</v>
      </c>
      <c r="L849" s="31">
        <v>2.0</v>
      </c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26" t="s">
        <v>1817</v>
      </c>
      <c r="B850" s="27" t="s">
        <v>654</v>
      </c>
      <c r="C850" s="27" t="s">
        <v>414</v>
      </c>
      <c r="D850" s="27" t="s">
        <v>130</v>
      </c>
      <c r="E850" s="27" t="s">
        <v>21</v>
      </c>
      <c r="F850" s="27" t="s">
        <v>380</v>
      </c>
      <c r="G850" s="32"/>
      <c r="H850" s="27" t="s">
        <v>24</v>
      </c>
      <c r="I850" s="28">
        <v>36892.0</v>
      </c>
      <c r="J850" s="29"/>
      <c r="K850" s="30">
        <v>45809.0</v>
      </c>
      <c r="L850" s="31">
        <v>1.0</v>
      </c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26" t="s">
        <v>1330</v>
      </c>
      <c r="B851" s="27" t="s">
        <v>32</v>
      </c>
      <c r="C851" s="27" t="s">
        <v>1821</v>
      </c>
      <c r="D851" s="27" t="s">
        <v>118</v>
      </c>
      <c r="E851" s="27" t="s">
        <v>21</v>
      </c>
      <c r="F851" s="27" t="s">
        <v>71</v>
      </c>
      <c r="G851" s="27" t="s">
        <v>23</v>
      </c>
      <c r="H851" s="27" t="s">
        <v>331</v>
      </c>
      <c r="I851" s="28">
        <v>43252.0</v>
      </c>
      <c r="J851" s="29"/>
      <c r="K851" s="30">
        <v>44348.0</v>
      </c>
      <c r="L851" s="31">
        <v>1.0</v>
      </c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26" t="s">
        <v>1824</v>
      </c>
      <c r="B852" s="27" t="s">
        <v>1825</v>
      </c>
      <c r="C852" s="27" t="s">
        <v>1827</v>
      </c>
      <c r="D852" s="27" t="s">
        <v>1828</v>
      </c>
      <c r="E852" s="27" t="s">
        <v>21</v>
      </c>
      <c r="F852" s="27" t="s">
        <v>90</v>
      </c>
      <c r="G852" s="27" t="s">
        <v>46</v>
      </c>
      <c r="H852" s="27" t="s">
        <v>80</v>
      </c>
      <c r="I852" s="28">
        <v>43252.0</v>
      </c>
      <c r="J852" s="29"/>
      <c r="K852" s="30">
        <v>44348.0</v>
      </c>
      <c r="L852" s="31">
        <v>1.0</v>
      </c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26" t="s">
        <v>1830</v>
      </c>
      <c r="B853" s="27" t="s">
        <v>145</v>
      </c>
      <c r="C853" s="27" t="s">
        <v>1833</v>
      </c>
      <c r="D853" s="27" t="s">
        <v>78</v>
      </c>
      <c r="E853" s="27" t="s">
        <v>21</v>
      </c>
      <c r="F853" s="27" t="s">
        <v>1810</v>
      </c>
      <c r="G853" s="27" t="s">
        <v>46</v>
      </c>
      <c r="H853" s="27" t="s">
        <v>135</v>
      </c>
      <c r="I853" s="28">
        <v>43252.0</v>
      </c>
      <c r="J853" s="28">
        <v>44348.0</v>
      </c>
      <c r="K853" s="30">
        <v>45444.0</v>
      </c>
      <c r="L853" s="31">
        <v>2.0</v>
      </c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26" t="s">
        <v>1837</v>
      </c>
      <c r="B854" s="27" t="s">
        <v>1839</v>
      </c>
      <c r="C854" s="32"/>
      <c r="D854" s="27" t="s">
        <v>27</v>
      </c>
      <c r="E854" s="27" t="s">
        <v>487</v>
      </c>
      <c r="F854" s="27" t="s">
        <v>40</v>
      </c>
      <c r="G854" s="27" t="s">
        <v>436</v>
      </c>
      <c r="H854" s="27" t="s">
        <v>40</v>
      </c>
      <c r="I854" s="28">
        <v>43132.0</v>
      </c>
      <c r="J854" s="28">
        <v>44348.0</v>
      </c>
      <c r="K854" s="30">
        <v>45444.0</v>
      </c>
      <c r="L854" s="31">
        <v>2.0</v>
      </c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26" t="s">
        <v>1837</v>
      </c>
      <c r="B855" s="27" t="s">
        <v>269</v>
      </c>
      <c r="C855" s="27" t="s">
        <v>146</v>
      </c>
      <c r="D855" s="27" t="s">
        <v>94</v>
      </c>
      <c r="E855" s="27" t="s">
        <v>21</v>
      </c>
      <c r="F855" s="27" t="s">
        <v>71</v>
      </c>
      <c r="G855" s="27" t="s">
        <v>36</v>
      </c>
      <c r="H855" s="27" t="s">
        <v>295</v>
      </c>
      <c r="I855" s="28">
        <v>43252.0</v>
      </c>
      <c r="J855" s="29"/>
      <c r="K855" s="30">
        <v>44348.0</v>
      </c>
      <c r="L855" s="31">
        <v>1.0</v>
      </c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26" t="s">
        <v>1844</v>
      </c>
      <c r="B856" s="27" t="s">
        <v>278</v>
      </c>
      <c r="C856" s="27" t="s">
        <v>1845</v>
      </c>
      <c r="D856" s="27" t="s">
        <v>78</v>
      </c>
      <c r="E856" s="27" t="s">
        <v>21</v>
      </c>
      <c r="F856" s="27" t="s">
        <v>95</v>
      </c>
      <c r="G856" s="27" t="s">
        <v>36</v>
      </c>
      <c r="H856" s="27" t="s">
        <v>434</v>
      </c>
      <c r="I856" s="28">
        <v>43617.0</v>
      </c>
      <c r="J856" s="29"/>
      <c r="K856" s="30">
        <v>44713.0</v>
      </c>
      <c r="L856" s="31">
        <v>1.0</v>
      </c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26" t="s">
        <v>1847</v>
      </c>
      <c r="B857" s="27" t="s">
        <v>1848</v>
      </c>
      <c r="C857" s="27" t="s">
        <v>1850</v>
      </c>
      <c r="D857" s="27" t="s">
        <v>130</v>
      </c>
      <c r="E857" s="27" t="s">
        <v>21</v>
      </c>
      <c r="F857" s="27" t="s">
        <v>90</v>
      </c>
      <c r="G857" s="27" t="s">
        <v>36</v>
      </c>
      <c r="H857" s="27" t="s">
        <v>72</v>
      </c>
      <c r="I857" s="28">
        <v>43252.0</v>
      </c>
      <c r="J857" s="29"/>
      <c r="K857" s="30">
        <v>44348.0</v>
      </c>
      <c r="L857" s="31">
        <v>1.0</v>
      </c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26" t="s">
        <v>1856</v>
      </c>
      <c r="B858" s="27" t="s">
        <v>275</v>
      </c>
      <c r="C858" s="27" t="s">
        <v>476</v>
      </c>
      <c r="D858" s="27" t="s">
        <v>94</v>
      </c>
      <c r="E858" s="27" t="s">
        <v>21</v>
      </c>
      <c r="F858" s="27" t="s">
        <v>56</v>
      </c>
      <c r="G858" s="27" t="s">
        <v>46</v>
      </c>
      <c r="H858" s="27" t="s">
        <v>37</v>
      </c>
      <c r="I858" s="28">
        <v>43617.0</v>
      </c>
      <c r="J858" s="29"/>
      <c r="K858" s="30">
        <v>44713.0</v>
      </c>
      <c r="L858" s="31">
        <v>1.0</v>
      </c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26" t="s">
        <v>1860</v>
      </c>
      <c r="B859" s="27" t="s">
        <v>120</v>
      </c>
      <c r="C859" s="27" t="s">
        <v>1862</v>
      </c>
      <c r="D859" s="27" t="s">
        <v>222</v>
      </c>
      <c r="E859" s="27" t="s">
        <v>21</v>
      </c>
      <c r="F859" s="27" t="s">
        <v>364</v>
      </c>
      <c r="G859" s="27" t="s">
        <v>23</v>
      </c>
      <c r="H859" s="27" t="s">
        <v>241</v>
      </c>
      <c r="I859" s="28">
        <v>43617.0</v>
      </c>
      <c r="J859" s="29"/>
      <c r="K859" s="30">
        <v>44713.0</v>
      </c>
      <c r="L859" s="31">
        <v>1.0</v>
      </c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26" t="s">
        <v>1865</v>
      </c>
      <c r="B860" s="27" t="s">
        <v>116</v>
      </c>
      <c r="C860" s="27" t="s">
        <v>1866</v>
      </c>
      <c r="D860" s="27" t="s">
        <v>458</v>
      </c>
      <c r="E860" s="27" t="s">
        <v>21</v>
      </c>
      <c r="F860" s="27" t="s">
        <v>71</v>
      </c>
      <c r="G860" s="27" t="s">
        <v>23</v>
      </c>
      <c r="H860" s="27" t="s">
        <v>110</v>
      </c>
      <c r="I860" s="28">
        <v>43617.0</v>
      </c>
      <c r="J860" s="29"/>
      <c r="K860" s="30">
        <v>44713.0</v>
      </c>
      <c r="L860" s="31">
        <v>1.0</v>
      </c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26" t="s">
        <v>1869</v>
      </c>
      <c r="B861" s="27" t="s">
        <v>116</v>
      </c>
      <c r="C861" s="27" t="s">
        <v>1866</v>
      </c>
      <c r="D861" s="27" t="s">
        <v>458</v>
      </c>
      <c r="E861" s="27" t="s">
        <v>21</v>
      </c>
      <c r="F861" s="27" t="s">
        <v>90</v>
      </c>
      <c r="G861" s="27" t="s">
        <v>36</v>
      </c>
      <c r="H861" s="27" t="s">
        <v>211</v>
      </c>
      <c r="I861" s="28">
        <v>43252.0</v>
      </c>
      <c r="J861" s="29"/>
      <c r="K861" s="30">
        <v>44348.0</v>
      </c>
      <c r="L861" s="31">
        <v>1.0</v>
      </c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26" t="s">
        <v>1873</v>
      </c>
      <c r="B862" s="27" t="s">
        <v>1874</v>
      </c>
      <c r="C862" s="27" t="s">
        <v>985</v>
      </c>
      <c r="D862" s="27" t="s">
        <v>44</v>
      </c>
      <c r="E862" s="27" t="s">
        <v>21</v>
      </c>
      <c r="F862" s="27" t="s">
        <v>45</v>
      </c>
      <c r="G862" s="27" t="s">
        <v>46</v>
      </c>
      <c r="H862" s="27" t="s">
        <v>211</v>
      </c>
      <c r="I862" s="28">
        <v>43252.0</v>
      </c>
      <c r="J862" s="29"/>
      <c r="K862" s="30">
        <v>44348.0</v>
      </c>
      <c r="L862" s="31">
        <v>1.0</v>
      </c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26" t="s">
        <v>1878</v>
      </c>
      <c r="B863" s="27" t="s">
        <v>249</v>
      </c>
      <c r="C863" s="27" t="s">
        <v>243</v>
      </c>
      <c r="D863" s="27" t="s">
        <v>78</v>
      </c>
      <c r="E863" s="27" t="s">
        <v>21</v>
      </c>
      <c r="F863" s="27" t="s">
        <v>99</v>
      </c>
      <c r="G863" s="27" t="s">
        <v>23</v>
      </c>
      <c r="H863" s="27" t="s">
        <v>80</v>
      </c>
      <c r="I863" s="28">
        <v>43252.0</v>
      </c>
      <c r="J863" s="29"/>
      <c r="K863" s="30">
        <v>44348.0</v>
      </c>
      <c r="L863" s="31">
        <v>1.0</v>
      </c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26" t="s">
        <v>1880</v>
      </c>
      <c r="B864" s="27" t="s">
        <v>231</v>
      </c>
      <c r="C864" s="27" t="s">
        <v>182</v>
      </c>
      <c r="D864" s="27" t="s">
        <v>183</v>
      </c>
      <c r="E864" s="27" t="s">
        <v>21</v>
      </c>
      <c r="F864" s="27" t="s">
        <v>1881</v>
      </c>
      <c r="G864" s="27" t="s">
        <v>409</v>
      </c>
      <c r="H864" s="27" t="s">
        <v>1881</v>
      </c>
      <c r="I864" s="28">
        <v>43132.0</v>
      </c>
      <c r="J864" s="28">
        <v>44348.0</v>
      </c>
      <c r="K864" s="30">
        <v>45444.0</v>
      </c>
      <c r="L864" s="31">
        <v>2.0</v>
      </c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26" t="s">
        <v>1883</v>
      </c>
      <c r="B865" s="27" t="s">
        <v>116</v>
      </c>
      <c r="C865" s="27" t="s">
        <v>1884</v>
      </c>
      <c r="D865" s="27" t="s">
        <v>343</v>
      </c>
      <c r="E865" s="27" t="s">
        <v>21</v>
      </c>
      <c r="F865" s="27" t="s">
        <v>35</v>
      </c>
      <c r="G865" s="27" t="s">
        <v>46</v>
      </c>
      <c r="H865" s="27" t="s">
        <v>233</v>
      </c>
      <c r="I865" s="28">
        <v>43617.0</v>
      </c>
      <c r="J865" s="29"/>
      <c r="K865" s="30">
        <v>44713.0</v>
      </c>
      <c r="L865" s="31">
        <v>1.0</v>
      </c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26" t="s">
        <v>1887</v>
      </c>
      <c r="B866" s="27" t="s">
        <v>1531</v>
      </c>
      <c r="C866" s="27" t="s">
        <v>954</v>
      </c>
      <c r="D866" s="27" t="s">
        <v>55</v>
      </c>
      <c r="E866" s="27" t="s">
        <v>21</v>
      </c>
      <c r="F866" s="27" t="s">
        <v>79</v>
      </c>
      <c r="G866" s="27" t="s">
        <v>46</v>
      </c>
      <c r="H866" s="27" t="s">
        <v>582</v>
      </c>
      <c r="I866" s="28">
        <v>42887.0</v>
      </c>
      <c r="J866" s="29"/>
      <c r="K866" s="30">
        <v>43983.0</v>
      </c>
      <c r="L866" s="31">
        <v>1.0</v>
      </c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26" t="s">
        <v>1891</v>
      </c>
      <c r="B867" s="27" t="s">
        <v>141</v>
      </c>
      <c r="C867" s="27" t="s">
        <v>1262</v>
      </c>
      <c r="D867" s="27" t="s">
        <v>222</v>
      </c>
      <c r="E867" s="27" t="s">
        <v>21</v>
      </c>
      <c r="F867" s="27" t="s">
        <v>56</v>
      </c>
      <c r="G867" s="27" t="s">
        <v>46</v>
      </c>
      <c r="H867" s="27" t="s">
        <v>119</v>
      </c>
      <c r="I867" s="28">
        <v>43617.0</v>
      </c>
      <c r="J867" s="29"/>
      <c r="K867" s="30">
        <v>44713.0</v>
      </c>
      <c r="L867" s="31">
        <v>1.0</v>
      </c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26" t="s">
        <v>1897</v>
      </c>
      <c r="B868" s="27" t="s">
        <v>880</v>
      </c>
      <c r="C868" s="27" t="s">
        <v>243</v>
      </c>
      <c r="D868" s="27" t="s">
        <v>78</v>
      </c>
      <c r="E868" s="27" t="s">
        <v>21</v>
      </c>
      <c r="F868" s="27" t="s">
        <v>56</v>
      </c>
      <c r="G868" s="27" t="s">
        <v>36</v>
      </c>
      <c r="H868" s="27" t="s">
        <v>434</v>
      </c>
      <c r="I868" s="28">
        <v>43617.0</v>
      </c>
      <c r="J868" s="29"/>
      <c r="K868" s="30">
        <v>44713.0</v>
      </c>
      <c r="L868" s="31">
        <v>1.0</v>
      </c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26" t="s">
        <v>1900</v>
      </c>
      <c r="B869" s="27" t="s">
        <v>116</v>
      </c>
      <c r="C869" s="27" t="s">
        <v>1901</v>
      </c>
      <c r="D869" s="27" t="s">
        <v>20</v>
      </c>
      <c r="E869" s="27" t="s">
        <v>21</v>
      </c>
      <c r="F869" s="27" t="s">
        <v>90</v>
      </c>
      <c r="G869" s="27" t="s">
        <v>36</v>
      </c>
      <c r="H869" s="27" t="s">
        <v>100</v>
      </c>
      <c r="I869" s="28">
        <v>42887.0</v>
      </c>
      <c r="J869" s="29"/>
      <c r="K869" s="30">
        <v>43983.0</v>
      </c>
      <c r="L869" s="31">
        <v>1.0</v>
      </c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26" t="s">
        <v>1902</v>
      </c>
      <c r="B870" s="27" t="s">
        <v>1039</v>
      </c>
      <c r="C870" s="27" t="s">
        <v>1153</v>
      </c>
      <c r="D870" s="27" t="s">
        <v>143</v>
      </c>
      <c r="E870" s="27" t="s">
        <v>21</v>
      </c>
      <c r="F870" s="27" t="s">
        <v>56</v>
      </c>
      <c r="G870" s="27" t="s">
        <v>46</v>
      </c>
      <c r="H870" s="27" t="s">
        <v>251</v>
      </c>
      <c r="I870" s="28">
        <v>43617.0</v>
      </c>
      <c r="J870" s="29"/>
      <c r="K870" s="30">
        <v>44713.0</v>
      </c>
      <c r="L870" s="31">
        <v>1.0</v>
      </c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26" t="s">
        <v>1903</v>
      </c>
      <c r="B871" s="27" t="s">
        <v>1137</v>
      </c>
      <c r="C871" s="27" t="s">
        <v>1904</v>
      </c>
      <c r="D871" s="27" t="s">
        <v>89</v>
      </c>
      <c r="E871" s="27" t="s">
        <v>21</v>
      </c>
      <c r="F871" s="27" t="s">
        <v>79</v>
      </c>
      <c r="G871" s="27" t="s">
        <v>36</v>
      </c>
      <c r="H871" s="27" t="s">
        <v>237</v>
      </c>
      <c r="I871" s="28">
        <v>42887.0</v>
      </c>
      <c r="J871" s="29"/>
      <c r="K871" s="30">
        <v>43983.0</v>
      </c>
      <c r="L871" s="31">
        <v>1.0</v>
      </c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26" t="s">
        <v>1905</v>
      </c>
      <c r="B872" s="27" t="s">
        <v>1381</v>
      </c>
      <c r="C872" s="27" t="s">
        <v>1906</v>
      </c>
      <c r="D872" s="27" t="s">
        <v>1311</v>
      </c>
      <c r="E872" s="27" t="s">
        <v>21</v>
      </c>
      <c r="F872" s="27" t="s">
        <v>109</v>
      </c>
      <c r="G872" s="27" t="s">
        <v>36</v>
      </c>
      <c r="H872" s="27" t="s">
        <v>434</v>
      </c>
      <c r="I872" s="28">
        <v>43617.0</v>
      </c>
      <c r="J872" s="28">
        <v>44348.0</v>
      </c>
      <c r="K872" s="30">
        <v>45444.0</v>
      </c>
      <c r="L872" s="31">
        <v>2.0</v>
      </c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26" t="s">
        <v>181</v>
      </c>
      <c r="B873" s="27" t="s">
        <v>1255</v>
      </c>
      <c r="C873" s="27" t="s">
        <v>257</v>
      </c>
      <c r="D873" s="27" t="s">
        <v>44</v>
      </c>
      <c r="E873" s="27" t="s">
        <v>21</v>
      </c>
      <c r="F873" s="27" t="s">
        <v>79</v>
      </c>
      <c r="G873" s="27" t="s">
        <v>23</v>
      </c>
      <c r="H873" s="27" t="s">
        <v>47</v>
      </c>
      <c r="I873" s="28">
        <v>43252.0</v>
      </c>
      <c r="J873" s="29"/>
      <c r="K873" s="30">
        <v>44348.0</v>
      </c>
      <c r="L873" s="31">
        <v>1.0</v>
      </c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26" t="s">
        <v>1909</v>
      </c>
      <c r="B874" s="27" t="s">
        <v>573</v>
      </c>
      <c r="C874" s="27" t="s">
        <v>1910</v>
      </c>
      <c r="D874" s="27" t="s">
        <v>282</v>
      </c>
      <c r="E874" s="27" t="s">
        <v>21</v>
      </c>
      <c r="F874" s="27" t="s">
        <v>1246</v>
      </c>
      <c r="G874" s="27" t="s">
        <v>23</v>
      </c>
      <c r="H874" s="27" t="s">
        <v>207</v>
      </c>
      <c r="I874" s="28">
        <v>42887.0</v>
      </c>
      <c r="J874" s="28">
        <v>43983.0</v>
      </c>
      <c r="K874" s="30">
        <v>45078.0</v>
      </c>
      <c r="L874" s="31">
        <v>2.0</v>
      </c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26" t="s">
        <v>1911</v>
      </c>
      <c r="B875" s="27" t="s">
        <v>150</v>
      </c>
      <c r="C875" s="32"/>
      <c r="D875" s="27" t="s">
        <v>27</v>
      </c>
      <c r="E875" s="27" t="s">
        <v>39</v>
      </c>
      <c r="F875" s="27" t="s">
        <v>40</v>
      </c>
      <c r="G875" s="27" t="s">
        <v>104</v>
      </c>
      <c r="H875" s="27" t="s">
        <v>287</v>
      </c>
      <c r="I875" s="28">
        <v>42887.0</v>
      </c>
      <c r="J875" s="29"/>
      <c r="K875" s="30">
        <v>43983.0</v>
      </c>
      <c r="L875" s="31">
        <v>1.0</v>
      </c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26" t="s">
        <v>1914</v>
      </c>
      <c r="B876" s="27" t="s">
        <v>1143</v>
      </c>
      <c r="C876" s="27" t="s">
        <v>303</v>
      </c>
      <c r="D876" s="27" t="s">
        <v>55</v>
      </c>
      <c r="E876" s="27" t="s">
        <v>21</v>
      </c>
      <c r="F876" s="27" t="s">
        <v>109</v>
      </c>
      <c r="G876" s="27" t="s">
        <v>23</v>
      </c>
      <c r="H876" s="27" t="s">
        <v>57</v>
      </c>
      <c r="I876" s="28">
        <v>43617.0</v>
      </c>
      <c r="J876" s="29"/>
      <c r="K876" s="30">
        <v>44713.0</v>
      </c>
      <c r="L876" s="31">
        <v>1.0</v>
      </c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26" t="s">
        <v>1915</v>
      </c>
      <c r="B877" s="27" t="s">
        <v>654</v>
      </c>
      <c r="C877" s="27" t="s">
        <v>1753</v>
      </c>
      <c r="D877" s="27" t="s">
        <v>94</v>
      </c>
      <c r="E877" s="27" t="s">
        <v>21</v>
      </c>
      <c r="F877" s="27" t="s">
        <v>45</v>
      </c>
      <c r="G877" s="27" t="s">
        <v>46</v>
      </c>
      <c r="H877" s="27" t="s">
        <v>295</v>
      </c>
      <c r="I877" s="28">
        <v>43252.0</v>
      </c>
      <c r="J877" s="29"/>
      <c r="K877" s="30">
        <v>44348.0</v>
      </c>
      <c r="L877" s="31">
        <v>1.0</v>
      </c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26" t="s">
        <v>1918</v>
      </c>
      <c r="B878" s="27" t="s">
        <v>18</v>
      </c>
      <c r="C878" s="27" t="s">
        <v>1920</v>
      </c>
      <c r="D878" s="27" t="s">
        <v>34</v>
      </c>
      <c r="E878" s="27" t="s">
        <v>21</v>
      </c>
      <c r="F878" s="27" t="s">
        <v>79</v>
      </c>
      <c r="G878" s="27" t="s">
        <v>23</v>
      </c>
      <c r="H878" s="27" t="s">
        <v>344</v>
      </c>
      <c r="I878" s="28">
        <v>42887.0</v>
      </c>
      <c r="J878" s="29"/>
      <c r="K878" s="30">
        <v>43983.0</v>
      </c>
      <c r="L878" s="31">
        <v>1.0</v>
      </c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26" t="s">
        <v>1921</v>
      </c>
      <c r="B879" s="27" t="s">
        <v>402</v>
      </c>
      <c r="C879" s="27" t="s">
        <v>1924</v>
      </c>
      <c r="D879" s="27" t="s">
        <v>323</v>
      </c>
      <c r="E879" s="27" t="s">
        <v>21</v>
      </c>
      <c r="F879" s="32"/>
      <c r="G879" s="32"/>
      <c r="H879" s="27" t="s">
        <v>913</v>
      </c>
      <c r="I879" s="28">
        <v>43252.0</v>
      </c>
      <c r="J879" s="29"/>
      <c r="K879" s="30">
        <v>44348.0</v>
      </c>
      <c r="L879" s="31">
        <v>1.0</v>
      </c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26" t="s">
        <v>1927</v>
      </c>
      <c r="B880" s="27" t="s">
        <v>220</v>
      </c>
      <c r="C880" s="27" t="s">
        <v>994</v>
      </c>
      <c r="D880" s="27" t="s">
        <v>222</v>
      </c>
      <c r="E880" s="27" t="s">
        <v>21</v>
      </c>
      <c r="F880" s="27" t="s">
        <v>638</v>
      </c>
      <c r="G880" s="27" t="s">
        <v>1273</v>
      </c>
      <c r="H880" s="27" t="s">
        <v>207</v>
      </c>
      <c r="I880" s="28">
        <v>42887.0</v>
      </c>
      <c r="J880" s="29"/>
      <c r="K880" s="30">
        <v>43983.0</v>
      </c>
      <c r="L880" s="31">
        <v>1.0</v>
      </c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26" t="s">
        <v>1930</v>
      </c>
      <c r="B881" s="27" t="s">
        <v>326</v>
      </c>
      <c r="C881" s="32"/>
      <c r="D881" s="27" t="s">
        <v>27</v>
      </c>
      <c r="E881" s="27" t="s">
        <v>27</v>
      </c>
      <c r="F881" s="27" t="s">
        <v>445</v>
      </c>
      <c r="G881" s="27" t="s">
        <v>156</v>
      </c>
      <c r="H881" s="27" t="s">
        <v>445</v>
      </c>
      <c r="I881" s="28">
        <v>42765.0</v>
      </c>
      <c r="J881" s="28">
        <v>43983.0</v>
      </c>
      <c r="K881" s="30">
        <v>45078.0</v>
      </c>
      <c r="L881" s="31">
        <v>2.0</v>
      </c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26" t="s">
        <v>1936</v>
      </c>
      <c r="B882" s="27" t="s">
        <v>266</v>
      </c>
      <c r="C882" s="27" t="s">
        <v>170</v>
      </c>
      <c r="D882" s="27" t="s">
        <v>89</v>
      </c>
      <c r="E882" s="27" t="s">
        <v>21</v>
      </c>
      <c r="F882" s="27" t="s">
        <v>95</v>
      </c>
      <c r="G882" s="27" t="s">
        <v>36</v>
      </c>
      <c r="H882" s="27" t="s">
        <v>171</v>
      </c>
      <c r="I882" s="28">
        <v>43617.0</v>
      </c>
      <c r="J882" s="29"/>
      <c r="K882" s="30">
        <v>44713.0</v>
      </c>
      <c r="L882" s="31">
        <v>1.0</v>
      </c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26" t="s">
        <v>1938</v>
      </c>
      <c r="B883" s="27" t="s">
        <v>406</v>
      </c>
      <c r="C883" s="27" t="s">
        <v>191</v>
      </c>
      <c r="D883" s="27" t="s">
        <v>458</v>
      </c>
      <c r="E883" s="27" t="s">
        <v>21</v>
      </c>
      <c r="F883" s="27" t="s">
        <v>35</v>
      </c>
      <c r="G883" s="27" t="s">
        <v>23</v>
      </c>
      <c r="H883" s="27" t="s">
        <v>110</v>
      </c>
      <c r="I883" s="28">
        <v>43617.0</v>
      </c>
      <c r="J883" s="29"/>
      <c r="K883" s="30">
        <v>44713.0</v>
      </c>
      <c r="L883" s="31">
        <v>1.0</v>
      </c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26" t="s">
        <v>1942</v>
      </c>
      <c r="B884" s="27" t="s">
        <v>493</v>
      </c>
      <c r="C884" s="32"/>
      <c r="D884" s="32"/>
      <c r="E884" s="27" t="s">
        <v>70</v>
      </c>
      <c r="F884" s="27" t="s">
        <v>45</v>
      </c>
      <c r="G884" s="27" t="s">
        <v>36</v>
      </c>
      <c r="H884" s="27" t="s">
        <v>72</v>
      </c>
      <c r="I884" s="28">
        <v>43252.0</v>
      </c>
      <c r="J884" s="29"/>
      <c r="K884" s="30">
        <v>44348.0</v>
      </c>
      <c r="L884" s="31">
        <v>1.0</v>
      </c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26" t="s">
        <v>1944</v>
      </c>
      <c r="B885" s="27" t="s">
        <v>1945</v>
      </c>
      <c r="C885" s="27" t="s">
        <v>1946</v>
      </c>
      <c r="D885" s="27" t="s">
        <v>78</v>
      </c>
      <c r="E885" s="27" t="s">
        <v>21</v>
      </c>
      <c r="F885" s="27" t="s">
        <v>721</v>
      </c>
      <c r="G885" s="27" t="s">
        <v>36</v>
      </c>
      <c r="H885" s="27" t="s">
        <v>126</v>
      </c>
      <c r="I885" s="28">
        <v>43617.0</v>
      </c>
      <c r="J885" s="28">
        <v>44713.0</v>
      </c>
      <c r="K885" s="30">
        <v>45809.0</v>
      </c>
      <c r="L885" s="31">
        <v>2.0</v>
      </c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26" t="s">
        <v>1944</v>
      </c>
      <c r="B886" s="27" t="s">
        <v>1951</v>
      </c>
      <c r="C886" s="32"/>
      <c r="D886" s="27" t="s">
        <v>27</v>
      </c>
      <c r="E886" s="27" t="s">
        <v>162</v>
      </c>
      <c r="F886" s="27" t="s">
        <v>40</v>
      </c>
      <c r="G886" s="27" t="s">
        <v>114</v>
      </c>
      <c r="H886" s="27" t="s">
        <v>40</v>
      </c>
      <c r="I886" s="28">
        <v>43132.0</v>
      </c>
      <c r="J886" s="28">
        <v>44348.0</v>
      </c>
      <c r="K886" s="30">
        <v>45444.0</v>
      </c>
      <c r="L886" s="31">
        <v>2.0</v>
      </c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33" t="s">
        <v>1955</v>
      </c>
      <c r="B887" s="34" t="s">
        <v>972</v>
      </c>
      <c r="C887" s="35"/>
      <c r="D887" s="34" t="s">
        <v>27</v>
      </c>
      <c r="E887" s="34" t="s">
        <v>487</v>
      </c>
      <c r="F887" s="27" t="s">
        <v>40</v>
      </c>
      <c r="G887" s="27" t="s">
        <v>1769</v>
      </c>
      <c r="H887" s="34" t="s">
        <v>487</v>
      </c>
      <c r="I887" s="30">
        <v>42401.0</v>
      </c>
      <c r="J887" s="36"/>
      <c r="K887" s="30">
        <v>44713.0</v>
      </c>
      <c r="L887" s="31">
        <v>1.0</v>
      </c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26" t="s">
        <v>1955</v>
      </c>
      <c r="B888" s="27" t="s">
        <v>18</v>
      </c>
      <c r="C888" s="27" t="s">
        <v>1960</v>
      </c>
      <c r="D888" s="27" t="s">
        <v>44</v>
      </c>
      <c r="E888" s="27" t="s">
        <v>21</v>
      </c>
      <c r="F888" s="27" t="s">
        <v>79</v>
      </c>
      <c r="G888" s="27" t="s">
        <v>36</v>
      </c>
      <c r="H888" s="27" t="s">
        <v>100</v>
      </c>
      <c r="I888" s="28">
        <v>42887.0</v>
      </c>
      <c r="J888" s="29"/>
      <c r="K888" s="30">
        <v>43983.0</v>
      </c>
      <c r="L888" s="31">
        <v>1.0</v>
      </c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26" t="s">
        <v>1955</v>
      </c>
      <c r="B889" s="27" t="s">
        <v>369</v>
      </c>
      <c r="C889" s="27" t="s">
        <v>1962</v>
      </c>
      <c r="D889" s="27" t="s">
        <v>118</v>
      </c>
      <c r="E889" s="27" t="s">
        <v>21</v>
      </c>
      <c r="F889" s="27" t="s">
        <v>56</v>
      </c>
      <c r="G889" s="27" t="s">
        <v>23</v>
      </c>
      <c r="H889" s="27" t="s">
        <v>119</v>
      </c>
      <c r="I889" s="28">
        <v>43617.0</v>
      </c>
      <c r="J889" s="29"/>
      <c r="K889" s="30">
        <v>44713.0</v>
      </c>
      <c r="L889" s="31">
        <v>1.0</v>
      </c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26" t="s">
        <v>1965</v>
      </c>
      <c r="B890" s="27" t="s">
        <v>542</v>
      </c>
      <c r="C890" s="27" t="s">
        <v>1967</v>
      </c>
      <c r="D890" s="27" t="s">
        <v>44</v>
      </c>
      <c r="E890" s="27" t="s">
        <v>21</v>
      </c>
      <c r="F890" s="27" t="s">
        <v>79</v>
      </c>
      <c r="G890" s="27" t="s">
        <v>23</v>
      </c>
      <c r="H890" s="27" t="s">
        <v>47</v>
      </c>
      <c r="I890" s="28">
        <v>43252.0</v>
      </c>
      <c r="J890" s="29"/>
      <c r="K890" s="30">
        <v>44348.0</v>
      </c>
      <c r="L890" s="31">
        <v>1.0</v>
      </c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26" t="s">
        <v>1970</v>
      </c>
      <c r="B891" s="27" t="s">
        <v>1971</v>
      </c>
      <c r="C891" s="27" t="s">
        <v>1973</v>
      </c>
      <c r="D891" s="27" t="s">
        <v>44</v>
      </c>
      <c r="E891" s="27" t="s">
        <v>21</v>
      </c>
      <c r="F891" s="27" t="s">
        <v>90</v>
      </c>
      <c r="G891" s="27" t="s">
        <v>36</v>
      </c>
      <c r="H891" s="27" t="s">
        <v>100</v>
      </c>
      <c r="I891" s="28">
        <v>42887.0</v>
      </c>
      <c r="J891" s="29"/>
      <c r="K891" s="30">
        <v>43983.0</v>
      </c>
      <c r="L891" s="31">
        <v>1.0</v>
      </c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26" t="s">
        <v>1976</v>
      </c>
      <c r="B892" s="27" t="s">
        <v>1977</v>
      </c>
      <c r="C892" s="27" t="s">
        <v>1434</v>
      </c>
      <c r="D892" s="27" t="s">
        <v>78</v>
      </c>
      <c r="E892" s="27" t="s">
        <v>21</v>
      </c>
      <c r="F892" s="27" t="s">
        <v>90</v>
      </c>
      <c r="G892" s="27" t="s">
        <v>46</v>
      </c>
      <c r="H892" s="27" t="s">
        <v>331</v>
      </c>
      <c r="I892" s="28">
        <v>43252.0</v>
      </c>
      <c r="J892" s="29"/>
      <c r="K892" s="30">
        <v>44348.0</v>
      </c>
      <c r="L892" s="31">
        <v>1.0</v>
      </c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26" t="s">
        <v>907</v>
      </c>
      <c r="B893" s="27" t="s">
        <v>330</v>
      </c>
      <c r="C893" s="32"/>
      <c r="D893" s="27" t="s">
        <v>224</v>
      </c>
      <c r="E893" s="27" t="s">
        <v>21</v>
      </c>
      <c r="F893" s="27" t="s">
        <v>408</v>
      </c>
      <c r="G893" s="27" t="s">
        <v>832</v>
      </c>
      <c r="H893" s="27" t="s">
        <v>408</v>
      </c>
      <c r="I893" s="28">
        <v>42772.0</v>
      </c>
      <c r="J893" s="28">
        <v>43983.0</v>
      </c>
      <c r="K893" s="30">
        <v>45078.0</v>
      </c>
      <c r="L893" s="31">
        <v>2.0</v>
      </c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26" t="s">
        <v>907</v>
      </c>
      <c r="B894" s="27" t="s">
        <v>1983</v>
      </c>
      <c r="C894" s="27" t="s">
        <v>480</v>
      </c>
      <c r="D894" s="27" t="s">
        <v>130</v>
      </c>
      <c r="E894" s="27" t="s">
        <v>21</v>
      </c>
      <c r="F894" s="27" t="s">
        <v>1986</v>
      </c>
      <c r="G894" s="27" t="s">
        <v>46</v>
      </c>
      <c r="H894" s="27" t="s">
        <v>152</v>
      </c>
      <c r="I894" s="28">
        <v>43617.0</v>
      </c>
      <c r="J894" s="29"/>
      <c r="K894" s="30">
        <v>44713.0</v>
      </c>
      <c r="L894" s="31">
        <v>1.0</v>
      </c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26" t="s">
        <v>907</v>
      </c>
      <c r="B895" s="27" t="s">
        <v>116</v>
      </c>
      <c r="C895" s="32"/>
      <c r="D895" s="27" t="s">
        <v>27</v>
      </c>
      <c r="E895" s="27" t="s">
        <v>27</v>
      </c>
      <c r="F895" s="27" t="s">
        <v>1988</v>
      </c>
      <c r="G895" s="27" t="s">
        <v>1717</v>
      </c>
      <c r="H895" s="27" t="s">
        <v>1988</v>
      </c>
      <c r="I895" s="28">
        <v>43191.0</v>
      </c>
      <c r="J895" s="29"/>
      <c r="K895" s="30">
        <v>44348.0</v>
      </c>
      <c r="L895" s="31">
        <v>1.0</v>
      </c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26" t="s">
        <v>486</v>
      </c>
      <c r="B896" s="27" t="s">
        <v>87</v>
      </c>
      <c r="C896" s="27" t="s">
        <v>1990</v>
      </c>
      <c r="D896" s="27" t="s">
        <v>1171</v>
      </c>
      <c r="E896" s="27" t="s">
        <v>21</v>
      </c>
      <c r="F896" s="27" t="s">
        <v>1986</v>
      </c>
      <c r="G896" s="27" t="s">
        <v>23</v>
      </c>
      <c r="H896" s="27" t="s">
        <v>152</v>
      </c>
      <c r="I896" s="28">
        <v>43617.0</v>
      </c>
      <c r="J896" s="29"/>
      <c r="K896" s="30">
        <v>44713.0</v>
      </c>
      <c r="L896" s="31">
        <v>1.0</v>
      </c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26" t="s">
        <v>1848</v>
      </c>
      <c r="B897" s="27" t="s">
        <v>150</v>
      </c>
      <c r="C897" s="27" t="s">
        <v>1992</v>
      </c>
      <c r="D897" s="27" t="s">
        <v>143</v>
      </c>
      <c r="E897" s="27" t="s">
        <v>21</v>
      </c>
      <c r="F897" s="27" t="s">
        <v>895</v>
      </c>
      <c r="G897" s="27" t="s">
        <v>36</v>
      </c>
      <c r="H897" s="27" t="s">
        <v>126</v>
      </c>
      <c r="I897" s="28">
        <v>43617.0</v>
      </c>
      <c r="J897" s="29"/>
      <c r="K897" s="30">
        <v>44713.0</v>
      </c>
      <c r="L897" s="31">
        <v>1.0</v>
      </c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26" t="s">
        <v>1995</v>
      </c>
      <c r="B898" s="27" t="s">
        <v>1996</v>
      </c>
      <c r="C898" s="27" t="s">
        <v>243</v>
      </c>
      <c r="D898" s="27" t="s">
        <v>78</v>
      </c>
      <c r="E898" s="27" t="s">
        <v>21</v>
      </c>
      <c r="F898" s="27" t="s">
        <v>364</v>
      </c>
      <c r="G898" s="27" t="s">
        <v>36</v>
      </c>
      <c r="H898" s="27" t="s">
        <v>434</v>
      </c>
      <c r="I898" s="28">
        <v>43617.0</v>
      </c>
      <c r="J898" s="29"/>
      <c r="K898" s="30">
        <v>44713.0</v>
      </c>
      <c r="L898" s="31">
        <v>1.0</v>
      </c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26" t="s">
        <v>1998</v>
      </c>
      <c r="B899" s="27" t="s">
        <v>1143</v>
      </c>
      <c r="C899" s="27" t="s">
        <v>210</v>
      </c>
      <c r="D899" s="27" t="s">
        <v>851</v>
      </c>
      <c r="E899" s="27" t="s">
        <v>21</v>
      </c>
      <c r="F899" s="27" t="s">
        <v>79</v>
      </c>
      <c r="G899" s="27" t="s">
        <v>137</v>
      </c>
      <c r="H899" s="27" t="s">
        <v>207</v>
      </c>
      <c r="I899" s="28">
        <v>42887.0</v>
      </c>
      <c r="J899" s="29"/>
      <c r="K899" s="30">
        <v>43983.0</v>
      </c>
      <c r="L899" s="31">
        <v>1.0</v>
      </c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26" t="s">
        <v>2003</v>
      </c>
      <c r="B900" s="27" t="s">
        <v>1664</v>
      </c>
      <c r="C900" s="27" t="s">
        <v>210</v>
      </c>
      <c r="D900" s="27" t="s">
        <v>44</v>
      </c>
      <c r="E900" s="27" t="s">
        <v>21</v>
      </c>
      <c r="F900" s="27" t="s">
        <v>90</v>
      </c>
      <c r="G900" s="27" t="s">
        <v>46</v>
      </c>
      <c r="H900" s="27" t="s">
        <v>211</v>
      </c>
      <c r="I900" s="28">
        <v>43252.0</v>
      </c>
      <c r="J900" s="29"/>
      <c r="K900" s="30">
        <v>44348.0</v>
      </c>
      <c r="L900" s="31">
        <v>1.0</v>
      </c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33" t="s">
        <v>2005</v>
      </c>
      <c r="B901" s="34" t="s">
        <v>197</v>
      </c>
      <c r="C901" s="27" t="s">
        <v>514</v>
      </c>
      <c r="D901" s="27" t="s">
        <v>78</v>
      </c>
      <c r="E901" s="34" t="s">
        <v>21</v>
      </c>
      <c r="F901" s="27" t="s">
        <v>90</v>
      </c>
      <c r="G901" s="27" t="s">
        <v>36</v>
      </c>
      <c r="H901" s="34" t="s">
        <v>80</v>
      </c>
      <c r="I901" s="30">
        <v>43252.0</v>
      </c>
      <c r="J901" s="36"/>
      <c r="K901" s="30">
        <v>44348.0</v>
      </c>
      <c r="L901" s="31">
        <v>1.0</v>
      </c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26" t="s">
        <v>2009</v>
      </c>
      <c r="B902" s="27" t="s">
        <v>522</v>
      </c>
      <c r="C902" s="27" t="s">
        <v>947</v>
      </c>
      <c r="D902" s="27" t="s">
        <v>282</v>
      </c>
      <c r="E902" s="27" t="s">
        <v>21</v>
      </c>
      <c r="F902" s="27" t="s">
        <v>481</v>
      </c>
      <c r="G902" s="27" t="s">
        <v>137</v>
      </c>
      <c r="H902" s="27" t="s">
        <v>207</v>
      </c>
      <c r="I902" s="28">
        <v>42887.0</v>
      </c>
      <c r="J902" s="28">
        <v>43983.0</v>
      </c>
      <c r="K902" s="30">
        <v>45078.0</v>
      </c>
      <c r="L902" s="31">
        <v>2.0</v>
      </c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26" t="s">
        <v>2011</v>
      </c>
      <c r="B903" s="27" t="s">
        <v>1135</v>
      </c>
      <c r="C903" s="27" t="s">
        <v>27</v>
      </c>
      <c r="D903" s="27" t="s">
        <v>27</v>
      </c>
      <c r="E903" s="27" t="s">
        <v>27</v>
      </c>
      <c r="F903" s="27" t="s">
        <v>155</v>
      </c>
      <c r="G903" s="27" t="s">
        <v>822</v>
      </c>
      <c r="H903" s="27" t="s">
        <v>155</v>
      </c>
      <c r="I903" s="28">
        <v>43132.0</v>
      </c>
      <c r="J903" s="28">
        <v>44348.0</v>
      </c>
      <c r="K903" s="30">
        <v>45444.0</v>
      </c>
      <c r="L903" s="31">
        <v>2.0</v>
      </c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26" t="s">
        <v>2012</v>
      </c>
      <c r="B904" s="27" t="s">
        <v>2013</v>
      </c>
      <c r="C904" s="27" t="s">
        <v>2014</v>
      </c>
      <c r="D904" s="27" t="s">
        <v>458</v>
      </c>
      <c r="E904" s="27" t="s">
        <v>21</v>
      </c>
      <c r="F904" s="27" t="s">
        <v>79</v>
      </c>
      <c r="G904" s="27" t="s">
        <v>36</v>
      </c>
      <c r="H904" s="27" t="s">
        <v>689</v>
      </c>
      <c r="I904" s="28">
        <v>42887.0</v>
      </c>
      <c r="J904" s="29"/>
      <c r="K904" s="30">
        <v>43983.0</v>
      </c>
      <c r="L904" s="31">
        <v>1.0</v>
      </c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26" t="s">
        <v>2016</v>
      </c>
      <c r="B905" s="27" t="s">
        <v>537</v>
      </c>
      <c r="C905" s="27" t="s">
        <v>1373</v>
      </c>
      <c r="D905" s="27" t="s">
        <v>317</v>
      </c>
      <c r="E905" s="27" t="s">
        <v>21</v>
      </c>
      <c r="F905" s="27" t="s">
        <v>79</v>
      </c>
      <c r="G905" s="27" t="s">
        <v>23</v>
      </c>
      <c r="H905" s="27" t="s">
        <v>425</v>
      </c>
      <c r="I905" s="28">
        <v>43252.0</v>
      </c>
      <c r="J905" s="29"/>
      <c r="K905" s="30">
        <v>44348.0</v>
      </c>
      <c r="L905" s="31">
        <v>1.0</v>
      </c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26" t="s">
        <v>2021</v>
      </c>
      <c r="B906" s="27" t="s">
        <v>87</v>
      </c>
      <c r="C906" s="27" t="s">
        <v>243</v>
      </c>
      <c r="D906" s="27" t="s">
        <v>78</v>
      </c>
      <c r="E906" s="27" t="s">
        <v>21</v>
      </c>
      <c r="F906" s="27" t="s">
        <v>421</v>
      </c>
      <c r="G906" s="27" t="s">
        <v>36</v>
      </c>
      <c r="H906" s="27" t="s">
        <v>80</v>
      </c>
      <c r="I906" s="28">
        <v>43252.0</v>
      </c>
      <c r="J906" s="29"/>
      <c r="K906" s="30">
        <v>44348.0</v>
      </c>
      <c r="L906" s="31">
        <v>1.0</v>
      </c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26" t="s">
        <v>2023</v>
      </c>
      <c r="B907" s="27" t="s">
        <v>32</v>
      </c>
      <c r="C907" s="32"/>
      <c r="D907" s="27" t="s">
        <v>27</v>
      </c>
      <c r="E907" s="27" t="s">
        <v>39</v>
      </c>
      <c r="F907" s="27" t="s">
        <v>40</v>
      </c>
      <c r="G907" s="27" t="s">
        <v>2024</v>
      </c>
      <c r="H907" s="27" t="s">
        <v>40</v>
      </c>
      <c r="I907" s="28">
        <v>42401.0</v>
      </c>
      <c r="J907" s="29"/>
      <c r="K907" s="30">
        <v>44713.0</v>
      </c>
      <c r="L907" s="31">
        <v>1.0</v>
      </c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26" t="s">
        <v>2027</v>
      </c>
      <c r="B908" s="27" t="s">
        <v>906</v>
      </c>
      <c r="C908" s="27" t="s">
        <v>2028</v>
      </c>
      <c r="D908" s="27" t="s">
        <v>20</v>
      </c>
      <c r="E908" s="27" t="s">
        <v>21</v>
      </c>
      <c r="F908" s="27" t="s">
        <v>90</v>
      </c>
      <c r="G908" s="27" t="s">
        <v>36</v>
      </c>
      <c r="H908" s="27" t="s">
        <v>344</v>
      </c>
      <c r="I908" s="28">
        <v>42887.0</v>
      </c>
      <c r="J908" s="29"/>
      <c r="K908" s="30">
        <v>43983.0</v>
      </c>
      <c r="L908" s="31">
        <v>1.0</v>
      </c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26" t="s">
        <v>2032</v>
      </c>
      <c r="B909" s="27" t="s">
        <v>266</v>
      </c>
      <c r="C909" s="32"/>
      <c r="D909" s="27" t="s">
        <v>27</v>
      </c>
      <c r="E909" s="27" t="s">
        <v>27</v>
      </c>
      <c r="F909" s="27" t="s">
        <v>40</v>
      </c>
      <c r="G909" s="27" t="s">
        <v>159</v>
      </c>
      <c r="H909" s="27" t="s">
        <v>40</v>
      </c>
      <c r="I909" s="28">
        <v>42767.0</v>
      </c>
      <c r="J909" s="28">
        <v>43983.0</v>
      </c>
      <c r="K909" s="30">
        <v>45078.0</v>
      </c>
      <c r="L909" s="31">
        <v>2.0</v>
      </c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26" t="s">
        <v>2032</v>
      </c>
      <c r="B910" s="27" t="s">
        <v>2038</v>
      </c>
      <c r="C910" s="27" t="s">
        <v>2039</v>
      </c>
      <c r="D910" s="27" t="s">
        <v>282</v>
      </c>
      <c r="E910" s="27" t="s">
        <v>21</v>
      </c>
      <c r="F910" s="27" t="s">
        <v>90</v>
      </c>
      <c r="G910" s="27" t="s">
        <v>23</v>
      </c>
      <c r="H910" s="27" t="s">
        <v>795</v>
      </c>
      <c r="I910" s="28">
        <v>43252.0</v>
      </c>
      <c r="J910" s="29"/>
      <c r="K910" s="30">
        <v>44348.0</v>
      </c>
      <c r="L910" s="31">
        <v>1.0</v>
      </c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26" t="s">
        <v>2032</v>
      </c>
      <c r="B911" s="27" t="s">
        <v>2042</v>
      </c>
      <c r="C911" s="32"/>
      <c r="D911" s="32"/>
      <c r="E911" s="27" t="s">
        <v>2043</v>
      </c>
      <c r="F911" s="27" t="s">
        <v>721</v>
      </c>
      <c r="G911" s="27" t="s">
        <v>23</v>
      </c>
      <c r="H911" s="27" t="s">
        <v>126</v>
      </c>
      <c r="I911" s="28">
        <v>43617.0</v>
      </c>
      <c r="J911" s="28">
        <v>44713.0</v>
      </c>
      <c r="K911" s="30">
        <v>45809.0</v>
      </c>
      <c r="L911" s="31">
        <v>2.0</v>
      </c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33" t="s">
        <v>2046</v>
      </c>
      <c r="B912" s="34" t="s">
        <v>1232</v>
      </c>
      <c r="C912" s="35"/>
      <c r="D912" s="34" t="s">
        <v>27</v>
      </c>
      <c r="E912" s="34" t="s">
        <v>162</v>
      </c>
      <c r="F912" s="34" t="s">
        <v>878</v>
      </c>
      <c r="G912" s="34" t="s">
        <v>23</v>
      </c>
      <c r="H912" s="34" t="s">
        <v>879</v>
      </c>
      <c r="I912" s="30">
        <v>42828.0</v>
      </c>
      <c r="J912" s="30">
        <v>43983.0</v>
      </c>
      <c r="K912" s="30">
        <v>45078.0</v>
      </c>
      <c r="L912" s="31">
        <v>2.0</v>
      </c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26" t="s">
        <v>2047</v>
      </c>
      <c r="B913" s="27" t="s">
        <v>1694</v>
      </c>
      <c r="C913" s="32"/>
      <c r="D913" s="27" t="s">
        <v>27</v>
      </c>
      <c r="E913" s="27" t="s">
        <v>285</v>
      </c>
      <c r="F913" s="27" t="s">
        <v>29</v>
      </c>
      <c r="G913" s="27" t="s">
        <v>979</v>
      </c>
      <c r="H913" s="27" t="s">
        <v>29</v>
      </c>
      <c r="I913" s="28">
        <v>42401.0</v>
      </c>
      <c r="J913" s="29"/>
      <c r="K913" s="30">
        <v>44713.0</v>
      </c>
      <c r="L913" s="31">
        <v>1.0</v>
      </c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26" t="s">
        <v>2050</v>
      </c>
      <c r="B914" s="27" t="s">
        <v>120</v>
      </c>
      <c r="C914" s="32"/>
      <c r="D914" s="32"/>
      <c r="E914" s="27" t="s">
        <v>240</v>
      </c>
      <c r="F914" s="27" t="s">
        <v>1986</v>
      </c>
      <c r="G914" s="27" t="s">
        <v>36</v>
      </c>
      <c r="H914" s="27" t="s">
        <v>152</v>
      </c>
      <c r="I914" s="28">
        <v>43617.0</v>
      </c>
      <c r="J914" s="29"/>
      <c r="K914" s="30">
        <v>44713.0</v>
      </c>
      <c r="L914" s="31">
        <v>1.0</v>
      </c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26" t="s">
        <v>2052</v>
      </c>
      <c r="B915" s="27" t="s">
        <v>2053</v>
      </c>
      <c r="C915" s="27" t="s">
        <v>2054</v>
      </c>
      <c r="D915" s="27" t="s">
        <v>317</v>
      </c>
      <c r="E915" s="27" t="s">
        <v>21</v>
      </c>
      <c r="F915" s="27" t="s">
        <v>109</v>
      </c>
      <c r="G915" s="27" t="s">
        <v>36</v>
      </c>
      <c r="H915" s="27" t="s">
        <v>119</v>
      </c>
      <c r="I915" s="28">
        <v>43617.0</v>
      </c>
      <c r="J915" s="29"/>
      <c r="K915" s="30">
        <v>44713.0</v>
      </c>
      <c r="L915" s="31">
        <v>1.0</v>
      </c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26" t="s">
        <v>2057</v>
      </c>
      <c r="B916" s="27" t="s">
        <v>2058</v>
      </c>
      <c r="C916" s="27" t="s">
        <v>526</v>
      </c>
      <c r="D916" s="27" t="s">
        <v>527</v>
      </c>
      <c r="E916" s="27" t="s">
        <v>21</v>
      </c>
      <c r="F916" s="27" t="s">
        <v>79</v>
      </c>
      <c r="G916" s="27" t="s">
        <v>36</v>
      </c>
      <c r="H916" s="27" t="s">
        <v>184</v>
      </c>
      <c r="I916" s="28">
        <v>42887.0</v>
      </c>
      <c r="J916" s="29"/>
      <c r="K916" s="30">
        <v>43983.0</v>
      </c>
      <c r="L916" s="31">
        <v>1.0</v>
      </c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26" t="s">
        <v>1586</v>
      </c>
      <c r="B917" s="27" t="s">
        <v>963</v>
      </c>
      <c r="C917" s="27" t="s">
        <v>347</v>
      </c>
      <c r="D917" s="27" t="s">
        <v>348</v>
      </c>
      <c r="E917" s="27" t="s">
        <v>21</v>
      </c>
      <c r="F917" s="27" t="s">
        <v>56</v>
      </c>
      <c r="G917" s="27" t="s">
        <v>36</v>
      </c>
      <c r="H917" s="27" t="s">
        <v>251</v>
      </c>
      <c r="I917" s="28">
        <v>43617.0</v>
      </c>
      <c r="J917" s="29"/>
      <c r="K917" s="30">
        <v>44713.0</v>
      </c>
      <c r="L917" s="31">
        <v>1.0</v>
      </c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26" t="s">
        <v>1586</v>
      </c>
      <c r="B918" s="27" t="s">
        <v>677</v>
      </c>
      <c r="C918" s="27" t="s">
        <v>2064</v>
      </c>
      <c r="D918" s="27" t="s">
        <v>282</v>
      </c>
      <c r="E918" s="27" t="s">
        <v>21</v>
      </c>
      <c r="F918" s="27" t="s">
        <v>90</v>
      </c>
      <c r="G918" s="27" t="s">
        <v>23</v>
      </c>
      <c r="H918" s="27" t="s">
        <v>795</v>
      </c>
      <c r="I918" s="28">
        <v>43252.0</v>
      </c>
      <c r="J918" s="29"/>
      <c r="K918" s="30">
        <v>44348.0</v>
      </c>
      <c r="L918" s="31">
        <v>1.0</v>
      </c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26" t="s">
        <v>2067</v>
      </c>
      <c r="B919" s="27" t="s">
        <v>76</v>
      </c>
      <c r="C919" s="27" t="s">
        <v>2068</v>
      </c>
      <c r="D919" s="27" t="s">
        <v>78</v>
      </c>
      <c r="E919" s="27" t="s">
        <v>21</v>
      </c>
      <c r="F919" s="27" t="s">
        <v>155</v>
      </c>
      <c r="G919" s="27" t="s">
        <v>291</v>
      </c>
      <c r="H919" s="27" t="s">
        <v>155</v>
      </c>
      <c r="I919" s="28">
        <v>43132.0</v>
      </c>
      <c r="J919" s="28">
        <v>43983.0</v>
      </c>
      <c r="K919" s="30">
        <v>45078.0</v>
      </c>
      <c r="L919" s="31">
        <v>2.0</v>
      </c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26" t="s">
        <v>2071</v>
      </c>
      <c r="B920" s="27" t="s">
        <v>674</v>
      </c>
      <c r="C920" s="32"/>
      <c r="D920" s="27" t="s">
        <v>27</v>
      </c>
      <c r="E920" s="27" t="s">
        <v>21</v>
      </c>
      <c r="F920" s="27" t="s">
        <v>155</v>
      </c>
      <c r="G920" s="27" t="s">
        <v>979</v>
      </c>
      <c r="H920" s="27" t="s">
        <v>155</v>
      </c>
      <c r="I920" s="28">
        <v>43132.0</v>
      </c>
      <c r="J920" s="28">
        <v>43983.0</v>
      </c>
      <c r="K920" s="30">
        <v>45078.0</v>
      </c>
      <c r="L920" s="31">
        <v>2.0</v>
      </c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26" t="s">
        <v>2074</v>
      </c>
      <c r="B921" s="27" t="s">
        <v>534</v>
      </c>
      <c r="C921" s="27" t="s">
        <v>2075</v>
      </c>
      <c r="D921" s="27" t="s">
        <v>34</v>
      </c>
      <c r="E921" s="27" t="s">
        <v>21</v>
      </c>
      <c r="F921" s="27" t="s">
        <v>109</v>
      </c>
      <c r="G921" s="27" t="s">
        <v>46</v>
      </c>
      <c r="H921" s="27" t="s">
        <v>171</v>
      </c>
      <c r="I921" s="28">
        <v>43617.0</v>
      </c>
      <c r="J921" s="29"/>
      <c r="K921" s="30">
        <v>44713.0</v>
      </c>
      <c r="L921" s="31">
        <v>1.0</v>
      </c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26" t="s">
        <v>2079</v>
      </c>
      <c r="B922" s="27" t="s">
        <v>116</v>
      </c>
      <c r="C922" s="32"/>
      <c r="D922" s="27" t="s">
        <v>224</v>
      </c>
      <c r="E922" s="27" t="s">
        <v>21</v>
      </c>
      <c r="F922" s="27" t="s">
        <v>79</v>
      </c>
      <c r="G922" s="27" t="s">
        <v>23</v>
      </c>
      <c r="H922" s="27" t="s">
        <v>225</v>
      </c>
      <c r="I922" s="28">
        <v>43252.0</v>
      </c>
      <c r="J922" s="29"/>
      <c r="K922" s="30">
        <v>44348.0</v>
      </c>
      <c r="L922" s="31">
        <v>1.0</v>
      </c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26" t="s">
        <v>2082</v>
      </c>
      <c r="B923" s="27" t="s">
        <v>674</v>
      </c>
      <c r="C923" s="27" t="s">
        <v>2085</v>
      </c>
      <c r="D923" s="27" t="s">
        <v>20</v>
      </c>
      <c r="E923" s="27" t="s">
        <v>21</v>
      </c>
      <c r="F923" s="27" t="s">
        <v>99</v>
      </c>
      <c r="G923" s="27" t="s">
        <v>23</v>
      </c>
      <c r="H923" s="27" t="s">
        <v>328</v>
      </c>
      <c r="I923" s="28">
        <v>43252.0</v>
      </c>
      <c r="J923" s="29"/>
      <c r="K923" s="30">
        <v>44348.0</v>
      </c>
      <c r="L923" s="31">
        <v>1.0</v>
      </c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26" t="s">
        <v>2088</v>
      </c>
      <c r="B924" s="27" t="s">
        <v>138</v>
      </c>
      <c r="C924" s="27" t="s">
        <v>2089</v>
      </c>
      <c r="D924" s="27" t="s">
        <v>133</v>
      </c>
      <c r="E924" s="27" t="s">
        <v>21</v>
      </c>
      <c r="F924" s="27" t="s">
        <v>314</v>
      </c>
      <c r="G924" s="27" t="s">
        <v>46</v>
      </c>
      <c r="H924" s="27" t="s">
        <v>582</v>
      </c>
      <c r="I924" s="28">
        <v>42887.0</v>
      </c>
      <c r="J924" s="29"/>
      <c r="K924" s="30">
        <v>43983.0</v>
      </c>
      <c r="L924" s="31">
        <v>1.0</v>
      </c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26" t="s">
        <v>2091</v>
      </c>
      <c r="B925" s="27" t="s">
        <v>503</v>
      </c>
      <c r="C925" s="27" t="s">
        <v>2092</v>
      </c>
      <c r="D925" s="27" t="s">
        <v>55</v>
      </c>
      <c r="E925" s="27" t="s">
        <v>21</v>
      </c>
      <c r="F925" s="27" t="s">
        <v>314</v>
      </c>
      <c r="G925" s="27" t="s">
        <v>23</v>
      </c>
      <c r="H925" s="27" t="s">
        <v>582</v>
      </c>
      <c r="I925" s="28">
        <v>42887.0</v>
      </c>
      <c r="J925" s="29"/>
      <c r="K925" s="30">
        <v>43983.0</v>
      </c>
      <c r="L925" s="31">
        <v>1.0</v>
      </c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26" t="s">
        <v>2096</v>
      </c>
      <c r="B926" s="27" t="s">
        <v>556</v>
      </c>
      <c r="C926" s="32"/>
      <c r="D926" s="27" t="s">
        <v>27</v>
      </c>
      <c r="E926" s="27" t="s">
        <v>27</v>
      </c>
      <c r="F926" s="27" t="s">
        <v>103</v>
      </c>
      <c r="G926" s="27" t="s">
        <v>764</v>
      </c>
      <c r="H926" s="27" t="s">
        <v>103</v>
      </c>
      <c r="I926" s="28">
        <v>42401.0</v>
      </c>
      <c r="J926" s="29"/>
      <c r="K926" s="30">
        <v>44713.0</v>
      </c>
      <c r="L926" s="31">
        <v>1.0</v>
      </c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26" t="s">
        <v>2099</v>
      </c>
      <c r="B927" s="27" t="s">
        <v>18</v>
      </c>
      <c r="C927" s="27" t="s">
        <v>2100</v>
      </c>
      <c r="D927" s="27" t="s">
        <v>143</v>
      </c>
      <c r="E927" s="27" t="s">
        <v>21</v>
      </c>
      <c r="F927" s="27" t="s">
        <v>421</v>
      </c>
      <c r="G927" s="27" t="s">
        <v>36</v>
      </c>
      <c r="H927" s="27" t="s">
        <v>135</v>
      </c>
      <c r="I927" s="28">
        <v>43252.0</v>
      </c>
      <c r="J927" s="29"/>
      <c r="K927" s="30">
        <v>44348.0</v>
      </c>
      <c r="L927" s="31">
        <v>1.0</v>
      </c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26" t="s">
        <v>2103</v>
      </c>
      <c r="B928" s="27" t="s">
        <v>2104</v>
      </c>
      <c r="C928" s="32"/>
      <c r="D928" s="27" t="s">
        <v>27</v>
      </c>
      <c r="E928" s="27" t="s">
        <v>139</v>
      </c>
      <c r="F928" s="27" t="s">
        <v>40</v>
      </c>
      <c r="G928" s="27" t="s">
        <v>845</v>
      </c>
      <c r="H928" s="27" t="s">
        <v>40</v>
      </c>
      <c r="I928" s="28">
        <v>42401.0</v>
      </c>
      <c r="J928" s="29"/>
      <c r="K928" s="30">
        <v>44713.0</v>
      </c>
      <c r="L928" s="31">
        <v>1.0</v>
      </c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26" t="s">
        <v>2107</v>
      </c>
      <c r="B929" s="27" t="s">
        <v>1362</v>
      </c>
      <c r="C929" s="27" t="s">
        <v>552</v>
      </c>
      <c r="D929" s="27" t="s">
        <v>78</v>
      </c>
      <c r="E929" s="27" t="s">
        <v>21</v>
      </c>
      <c r="F929" s="27" t="s">
        <v>45</v>
      </c>
      <c r="G929" s="27" t="s">
        <v>23</v>
      </c>
      <c r="H929" s="27" t="s">
        <v>244</v>
      </c>
      <c r="I929" s="28">
        <v>42887.0</v>
      </c>
      <c r="J929" s="29"/>
      <c r="K929" s="30">
        <v>43983.0</v>
      </c>
      <c r="L929" s="31">
        <v>1.0</v>
      </c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26" t="s">
        <v>2109</v>
      </c>
      <c r="B930" s="27" t="s">
        <v>1504</v>
      </c>
      <c r="C930" s="27" t="s">
        <v>2112</v>
      </c>
      <c r="D930" s="27" t="s">
        <v>282</v>
      </c>
      <c r="E930" s="27" t="s">
        <v>21</v>
      </c>
      <c r="F930" s="27" t="s">
        <v>90</v>
      </c>
      <c r="G930" s="27" t="s">
        <v>46</v>
      </c>
      <c r="H930" s="27" t="s">
        <v>339</v>
      </c>
      <c r="I930" s="28">
        <v>43252.0</v>
      </c>
      <c r="J930" s="29"/>
      <c r="K930" s="30">
        <v>44348.0</v>
      </c>
      <c r="L930" s="31">
        <v>1.0</v>
      </c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26" t="s">
        <v>2114</v>
      </c>
      <c r="B931" s="27" t="s">
        <v>517</v>
      </c>
      <c r="C931" s="27" t="s">
        <v>2116</v>
      </c>
      <c r="D931" s="27" t="s">
        <v>44</v>
      </c>
      <c r="E931" s="27" t="s">
        <v>21</v>
      </c>
      <c r="F931" s="27" t="s">
        <v>383</v>
      </c>
      <c r="G931" s="27" t="s">
        <v>23</v>
      </c>
      <c r="H931" s="27" t="s">
        <v>397</v>
      </c>
      <c r="I931" s="28">
        <v>43617.0</v>
      </c>
      <c r="J931" s="29"/>
      <c r="K931" s="30">
        <v>45809.0</v>
      </c>
      <c r="L931" s="31">
        <v>1.0</v>
      </c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26" t="s">
        <v>2118</v>
      </c>
      <c r="B932" s="27" t="s">
        <v>249</v>
      </c>
      <c r="C932" s="27" t="s">
        <v>2120</v>
      </c>
      <c r="D932" s="27" t="s">
        <v>282</v>
      </c>
      <c r="E932" s="27" t="s">
        <v>21</v>
      </c>
      <c r="F932" s="32"/>
      <c r="G932" s="32"/>
      <c r="H932" s="27" t="s">
        <v>913</v>
      </c>
      <c r="I932" s="28">
        <v>43252.0</v>
      </c>
      <c r="J932" s="29"/>
      <c r="K932" s="30">
        <v>44348.0</v>
      </c>
      <c r="L932" s="31">
        <v>1.0</v>
      </c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26" t="s">
        <v>2122</v>
      </c>
      <c r="B933" s="27" t="s">
        <v>18</v>
      </c>
      <c r="C933" s="27" t="s">
        <v>2124</v>
      </c>
      <c r="D933" s="27" t="s">
        <v>20</v>
      </c>
      <c r="E933" s="27" t="s">
        <v>21</v>
      </c>
      <c r="F933" s="27" t="s">
        <v>314</v>
      </c>
      <c r="G933" s="27" t="s">
        <v>36</v>
      </c>
      <c r="H933" s="27" t="s">
        <v>229</v>
      </c>
      <c r="I933" s="28">
        <v>42887.0</v>
      </c>
      <c r="J933" s="29"/>
      <c r="K933" s="30">
        <v>43983.0</v>
      </c>
      <c r="L933" s="31">
        <v>1.0</v>
      </c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26" t="s">
        <v>2127</v>
      </c>
      <c r="B934" s="27" t="s">
        <v>2129</v>
      </c>
      <c r="C934" s="32"/>
      <c r="D934" s="27" t="s">
        <v>27</v>
      </c>
      <c r="E934" s="27" t="s">
        <v>166</v>
      </c>
      <c r="F934" s="27" t="s">
        <v>29</v>
      </c>
      <c r="G934" s="27" t="s">
        <v>832</v>
      </c>
      <c r="H934" s="27" t="s">
        <v>29</v>
      </c>
      <c r="I934" s="28">
        <v>42401.0</v>
      </c>
      <c r="J934" s="29"/>
      <c r="K934" s="30">
        <v>44713.0</v>
      </c>
      <c r="L934" s="31">
        <v>1.0</v>
      </c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26" t="s">
        <v>2130</v>
      </c>
      <c r="B935" s="27" t="s">
        <v>2131</v>
      </c>
      <c r="C935" s="32"/>
      <c r="D935" s="27" t="s">
        <v>27</v>
      </c>
      <c r="E935" s="27" t="s">
        <v>28</v>
      </c>
      <c r="F935" s="27" t="s">
        <v>29</v>
      </c>
      <c r="G935" s="27" t="s">
        <v>1656</v>
      </c>
      <c r="H935" s="27" t="s">
        <v>29</v>
      </c>
      <c r="I935" s="28">
        <v>42767.0</v>
      </c>
      <c r="J935" s="28">
        <v>43983.0</v>
      </c>
      <c r="K935" s="30">
        <v>45078.0</v>
      </c>
      <c r="L935" s="31">
        <v>2.0</v>
      </c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26" t="s">
        <v>2134</v>
      </c>
      <c r="B936" s="27" t="s">
        <v>311</v>
      </c>
      <c r="C936" s="27" t="s">
        <v>2137</v>
      </c>
      <c r="D936" s="27" t="s">
        <v>669</v>
      </c>
      <c r="E936" s="27" t="s">
        <v>21</v>
      </c>
      <c r="F936" s="27" t="s">
        <v>155</v>
      </c>
      <c r="G936" s="27" t="s">
        <v>23</v>
      </c>
      <c r="H936" s="27" t="s">
        <v>155</v>
      </c>
      <c r="I936" s="28">
        <v>43132.0</v>
      </c>
      <c r="J936" s="28">
        <v>44348.0</v>
      </c>
      <c r="K936" s="30">
        <v>45444.0</v>
      </c>
      <c r="L936" s="31">
        <v>2.0</v>
      </c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26" t="s">
        <v>2139</v>
      </c>
      <c r="B937" s="27" t="s">
        <v>2141</v>
      </c>
      <c r="C937" s="32"/>
      <c r="D937" s="27" t="s">
        <v>27</v>
      </c>
      <c r="E937" s="27" t="s">
        <v>21</v>
      </c>
      <c r="F937" s="27" t="s">
        <v>370</v>
      </c>
      <c r="G937" s="27" t="s">
        <v>2142</v>
      </c>
      <c r="H937" s="27" t="s">
        <v>155</v>
      </c>
      <c r="I937" s="28">
        <v>43132.0</v>
      </c>
      <c r="J937" s="28">
        <v>44348.0</v>
      </c>
      <c r="K937" s="30">
        <v>45444.0</v>
      </c>
      <c r="L937" s="31">
        <v>2.0</v>
      </c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26" t="s">
        <v>2144</v>
      </c>
      <c r="B938" s="27" t="s">
        <v>1848</v>
      </c>
      <c r="C938" s="27" t="s">
        <v>2146</v>
      </c>
      <c r="D938" s="27" t="s">
        <v>343</v>
      </c>
      <c r="E938" s="27" t="s">
        <v>21</v>
      </c>
      <c r="F938" s="27" t="s">
        <v>79</v>
      </c>
      <c r="G938" s="27" t="s">
        <v>36</v>
      </c>
      <c r="H938" s="27" t="s">
        <v>339</v>
      </c>
      <c r="I938" s="28">
        <v>43252.0</v>
      </c>
      <c r="J938" s="29"/>
      <c r="K938" s="30">
        <v>44348.0</v>
      </c>
      <c r="L938" s="31">
        <v>1.0</v>
      </c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26" t="s">
        <v>2149</v>
      </c>
      <c r="B939" s="27" t="s">
        <v>266</v>
      </c>
      <c r="C939" s="32"/>
      <c r="D939" s="27" t="s">
        <v>27</v>
      </c>
      <c r="E939" s="27" t="s">
        <v>27</v>
      </c>
      <c r="F939" s="27" t="s">
        <v>103</v>
      </c>
      <c r="G939" s="27" t="s">
        <v>815</v>
      </c>
      <c r="H939" s="27" t="s">
        <v>103</v>
      </c>
      <c r="I939" s="28">
        <v>42401.0</v>
      </c>
      <c r="J939" s="29"/>
      <c r="K939" s="30">
        <v>44713.0</v>
      </c>
      <c r="L939" s="31">
        <v>1.0</v>
      </c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26" t="s">
        <v>2151</v>
      </c>
      <c r="B940" s="27" t="s">
        <v>190</v>
      </c>
      <c r="C940" s="27" t="s">
        <v>2152</v>
      </c>
      <c r="D940" s="27" t="s">
        <v>313</v>
      </c>
      <c r="E940" s="27" t="s">
        <v>21</v>
      </c>
      <c r="F940" s="27" t="s">
        <v>90</v>
      </c>
      <c r="G940" s="27" t="s">
        <v>36</v>
      </c>
      <c r="H940" s="27" t="s">
        <v>324</v>
      </c>
      <c r="I940" s="28">
        <v>43252.0</v>
      </c>
      <c r="J940" s="29"/>
      <c r="K940" s="30">
        <v>44348.0</v>
      </c>
      <c r="L940" s="31">
        <v>1.0</v>
      </c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26" t="s">
        <v>2155</v>
      </c>
      <c r="B941" s="27" t="s">
        <v>2157</v>
      </c>
      <c r="C941" s="27" t="s">
        <v>1753</v>
      </c>
      <c r="D941" s="27" t="s">
        <v>282</v>
      </c>
      <c r="E941" s="27" t="s">
        <v>21</v>
      </c>
      <c r="F941" s="27" t="s">
        <v>45</v>
      </c>
      <c r="G941" s="27" t="s">
        <v>23</v>
      </c>
      <c r="H941" s="27" t="s">
        <v>149</v>
      </c>
      <c r="I941" s="28">
        <v>42522.0</v>
      </c>
      <c r="J941" s="29"/>
      <c r="K941" s="30">
        <v>44713.0</v>
      </c>
      <c r="L941" s="31">
        <v>1.0</v>
      </c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33" t="s">
        <v>2162</v>
      </c>
      <c r="B942" s="34" t="s">
        <v>534</v>
      </c>
      <c r="C942" s="34" t="s">
        <v>1527</v>
      </c>
      <c r="D942" s="34" t="s">
        <v>20</v>
      </c>
      <c r="E942" s="34" t="s">
        <v>21</v>
      </c>
      <c r="F942" s="34" t="s">
        <v>56</v>
      </c>
      <c r="G942" s="34" t="s">
        <v>23</v>
      </c>
      <c r="H942" s="34" t="s">
        <v>233</v>
      </c>
      <c r="I942" s="30">
        <v>43617.0</v>
      </c>
      <c r="J942" s="36"/>
      <c r="K942" s="30">
        <v>44713.0</v>
      </c>
      <c r="L942" s="31">
        <v>1.0</v>
      </c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26" t="s">
        <v>2164</v>
      </c>
      <c r="B943" s="27" t="s">
        <v>898</v>
      </c>
      <c r="C943" s="27" t="s">
        <v>709</v>
      </c>
      <c r="D943" s="27" t="s">
        <v>94</v>
      </c>
      <c r="E943" s="27" t="s">
        <v>21</v>
      </c>
      <c r="F943" s="27" t="s">
        <v>715</v>
      </c>
      <c r="G943" s="27" t="s">
        <v>23</v>
      </c>
      <c r="H943" s="27" t="s">
        <v>287</v>
      </c>
      <c r="I943" s="28">
        <v>42887.0</v>
      </c>
      <c r="J943" s="29"/>
      <c r="K943" s="30">
        <v>43983.0</v>
      </c>
      <c r="L943" s="31">
        <v>1.0</v>
      </c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26" t="s">
        <v>2166</v>
      </c>
      <c r="B944" s="27" t="s">
        <v>227</v>
      </c>
      <c r="C944" s="27" t="s">
        <v>2007</v>
      </c>
      <c r="D944" s="27" t="s">
        <v>317</v>
      </c>
      <c r="E944" s="27" t="s">
        <v>21</v>
      </c>
      <c r="F944" s="27" t="s">
        <v>364</v>
      </c>
      <c r="G944" s="27" t="s">
        <v>23</v>
      </c>
      <c r="H944" s="27" t="s">
        <v>119</v>
      </c>
      <c r="I944" s="28">
        <v>43617.0</v>
      </c>
      <c r="J944" s="29"/>
      <c r="K944" s="30">
        <v>44713.0</v>
      </c>
      <c r="L944" s="31">
        <v>1.0</v>
      </c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26" t="s">
        <v>2167</v>
      </c>
      <c r="B945" s="27" t="s">
        <v>636</v>
      </c>
      <c r="C945" s="27" t="s">
        <v>2168</v>
      </c>
      <c r="D945" s="27" t="s">
        <v>641</v>
      </c>
      <c r="E945" s="27" t="s">
        <v>21</v>
      </c>
      <c r="F945" s="27" t="s">
        <v>45</v>
      </c>
      <c r="G945" s="27" t="s">
        <v>36</v>
      </c>
      <c r="H945" s="27" t="s">
        <v>149</v>
      </c>
      <c r="I945" s="28">
        <v>42522.0</v>
      </c>
      <c r="J945" s="29"/>
      <c r="K945" s="30">
        <v>44713.0</v>
      </c>
      <c r="L945" s="31">
        <v>1.0</v>
      </c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26" t="s">
        <v>2170</v>
      </c>
      <c r="B946" s="27" t="s">
        <v>2172</v>
      </c>
      <c r="C946" s="27" t="s">
        <v>2174</v>
      </c>
      <c r="D946" s="27" t="s">
        <v>851</v>
      </c>
      <c r="E946" s="27" t="s">
        <v>21</v>
      </c>
      <c r="F946" s="27" t="s">
        <v>205</v>
      </c>
      <c r="G946" s="27" t="s">
        <v>137</v>
      </c>
      <c r="H946" s="27" t="s">
        <v>126</v>
      </c>
      <c r="I946" s="28">
        <v>43617.0</v>
      </c>
      <c r="J946" s="28">
        <v>44713.0</v>
      </c>
      <c r="K946" s="30">
        <v>45809.0</v>
      </c>
      <c r="L946" s="31">
        <v>2.0</v>
      </c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33" t="s">
        <v>2177</v>
      </c>
      <c r="B947" s="34" t="s">
        <v>275</v>
      </c>
      <c r="C947" s="34" t="s">
        <v>2178</v>
      </c>
      <c r="D947" s="34" t="s">
        <v>282</v>
      </c>
      <c r="E947" s="34" t="s">
        <v>21</v>
      </c>
      <c r="F947" s="34" t="s">
        <v>35</v>
      </c>
      <c r="G947" s="34" t="s">
        <v>46</v>
      </c>
      <c r="H947" s="34" t="s">
        <v>251</v>
      </c>
      <c r="I947" s="28">
        <v>43617.0</v>
      </c>
      <c r="J947" s="29"/>
      <c r="K947" s="30">
        <v>44713.0</v>
      </c>
      <c r="L947" s="31">
        <v>1.0</v>
      </c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26" t="s">
        <v>2177</v>
      </c>
      <c r="B948" s="27" t="s">
        <v>223</v>
      </c>
      <c r="C948" s="27" t="s">
        <v>1377</v>
      </c>
      <c r="D948" s="27" t="s">
        <v>143</v>
      </c>
      <c r="E948" s="27" t="s">
        <v>21</v>
      </c>
      <c r="F948" s="27" t="s">
        <v>35</v>
      </c>
      <c r="G948" s="27" t="s">
        <v>36</v>
      </c>
      <c r="H948" s="27" t="s">
        <v>251</v>
      </c>
      <c r="I948" s="28">
        <v>43617.0</v>
      </c>
      <c r="J948" s="29"/>
      <c r="K948" s="30">
        <v>44713.0</v>
      </c>
      <c r="L948" s="31">
        <v>1.0</v>
      </c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26" t="s">
        <v>2188</v>
      </c>
      <c r="B949" s="27" t="s">
        <v>2189</v>
      </c>
      <c r="C949" s="32"/>
      <c r="D949" s="27" t="s">
        <v>27</v>
      </c>
      <c r="E949" s="27" t="s">
        <v>21</v>
      </c>
      <c r="F949" s="27" t="s">
        <v>290</v>
      </c>
      <c r="G949" s="27" t="s">
        <v>665</v>
      </c>
      <c r="H949" s="27" t="s">
        <v>287</v>
      </c>
      <c r="I949" s="28">
        <v>42887.0</v>
      </c>
      <c r="J949" s="29"/>
      <c r="K949" s="30">
        <v>43983.0</v>
      </c>
      <c r="L949" s="31">
        <v>1.0</v>
      </c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33" t="s">
        <v>2191</v>
      </c>
      <c r="B950" s="34" t="s">
        <v>2192</v>
      </c>
      <c r="C950" s="35"/>
      <c r="D950" s="34" t="s">
        <v>27</v>
      </c>
      <c r="E950" s="34" t="s">
        <v>706</v>
      </c>
      <c r="F950" s="34" t="s">
        <v>1246</v>
      </c>
      <c r="G950" s="34" t="s">
        <v>137</v>
      </c>
      <c r="H950" s="34" t="s">
        <v>207</v>
      </c>
      <c r="I950" s="30">
        <v>42887.0</v>
      </c>
      <c r="J950" s="30">
        <v>43983.0</v>
      </c>
      <c r="K950" s="30">
        <v>45078.0</v>
      </c>
      <c r="L950" s="31">
        <v>2.0</v>
      </c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26" t="s">
        <v>2195</v>
      </c>
      <c r="B951" s="27" t="s">
        <v>369</v>
      </c>
      <c r="C951" s="27" t="s">
        <v>2196</v>
      </c>
      <c r="D951" s="27" t="s">
        <v>348</v>
      </c>
      <c r="E951" s="27" t="s">
        <v>21</v>
      </c>
      <c r="F951" s="27" t="s">
        <v>383</v>
      </c>
      <c r="G951" s="27" t="s">
        <v>23</v>
      </c>
      <c r="H951" s="27" t="s">
        <v>57</v>
      </c>
      <c r="I951" s="28">
        <v>43617.0</v>
      </c>
      <c r="J951" s="28">
        <v>43983.0</v>
      </c>
      <c r="K951" s="30">
        <v>45078.0</v>
      </c>
      <c r="L951" s="31">
        <v>2.0</v>
      </c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26" t="s">
        <v>2199</v>
      </c>
      <c r="B952" s="27" t="s">
        <v>2200</v>
      </c>
      <c r="C952" s="27" t="s">
        <v>2202</v>
      </c>
      <c r="D952" s="27" t="s">
        <v>1311</v>
      </c>
      <c r="E952" s="27" t="s">
        <v>21</v>
      </c>
      <c r="F952" s="27" t="s">
        <v>79</v>
      </c>
      <c r="G952" s="27" t="s">
        <v>46</v>
      </c>
      <c r="H952" s="27" t="s">
        <v>80</v>
      </c>
      <c r="I952" s="28">
        <v>43252.0</v>
      </c>
      <c r="J952" s="29"/>
      <c r="K952" s="30">
        <v>44348.0</v>
      </c>
      <c r="L952" s="31">
        <v>1.0</v>
      </c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26" t="s">
        <v>2206</v>
      </c>
      <c r="B953" s="27" t="s">
        <v>220</v>
      </c>
      <c r="C953" s="27" t="s">
        <v>1275</v>
      </c>
      <c r="D953" s="27" t="s">
        <v>143</v>
      </c>
      <c r="E953" s="27" t="s">
        <v>21</v>
      </c>
      <c r="F953" s="27" t="s">
        <v>1810</v>
      </c>
      <c r="G953" s="27" t="s">
        <v>23</v>
      </c>
      <c r="H953" s="27" t="s">
        <v>135</v>
      </c>
      <c r="I953" s="28">
        <v>43252.0</v>
      </c>
      <c r="J953" s="28">
        <v>44348.0</v>
      </c>
      <c r="K953" s="30">
        <v>45444.0</v>
      </c>
      <c r="L953" s="31">
        <v>2.0</v>
      </c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33" t="s">
        <v>2207</v>
      </c>
      <c r="B954" s="34" t="s">
        <v>120</v>
      </c>
      <c r="C954" s="34" t="s">
        <v>834</v>
      </c>
      <c r="D954" s="34" t="s">
        <v>222</v>
      </c>
      <c r="E954" s="34" t="s">
        <v>21</v>
      </c>
      <c r="F954" s="27" t="s">
        <v>35</v>
      </c>
      <c r="G954" s="27" t="s">
        <v>46</v>
      </c>
      <c r="H954" s="34" t="s">
        <v>152</v>
      </c>
      <c r="I954" s="30">
        <v>43617.0</v>
      </c>
      <c r="J954" s="36"/>
      <c r="K954" s="30">
        <v>44713.0</v>
      </c>
      <c r="L954" s="31">
        <v>1.0</v>
      </c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26" t="s">
        <v>2210</v>
      </c>
      <c r="B955" s="27" t="s">
        <v>18</v>
      </c>
      <c r="C955" s="32"/>
      <c r="D955" s="27" t="s">
        <v>27</v>
      </c>
      <c r="E955" s="27" t="s">
        <v>706</v>
      </c>
      <c r="F955" s="27" t="s">
        <v>380</v>
      </c>
      <c r="G955" s="32"/>
      <c r="H955" s="27" t="s">
        <v>24</v>
      </c>
      <c r="I955" s="28">
        <v>36892.0</v>
      </c>
      <c r="J955" s="29"/>
      <c r="K955" s="30">
        <v>45809.0</v>
      </c>
      <c r="L955" s="31">
        <v>1.0</v>
      </c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26" t="s">
        <v>2214</v>
      </c>
      <c r="B956" s="27" t="s">
        <v>1307</v>
      </c>
      <c r="C956" s="27" t="s">
        <v>396</v>
      </c>
      <c r="D956" s="27" t="s">
        <v>44</v>
      </c>
      <c r="E956" s="27" t="s">
        <v>21</v>
      </c>
      <c r="F956" s="27" t="s">
        <v>109</v>
      </c>
      <c r="G956" s="27" t="s">
        <v>36</v>
      </c>
      <c r="H956" s="27" t="s">
        <v>397</v>
      </c>
      <c r="I956" s="28">
        <v>43617.0</v>
      </c>
      <c r="J956" s="29"/>
      <c r="K956" s="30">
        <v>44713.0</v>
      </c>
      <c r="L956" s="31">
        <v>1.0</v>
      </c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26" t="s">
        <v>2219</v>
      </c>
      <c r="B957" s="27" t="s">
        <v>341</v>
      </c>
      <c r="C957" s="27" t="s">
        <v>2220</v>
      </c>
      <c r="D957" s="27" t="s">
        <v>20</v>
      </c>
      <c r="E957" s="27" t="s">
        <v>21</v>
      </c>
      <c r="F957" s="27" t="s">
        <v>90</v>
      </c>
      <c r="G957" s="27" t="s">
        <v>46</v>
      </c>
      <c r="H957" s="27" t="s">
        <v>328</v>
      </c>
      <c r="I957" s="28">
        <v>43252.0</v>
      </c>
      <c r="J957" s="29"/>
      <c r="K957" s="30">
        <v>44348.0</v>
      </c>
      <c r="L957" s="31">
        <v>1.0</v>
      </c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26" t="s">
        <v>2221</v>
      </c>
      <c r="B958" s="27" t="s">
        <v>2222</v>
      </c>
      <c r="C958" s="32"/>
      <c r="D958" s="27" t="s">
        <v>27</v>
      </c>
      <c r="E958" s="27" t="s">
        <v>1428</v>
      </c>
      <c r="F958" s="27" t="s">
        <v>2223</v>
      </c>
      <c r="G958" s="27" t="s">
        <v>36</v>
      </c>
      <c r="H958" s="27" t="s">
        <v>207</v>
      </c>
      <c r="I958" s="28">
        <v>42887.0</v>
      </c>
      <c r="J958" s="29"/>
      <c r="K958" s="30">
        <v>43983.0</v>
      </c>
      <c r="L958" s="31">
        <v>1.0</v>
      </c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26" t="s">
        <v>2227</v>
      </c>
      <c r="B959" s="27" t="s">
        <v>128</v>
      </c>
      <c r="C959" s="27" t="s">
        <v>1724</v>
      </c>
      <c r="D959" s="27" t="s">
        <v>183</v>
      </c>
      <c r="E959" s="27" t="s">
        <v>21</v>
      </c>
      <c r="F959" s="27" t="s">
        <v>45</v>
      </c>
      <c r="G959" s="27" t="s">
        <v>36</v>
      </c>
      <c r="H959" s="27" t="s">
        <v>184</v>
      </c>
      <c r="I959" s="28">
        <v>42887.0</v>
      </c>
      <c r="J959" s="29"/>
      <c r="K959" s="30">
        <v>43983.0</v>
      </c>
      <c r="L959" s="31">
        <v>1.0</v>
      </c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26" t="s">
        <v>2230</v>
      </c>
      <c r="B960" s="27" t="s">
        <v>2231</v>
      </c>
      <c r="C960" s="32"/>
      <c r="D960" s="27" t="s">
        <v>27</v>
      </c>
      <c r="E960" s="27" t="s">
        <v>2232</v>
      </c>
      <c r="F960" s="27" t="s">
        <v>29</v>
      </c>
      <c r="G960" s="27" t="s">
        <v>815</v>
      </c>
      <c r="H960" s="27" t="s">
        <v>65</v>
      </c>
      <c r="I960" s="28">
        <v>43136.0</v>
      </c>
      <c r="J960" s="28">
        <v>44348.0</v>
      </c>
      <c r="K960" s="30">
        <v>45444.0</v>
      </c>
      <c r="L960" s="31">
        <v>2.0</v>
      </c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26" t="s">
        <v>2236</v>
      </c>
      <c r="B961" s="27" t="s">
        <v>145</v>
      </c>
      <c r="C961" s="27" t="s">
        <v>1866</v>
      </c>
      <c r="D961" s="27" t="s">
        <v>458</v>
      </c>
      <c r="E961" s="27" t="s">
        <v>21</v>
      </c>
      <c r="F961" s="27" t="s">
        <v>90</v>
      </c>
      <c r="G961" s="27" t="s">
        <v>36</v>
      </c>
      <c r="H961" s="27" t="s">
        <v>211</v>
      </c>
      <c r="I961" s="28">
        <v>43252.0</v>
      </c>
      <c r="J961" s="29"/>
      <c r="K961" s="30">
        <v>44348.0</v>
      </c>
      <c r="L961" s="31">
        <v>1.0</v>
      </c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26" t="s">
        <v>2240</v>
      </c>
      <c r="B962" s="27" t="s">
        <v>887</v>
      </c>
      <c r="C962" s="27" t="s">
        <v>2241</v>
      </c>
      <c r="D962" s="27" t="s">
        <v>44</v>
      </c>
      <c r="E962" s="27" t="s">
        <v>21</v>
      </c>
      <c r="F962" s="27" t="s">
        <v>99</v>
      </c>
      <c r="G962" s="27" t="s">
        <v>46</v>
      </c>
      <c r="H962" s="27" t="s">
        <v>211</v>
      </c>
      <c r="I962" s="28">
        <v>43252.0</v>
      </c>
      <c r="J962" s="29"/>
      <c r="K962" s="30">
        <v>44348.0</v>
      </c>
      <c r="L962" s="31">
        <v>1.0</v>
      </c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26" t="s">
        <v>2243</v>
      </c>
      <c r="B963" s="27" t="s">
        <v>106</v>
      </c>
      <c r="C963" s="27" t="s">
        <v>2244</v>
      </c>
      <c r="D963" s="27" t="s">
        <v>34</v>
      </c>
      <c r="E963" s="27" t="s">
        <v>21</v>
      </c>
      <c r="F963" s="32"/>
      <c r="G963" s="32"/>
      <c r="H963" s="27" t="s">
        <v>913</v>
      </c>
      <c r="I963" s="28">
        <v>43252.0</v>
      </c>
      <c r="J963" s="29"/>
      <c r="K963" s="30">
        <v>44348.0</v>
      </c>
      <c r="L963" s="31">
        <v>1.0</v>
      </c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33" t="s">
        <v>2248</v>
      </c>
      <c r="B964" s="34" t="s">
        <v>647</v>
      </c>
      <c r="C964" s="34" t="s">
        <v>1188</v>
      </c>
      <c r="D964" s="34" t="s">
        <v>44</v>
      </c>
      <c r="E964" s="34" t="s">
        <v>21</v>
      </c>
      <c r="F964" s="34" t="s">
        <v>35</v>
      </c>
      <c r="G964" s="34" t="s">
        <v>46</v>
      </c>
      <c r="H964" s="34" t="s">
        <v>119</v>
      </c>
      <c r="I964" s="30">
        <v>43617.0</v>
      </c>
      <c r="J964" s="36"/>
      <c r="K964" s="30">
        <v>44713.0</v>
      </c>
      <c r="L964" s="31">
        <v>1.0</v>
      </c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26" t="s">
        <v>2250</v>
      </c>
      <c r="B965" s="27" t="s">
        <v>1847</v>
      </c>
      <c r="C965" s="32"/>
      <c r="D965" s="27" t="s">
        <v>27</v>
      </c>
      <c r="E965" s="27" t="s">
        <v>1222</v>
      </c>
      <c r="F965" s="27" t="s">
        <v>29</v>
      </c>
      <c r="G965" s="27" t="s">
        <v>843</v>
      </c>
      <c r="H965" s="27" t="s">
        <v>65</v>
      </c>
      <c r="I965" s="28">
        <v>43136.0</v>
      </c>
      <c r="J965" s="29"/>
      <c r="K965" s="30">
        <v>44348.0</v>
      </c>
      <c r="L965" s="31">
        <v>1.0</v>
      </c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33" t="s">
        <v>2254</v>
      </c>
      <c r="B966" s="34" t="s">
        <v>2255</v>
      </c>
      <c r="C966" s="35"/>
      <c r="D966" s="34" t="s">
        <v>27</v>
      </c>
      <c r="E966" s="34" t="s">
        <v>39</v>
      </c>
      <c r="F966" s="34" t="s">
        <v>40</v>
      </c>
      <c r="G966" s="34" t="s">
        <v>1371</v>
      </c>
      <c r="H966" s="34" t="s">
        <v>40</v>
      </c>
      <c r="I966" s="28">
        <v>42401.0</v>
      </c>
      <c r="J966" s="29"/>
      <c r="K966" s="30">
        <v>44713.0</v>
      </c>
      <c r="L966" s="31">
        <v>1.0</v>
      </c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33" t="s">
        <v>2259</v>
      </c>
      <c r="B967" s="34" t="s">
        <v>2260</v>
      </c>
      <c r="C967" s="35"/>
      <c r="D967" s="34" t="s">
        <v>27</v>
      </c>
      <c r="E967" s="34" t="s">
        <v>930</v>
      </c>
      <c r="F967" s="34" t="s">
        <v>29</v>
      </c>
      <c r="G967" s="34" t="s">
        <v>578</v>
      </c>
      <c r="H967" s="34" t="s">
        <v>65</v>
      </c>
      <c r="I967" s="30">
        <v>43136.0</v>
      </c>
      <c r="J967" s="30">
        <v>44348.0</v>
      </c>
      <c r="K967" s="30">
        <v>45444.0</v>
      </c>
      <c r="L967" s="31">
        <v>2.0</v>
      </c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26" t="s">
        <v>2263</v>
      </c>
      <c r="B968" s="27" t="s">
        <v>1557</v>
      </c>
      <c r="C968" s="27" t="s">
        <v>2264</v>
      </c>
      <c r="D968" s="27" t="s">
        <v>20</v>
      </c>
      <c r="E968" s="27" t="s">
        <v>21</v>
      </c>
      <c r="F968" s="27" t="s">
        <v>79</v>
      </c>
      <c r="G968" s="27" t="s">
        <v>46</v>
      </c>
      <c r="H968" s="27" t="s">
        <v>328</v>
      </c>
      <c r="I968" s="28">
        <v>43252.0</v>
      </c>
      <c r="J968" s="29"/>
      <c r="K968" s="30">
        <v>44348.0</v>
      </c>
      <c r="L968" s="31">
        <v>1.0</v>
      </c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26" t="s">
        <v>2268</v>
      </c>
      <c r="B969" s="27" t="s">
        <v>2269</v>
      </c>
      <c r="C969" s="32"/>
      <c r="D969" s="27" t="s">
        <v>27</v>
      </c>
      <c r="E969" s="27" t="s">
        <v>585</v>
      </c>
      <c r="F969" s="27" t="s">
        <v>29</v>
      </c>
      <c r="G969" s="27" t="s">
        <v>586</v>
      </c>
      <c r="H969" s="27" t="s">
        <v>585</v>
      </c>
      <c r="I969" s="28">
        <v>42401.0</v>
      </c>
      <c r="J969" s="29"/>
      <c r="K969" s="30">
        <v>44713.0</v>
      </c>
      <c r="L969" s="31">
        <v>1.0</v>
      </c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26" t="s">
        <v>2273</v>
      </c>
      <c r="B970" s="27" t="s">
        <v>145</v>
      </c>
      <c r="C970" s="27" t="s">
        <v>2274</v>
      </c>
      <c r="D970" s="27" t="s">
        <v>20</v>
      </c>
      <c r="E970" s="27" t="s">
        <v>21</v>
      </c>
      <c r="F970" s="27" t="s">
        <v>79</v>
      </c>
      <c r="G970" s="27" t="s">
        <v>23</v>
      </c>
      <c r="H970" s="27" t="s">
        <v>229</v>
      </c>
      <c r="I970" s="28">
        <v>42887.0</v>
      </c>
      <c r="J970" s="29"/>
      <c r="K970" s="30">
        <v>43983.0</v>
      </c>
      <c r="L970" s="31">
        <v>1.0</v>
      </c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26" t="s">
        <v>2278</v>
      </c>
      <c r="B971" s="27" t="s">
        <v>2279</v>
      </c>
      <c r="C971" s="27" t="s">
        <v>2280</v>
      </c>
      <c r="D971" s="27" t="s">
        <v>282</v>
      </c>
      <c r="E971" s="27" t="s">
        <v>21</v>
      </c>
      <c r="F971" s="27" t="s">
        <v>481</v>
      </c>
      <c r="G971" s="27" t="s">
        <v>137</v>
      </c>
      <c r="H971" s="27" t="s">
        <v>287</v>
      </c>
      <c r="I971" s="28">
        <v>42887.0</v>
      </c>
      <c r="J971" s="29"/>
      <c r="K971" s="30">
        <v>43983.0</v>
      </c>
      <c r="L971" s="31">
        <v>1.0</v>
      </c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26" t="s">
        <v>2282</v>
      </c>
      <c r="B972" s="27" t="s">
        <v>269</v>
      </c>
      <c r="C972" s="32"/>
      <c r="D972" s="27" t="s">
        <v>27</v>
      </c>
      <c r="E972" s="27" t="s">
        <v>706</v>
      </c>
      <c r="F972" s="27" t="s">
        <v>380</v>
      </c>
      <c r="G972" s="32"/>
      <c r="H972" s="27" t="s">
        <v>24</v>
      </c>
      <c r="I972" s="28">
        <v>36892.0</v>
      </c>
      <c r="J972" s="29"/>
      <c r="K972" s="30">
        <v>45809.0</v>
      </c>
      <c r="L972" s="31">
        <v>1.0</v>
      </c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26" t="s">
        <v>2284</v>
      </c>
      <c r="B973" s="27" t="s">
        <v>82</v>
      </c>
      <c r="C973" s="32"/>
      <c r="D973" s="27" t="s">
        <v>224</v>
      </c>
      <c r="E973" s="27" t="s">
        <v>21</v>
      </c>
      <c r="F973" s="27" t="s">
        <v>90</v>
      </c>
      <c r="G973" s="27" t="s">
        <v>46</v>
      </c>
      <c r="H973" s="27" t="s">
        <v>225</v>
      </c>
      <c r="I973" s="28">
        <v>43252.0</v>
      </c>
      <c r="J973" s="29"/>
      <c r="K973" s="30">
        <v>44348.0</v>
      </c>
      <c r="L973" s="31">
        <v>1.0</v>
      </c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26" t="s">
        <v>2288</v>
      </c>
      <c r="B974" s="27" t="s">
        <v>2289</v>
      </c>
      <c r="C974" s="27" t="s">
        <v>2290</v>
      </c>
      <c r="D974" s="27" t="s">
        <v>222</v>
      </c>
      <c r="E974" s="27" t="s">
        <v>21</v>
      </c>
      <c r="F974" s="27" t="s">
        <v>90</v>
      </c>
      <c r="G974" s="27" t="s">
        <v>36</v>
      </c>
      <c r="H974" s="27" t="s">
        <v>339</v>
      </c>
      <c r="I974" s="28">
        <v>43252.0</v>
      </c>
      <c r="J974" s="29"/>
      <c r="K974" s="30">
        <v>44348.0</v>
      </c>
      <c r="L974" s="31">
        <v>1.0</v>
      </c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26" t="s">
        <v>2291</v>
      </c>
      <c r="B975" s="27" t="s">
        <v>413</v>
      </c>
      <c r="C975" s="32"/>
      <c r="D975" s="27" t="s">
        <v>27</v>
      </c>
      <c r="E975" s="27" t="s">
        <v>70</v>
      </c>
      <c r="F975" s="27" t="s">
        <v>408</v>
      </c>
      <c r="G975" s="27" t="s">
        <v>571</v>
      </c>
      <c r="H975" s="27" t="s">
        <v>24</v>
      </c>
      <c r="I975" s="28">
        <v>42772.0</v>
      </c>
      <c r="J975" s="28">
        <v>44348.0</v>
      </c>
      <c r="K975" s="30">
        <v>45444.0</v>
      </c>
      <c r="L975" s="31">
        <v>2.0</v>
      </c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26" t="s">
        <v>2294</v>
      </c>
      <c r="B976" s="27" t="s">
        <v>2296</v>
      </c>
      <c r="C976" s="32"/>
      <c r="D976" s="27" t="s">
        <v>27</v>
      </c>
      <c r="E976" s="27" t="s">
        <v>113</v>
      </c>
      <c r="F976" s="27" t="s">
        <v>29</v>
      </c>
      <c r="G976" s="27" t="s">
        <v>2297</v>
      </c>
      <c r="H976" s="27" t="s">
        <v>29</v>
      </c>
      <c r="I976" s="28">
        <v>42401.0</v>
      </c>
      <c r="J976" s="29"/>
      <c r="K976" s="30">
        <v>44713.0</v>
      </c>
      <c r="L976" s="31">
        <v>1.0</v>
      </c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26" t="s">
        <v>2300</v>
      </c>
      <c r="B977" s="27" t="s">
        <v>266</v>
      </c>
      <c r="C977" s="32"/>
      <c r="D977" s="27" t="s">
        <v>27</v>
      </c>
      <c r="E977" s="27" t="s">
        <v>21</v>
      </c>
      <c r="F977" s="27" t="s">
        <v>290</v>
      </c>
      <c r="G977" s="27" t="s">
        <v>854</v>
      </c>
      <c r="H977" s="27" t="s">
        <v>287</v>
      </c>
      <c r="I977" s="28">
        <v>42887.0</v>
      </c>
      <c r="J977" s="29"/>
      <c r="K977" s="30">
        <v>43983.0</v>
      </c>
      <c r="L977" s="31">
        <v>1.0</v>
      </c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26" t="s">
        <v>2304</v>
      </c>
      <c r="B978" s="27" t="s">
        <v>231</v>
      </c>
      <c r="C978" s="27" t="s">
        <v>191</v>
      </c>
      <c r="D978" s="27" t="s">
        <v>44</v>
      </c>
      <c r="E978" s="27" t="s">
        <v>21</v>
      </c>
      <c r="F978" s="27" t="s">
        <v>45</v>
      </c>
      <c r="G978" s="27" t="s">
        <v>23</v>
      </c>
      <c r="H978" s="27" t="s">
        <v>47</v>
      </c>
      <c r="I978" s="28">
        <v>43252.0</v>
      </c>
      <c r="J978" s="29"/>
      <c r="K978" s="30">
        <v>44348.0</v>
      </c>
      <c r="L978" s="31">
        <v>1.0</v>
      </c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26" t="s">
        <v>2308</v>
      </c>
      <c r="B979" s="27" t="s">
        <v>391</v>
      </c>
      <c r="C979" s="32"/>
      <c r="D979" s="27" t="s">
        <v>27</v>
      </c>
      <c r="E979" s="27" t="s">
        <v>39</v>
      </c>
      <c r="F979" s="27" t="s">
        <v>40</v>
      </c>
      <c r="G979" s="27" t="s">
        <v>399</v>
      </c>
      <c r="H979" s="27" t="s">
        <v>40</v>
      </c>
      <c r="I979" s="28">
        <v>42401.0</v>
      </c>
      <c r="J979" s="29"/>
      <c r="K979" s="30">
        <v>44713.0</v>
      </c>
      <c r="L979" s="31">
        <v>1.0</v>
      </c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26" t="s">
        <v>2308</v>
      </c>
      <c r="B980" s="27" t="s">
        <v>190</v>
      </c>
      <c r="C980" s="27" t="s">
        <v>663</v>
      </c>
      <c r="D980" s="27" t="s">
        <v>641</v>
      </c>
      <c r="E980" s="27" t="s">
        <v>21</v>
      </c>
      <c r="F980" s="27" t="s">
        <v>109</v>
      </c>
      <c r="G980" s="27" t="s">
        <v>36</v>
      </c>
      <c r="H980" s="27" t="s">
        <v>37</v>
      </c>
      <c r="I980" s="28">
        <v>43617.0</v>
      </c>
      <c r="J980" s="29"/>
      <c r="K980" s="30">
        <v>44713.0</v>
      </c>
      <c r="L980" s="31">
        <v>1.0</v>
      </c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26" t="s">
        <v>2308</v>
      </c>
      <c r="B981" s="27" t="s">
        <v>249</v>
      </c>
      <c r="C981" s="32"/>
      <c r="D981" s="27" t="s">
        <v>27</v>
      </c>
      <c r="E981" s="27" t="s">
        <v>39</v>
      </c>
      <c r="F981" s="27" t="s">
        <v>40</v>
      </c>
      <c r="G981" s="27" t="s">
        <v>201</v>
      </c>
      <c r="H981" s="27" t="s">
        <v>287</v>
      </c>
      <c r="I981" s="28">
        <v>42887.0</v>
      </c>
      <c r="J981" s="29"/>
      <c r="K981" s="30">
        <v>43983.0</v>
      </c>
      <c r="L981" s="31">
        <v>1.0</v>
      </c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26" t="s">
        <v>2308</v>
      </c>
      <c r="B982" s="27" t="s">
        <v>2172</v>
      </c>
      <c r="C982" s="27" t="s">
        <v>1186</v>
      </c>
      <c r="D982" s="27" t="s">
        <v>323</v>
      </c>
      <c r="E982" s="27" t="s">
        <v>21</v>
      </c>
      <c r="F982" s="27" t="s">
        <v>90</v>
      </c>
      <c r="G982" s="27" t="s">
        <v>46</v>
      </c>
      <c r="H982" s="27" t="s">
        <v>582</v>
      </c>
      <c r="I982" s="28">
        <v>42887.0</v>
      </c>
      <c r="J982" s="29"/>
      <c r="K982" s="30">
        <v>43983.0</v>
      </c>
      <c r="L982" s="31">
        <v>1.0</v>
      </c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26" t="s">
        <v>2308</v>
      </c>
      <c r="B983" s="27" t="s">
        <v>116</v>
      </c>
      <c r="C983" s="27" t="s">
        <v>191</v>
      </c>
      <c r="D983" s="27" t="s">
        <v>108</v>
      </c>
      <c r="E983" s="27" t="s">
        <v>21</v>
      </c>
      <c r="F983" s="27" t="s">
        <v>90</v>
      </c>
      <c r="G983" s="27" t="s">
        <v>46</v>
      </c>
      <c r="H983" s="27" t="s">
        <v>689</v>
      </c>
      <c r="I983" s="28">
        <v>42887.0</v>
      </c>
      <c r="J983" s="29"/>
      <c r="K983" s="30">
        <v>43983.0</v>
      </c>
      <c r="L983" s="31">
        <v>1.0</v>
      </c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26" t="s">
        <v>2308</v>
      </c>
      <c r="B984" s="27" t="s">
        <v>120</v>
      </c>
      <c r="C984" s="27" t="s">
        <v>2318</v>
      </c>
      <c r="D984" s="27" t="s">
        <v>20</v>
      </c>
      <c r="E984" s="27" t="s">
        <v>21</v>
      </c>
      <c r="F984" s="27" t="s">
        <v>90</v>
      </c>
      <c r="G984" s="27" t="s">
        <v>23</v>
      </c>
      <c r="H984" s="27" t="s">
        <v>328</v>
      </c>
      <c r="I984" s="28">
        <v>43252.0</v>
      </c>
      <c r="J984" s="29"/>
      <c r="K984" s="30">
        <v>44348.0</v>
      </c>
      <c r="L984" s="31">
        <v>1.0</v>
      </c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26" t="s">
        <v>2308</v>
      </c>
      <c r="B985" s="27" t="s">
        <v>674</v>
      </c>
      <c r="C985" s="32"/>
      <c r="D985" s="27" t="s">
        <v>27</v>
      </c>
      <c r="E985" s="27" t="s">
        <v>70</v>
      </c>
      <c r="F985" s="27" t="s">
        <v>370</v>
      </c>
      <c r="G985" s="27" t="s">
        <v>1026</v>
      </c>
      <c r="H985" s="27" t="s">
        <v>370</v>
      </c>
      <c r="I985" s="28">
        <v>43132.0</v>
      </c>
      <c r="J985" s="28">
        <v>44348.0</v>
      </c>
      <c r="K985" s="30">
        <v>45444.0</v>
      </c>
      <c r="L985" s="31">
        <v>2.0</v>
      </c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33" t="s">
        <v>2308</v>
      </c>
      <c r="B986" s="34" t="s">
        <v>18</v>
      </c>
      <c r="C986" s="35"/>
      <c r="D986" s="34" t="s">
        <v>27</v>
      </c>
      <c r="E986" s="34" t="s">
        <v>39</v>
      </c>
      <c r="F986" s="34" t="s">
        <v>40</v>
      </c>
      <c r="G986" s="34" t="s">
        <v>247</v>
      </c>
      <c r="H986" s="34" t="s">
        <v>40</v>
      </c>
      <c r="I986" s="30">
        <v>43132.0</v>
      </c>
      <c r="J986" s="30">
        <v>44348.0</v>
      </c>
      <c r="K986" s="30">
        <v>45444.0</v>
      </c>
      <c r="L986" s="31">
        <v>2.0</v>
      </c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26" t="s">
        <v>2308</v>
      </c>
      <c r="B987" s="27" t="s">
        <v>1411</v>
      </c>
      <c r="C987" s="27" t="s">
        <v>2330</v>
      </c>
      <c r="D987" s="27" t="s">
        <v>512</v>
      </c>
      <c r="E987" s="27" t="s">
        <v>21</v>
      </c>
      <c r="F987" s="27" t="s">
        <v>90</v>
      </c>
      <c r="G987" s="27" t="s">
        <v>46</v>
      </c>
      <c r="H987" s="27" t="s">
        <v>331</v>
      </c>
      <c r="I987" s="28">
        <v>43252.0</v>
      </c>
      <c r="J987" s="29"/>
      <c r="K987" s="30">
        <v>44348.0</v>
      </c>
      <c r="L987" s="31">
        <v>1.0</v>
      </c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26" t="s">
        <v>2308</v>
      </c>
      <c r="B988" s="27" t="s">
        <v>2331</v>
      </c>
      <c r="C988" s="27" t="s">
        <v>1163</v>
      </c>
      <c r="D988" s="27" t="s">
        <v>348</v>
      </c>
      <c r="E988" s="27" t="s">
        <v>21</v>
      </c>
      <c r="F988" s="27" t="s">
        <v>45</v>
      </c>
      <c r="G988" s="27" t="s">
        <v>36</v>
      </c>
      <c r="H988" s="27" t="s">
        <v>582</v>
      </c>
      <c r="I988" s="28">
        <v>42887.0</v>
      </c>
      <c r="J988" s="29"/>
      <c r="K988" s="30">
        <v>43983.0</v>
      </c>
      <c r="L988" s="31">
        <v>1.0</v>
      </c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26" t="s">
        <v>2308</v>
      </c>
      <c r="B989" s="27" t="s">
        <v>150</v>
      </c>
      <c r="C989" s="27" t="s">
        <v>2335</v>
      </c>
      <c r="D989" s="27" t="s">
        <v>118</v>
      </c>
      <c r="E989" s="27" t="s">
        <v>21</v>
      </c>
      <c r="F989" s="27" t="s">
        <v>364</v>
      </c>
      <c r="G989" s="27" t="s">
        <v>36</v>
      </c>
      <c r="H989" s="27" t="s">
        <v>171</v>
      </c>
      <c r="I989" s="28">
        <v>43617.0</v>
      </c>
      <c r="J989" s="29"/>
      <c r="K989" s="30">
        <v>44713.0</v>
      </c>
      <c r="L989" s="31">
        <v>1.0</v>
      </c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26" t="s">
        <v>2308</v>
      </c>
      <c r="B990" s="27" t="s">
        <v>861</v>
      </c>
      <c r="C990" s="27" t="s">
        <v>2342</v>
      </c>
      <c r="D990" s="27" t="s">
        <v>130</v>
      </c>
      <c r="E990" s="27" t="s">
        <v>21</v>
      </c>
      <c r="F990" s="27" t="s">
        <v>90</v>
      </c>
      <c r="G990" s="27" t="s">
        <v>36</v>
      </c>
      <c r="H990" s="27" t="s">
        <v>85</v>
      </c>
      <c r="I990" s="28">
        <v>42887.0</v>
      </c>
      <c r="J990" s="29"/>
      <c r="K990" s="30">
        <v>43983.0</v>
      </c>
      <c r="L990" s="31">
        <v>1.0</v>
      </c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26" t="s">
        <v>2346</v>
      </c>
      <c r="B991" s="27" t="s">
        <v>1586</v>
      </c>
      <c r="C991" s="32"/>
      <c r="D991" s="27" t="s">
        <v>27</v>
      </c>
      <c r="E991" s="27" t="s">
        <v>70</v>
      </c>
      <c r="F991" s="27" t="s">
        <v>370</v>
      </c>
      <c r="G991" s="27" t="s">
        <v>571</v>
      </c>
      <c r="H991" s="27" t="s">
        <v>370</v>
      </c>
      <c r="I991" s="28">
        <v>43132.0</v>
      </c>
      <c r="J991" s="28">
        <v>44348.0</v>
      </c>
      <c r="K991" s="30">
        <v>45444.0</v>
      </c>
      <c r="L991" s="31">
        <v>2.0</v>
      </c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26" t="s">
        <v>2350</v>
      </c>
      <c r="B992" s="27" t="s">
        <v>1874</v>
      </c>
      <c r="C992" s="32"/>
      <c r="D992" s="32"/>
      <c r="E992" s="27" t="s">
        <v>70</v>
      </c>
      <c r="F992" s="27" t="s">
        <v>471</v>
      </c>
      <c r="G992" s="27" t="s">
        <v>23</v>
      </c>
      <c r="H992" s="27" t="s">
        <v>135</v>
      </c>
      <c r="I992" s="28">
        <v>43252.0</v>
      </c>
      <c r="J992" s="28">
        <v>44348.0</v>
      </c>
      <c r="K992" s="30">
        <v>45444.0</v>
      </c>
      <c r="L992" s="31">
        <v>2.0</v>
      </c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26" t="s">
        <v>2354</v>
      </c>
      <c r="B993" s="27" t="s">
        <v>266</v>
      </c>
      <c r="C993" s="27" t="s">
        <v>2355</v>
      </c>
      <c r="D993" s="27" t="s">
        <v>94</v>
      </c>
      <c r="E993" s="27" t="s">
        <v>21</v>
      </c>
      <c r="F993" s="32"/>
      <c r="G993" s="32"/>
      <c r="H993" s="27" t="s">
        <v>913</v>
      </c>
      <c r="I993" s="28">
        <v>43252.0</v>
      </c>
      <c r="J993" s="29"/>
      <c r="K993" s="30">
        <v>44348.0</v>
      </c>
      <c r="L993" s="31">
        <v>1.0</v>
      </c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26" t="s">
        <v>2359</v>
      </c>
      <c r="B994" s="27" t="s">
        <v>2360</v>
      </c>
      <c r="C994" s="27" t="s">
        <v>523</v>
      </c>
      <c r="D994" s="27" t="s">
        <v>282</v>
      </c>
      <c r="E994" s="27" t="s">
        <v>21</v>
      </c>
      <c r="F994" s="27" t="s">
        <v>79</v>
      </c>
      <c r="G994" s="27" t="s">
        <v>36</v>
      </c>
      <c r="H994" s="27" t="s">
        <v>795</v>
      </c>
      <c r="I994" s="28">
        <v>43252.0</v>
      </c>
      <c r="J994" s="29"/>
      <c r="K994" s="30">
        <v>44348.0</v>
      </c>
      <c r="L994" s="31">
        <v>1.0</v>
      </c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26" t="s">
        <v>2364</v>
      </c>
      <c r="B995" s="27" t="s">
        <v>1018</v>
      </c>
      <c r="C995" s="27" t="s">
        <v>523</v>
      </c>
      <c r="D995" s="27" t="s">
        <v>282</v>
      </c>
      <c r="E995" s="27" t="s">
        <v>21</v>
      </c>
      <c r="F995" s="27" t="s">
        <v>90</v>
      </c>
      <c r="G995" s="27" t="s">
        <v>36</v>
      </c>
      <c r="H995" s="27" t="s">
        <v>795</v>
      </c>
      <c r="I995" s="28">
        <v>43252.0</v>
      </c>
      <c r="J995" s="29"/>
      <c r="K995" s="30">
        <v>44348.0</v>
      </c>
      <c r="L995" s="31">
        <v>1.0</v>
      </c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26" t="s">
        <v>2365</v>
      </c>
      <c r="B996" s="27" t="s">
        <v>145</v>
      </c>
      <c r="C996" s="27" t="s">
        <v>2366</v>
      </c>
      <c r="D996" s="27" t="s">
        <v>89</v>
      </c>
      <c r="E996" s="27" t="s">
        <v>21</v>
      </c>
      <c r="F996" s="27" t="s">
        <v>79</v>
      </c>
      <c r="G996" s="27" t="s">
        <v>36</v>
      </c>
      <c r="H996" s="27" t="s">
        <v>425</v>
      </c>
      <c r="I996" s="28">
        <v>43252.0</v>
      </c>
      <c r="J996" s="29"/>
      <c r="K996" s="30">
        <v>44348.0</v>
      </c>
      <c r="L996" s="31">
        <v>1.0</v>
      </c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26" t="s">
        <v>2368</v>
      </c>
      <c r="B997" s="27" t="s">
        <v>1945</v>
      </c>
      <c r="C997" s="27" t="s">
        <v>354</v>
      </c>
      <c r="D997" s="27" t="s">
        <v>118</v>
      </c>
      <c r="E997" s="27" t="s">
        <v>21</v>
      </c>
      <c r="F997" s="27" t="s">
        <v>364</v>
      </c>
      <c r="G997" s="27" t="s">
        <v>46</v>
      </c>
      <c r="H997" s="27" t="s">
        <v>119</v>
      </c>
      <c r="I997" s="28">
        <v>43617.0</v>
      </c>
      <c r="J997" s="28">
        <v>44348.0</v>
      </c>
      <c r="K997" s="30">
        <v>45444.0</v>
      </c>
      <c r="L997" s="31">
        <v>2.0</v>
      </c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26" t="s">
        <v>2372</v>
      </c>
      <c r="B998" s="27" t="s">
        <v>346</v>
      </c>
      <c r="C998" s="27" t="s">
        <v>1898</v>
      </c>
      <c r="D998" s="27" t="s">
        <v>130</v>
      </c>
      <c r="E998" s="27" t="s">
        <v>21</v>
      </c>
      <c r="F998" s="27" t="s">
        <v>90</v>
      </c>
      <c r="G998" s="27" t="s">
        <v>36</v>
      </c>
      <c r="H998" s="27" t="s">
        <v>85</v>
      </c>
      <c r="I998" s="28">
        <v>42887.0</v>
      </c>
      <c r="J998" s="29"/>
      <c r="K998" s="30">
        <v>43983.0</v>
      </c>
      <c r="L998" s="31">
        <v>1.0</v>
      </c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26" t="s">
        <v>2374</v>
      </c>
      <c r="B999" s="27" t="s">
        <v>674</v>
      </c>
      <c r="C999" s="27" t="s">
        <v>2375</v>
      </c>
      <c r="D999" s="27" t="s">
        <v>1193</v>
      </c>
      <c r="E999" s="27" t="s">
        <v>21</v>
      </c>
      <c r="F999" s="27" t="s">
        <v>155</v>
      </c>
      <c r="G999" s="27" t="s">
        <v>832</v>
      </c>
      <c r="H999" s="27" t="s">
        <v>155</v>
      </c>
      <c r="I999" s="28">
        <v>43132.0</v>
      </c>
      <c r="J999" s="28">
        <v>44348.0</v>
      </c>
      <c r="K999" s="30">
        <v>45444.0</v>
      </c>
      <c r="L999" s="31">
        <v>2.0</v>
      </c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26" t="s">
        <v>2378</v>
      </c>
      <c r="B1000" s="27" t="s">
        <v>150</v>
      </c>
      <c r="C1000" s="27" t="s">
        <v>2380</v>
      </c>
      <c r="D1000" s="27" t="s">
        <v>313</v>
      </c>
      <c r="E1000" s="27" t="s">
        <v>21</v>
      </c>
      <c r="F1000" s="27" t="s">
        <v>90</v>
      </c>
      <c r="G1000" s="27" t="s">
        <v>23</v>
      </c>
      <c r="H1000" s="27" t="s">
        <v>324</v>
      </c>
      <c r="I1000" s="28">
        <v>43252.0</v>
      </c>
      <c r="J1000" s="29"/>
      <c r="K1000" s="30">
        <v>44348.0</v>
      </c>
      <c r="L1000" s="31">
        <v>1.0</v>
      </c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4.25" customHeight="1">
      <c r="A1001" s="26" t="s">
        <v>2382</v>
      </c>
      <c r="B1001" s="27" t="s">
        <v>154</v>
      </c>
      <c r="C1001" s="32"/>
      <c r="D1001" s="27" t="s">
        <v>27</v>
      </c>
      <c r="E1001" s="27" t="s">
        <v>21</v>
      </c>
      <c r="F1001" s="27" t="s">
        <v>445</v>
      </c>
      <c r="G1001" s="27" t="s">
        <v>201</v>
      </c>
      <c r="H1001" s="27" t="s">
        <v>445</v>
      </c>
      <c r="I1001" s="28">
        <v>42765.0</v>
      </c>
      <c r="J1001" s="28">
        <v>43983.0</v>
      </c>
      <c r="K1001" s="30">
        <v>45078.0</v>
      </c>
      <c r="L1001" s="31">
        <v>2.0</v>
      </c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4.25" customHeight="1">
      <c r="A1002" s="26" t="s">
        <v>2385</v>
      </c>
      <c r="B1002" s="27" t="s">
        <v>469</v>
      </c>
      <c r="C1002" s="27" t="s">
        <v>464</v>
      </c>
      <c r="D1002" s="27" t="s">
        <v>89</v>
      </c>
      <c r="E1002" s="27" t="s">
        <v>21</v>
      </c>
      <c r="F1002" s="27" t="s">
        <v>421</v>
      </c>
      <c r="G1002" s="27" t="s">
        <v>36</v>
      </c>
      <c r="H1002" s="27" t="s">
        <v>237</v>
      </c>
      <c r="I1002" s="28">
        <v>42887.0</v>
      </c>
      <c r="J1002" s="29"/>
      <c r="K1002" s="30">
        <v>43983.0</v>
      </c>
      <c r="L1002" s="31">
        <v>1.0</v>
      </c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4.25" customHeight="1">
      <c r="A1003" s="26" t="s">
        <v>2387</v>
      </c>
      <c r="B1003" s="27" t="s">
        <v>1338</v>
      </c>
      <c r="C1003" s="27" t="s">
        <v>2388</v>
      </c>
      <c r="D1003" s="27" t="s">
        <v>143</v>
      </c>
      <c r="E1003" s="27" t="s">
        <v>21</v>
      </c>
      <c r="F1003" s="27" t="s">
        <v>495</v>
      </c>
      <c r="G1003" s="27" t="s">
        <v>36</v>
      </c>
      <c r="H1003" s="27" t="s">
        <v>126</v>
      </c>
      <c r="I1003" s="28">
        <v>43617.0</v>
      </c>
      <c r="J1003" s="29"/>
      <c r="K1003" s="30">
        <v>44713.0</v>
      </c>
      <c r="L1003" s="31">
        <v>1.0</v>
      </c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4.25" customHeight="1">
      <c r="A1004" s="26" t="s">
        <v>2392</v>
      </c>
      <c r="B1004" s="27" t="s">
        <v>469</v>
      </c>
      <c r="C1004" s="27" t="s">
        <v>1390</v>
      </c>
      <c r="D1004" s="27" t="s">
        <v>20</v>
      </c>
      <c r="E1004" s="27" t="s">
        <v>21</v>
      </c>
      <c r="F1004" s="27" t="s">
        <v>79</v>
      </c>
      <c r="G1004" s="27" t="s">
        <v>36</v>
      </c>
      <c r="H1004" s="27" t="s">
        <v>229</v>
      </c>
      <c r="I1004" s="28">
        <v>42887.0</v>
      </c>
      <c r="J1004" s="29"/>
      <c r="K1004" s="30">
        <v>43983.0</v>
      </c>
      <c r="L1004" s="31">
        <v>1.0</v>
      </c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4.25" customHeight="1">
      <c r="A1005" s="26" t="s">
        <v>2395</v>
      </c>
      <c r="B1005" s="27" t="s">
        <v>260</v>
      </c>
      <c r="C1005" s="27" t="s">
        <v>1002</v>
      </c>
      <c r="D1005" s="27" t="s">
        <v>143</v>
      </c>
      <c r="E1005" s="27" t="s">
        <v>21</v>
      </c>
      <c r="F1005" s="27" t="s">
        <v>56</v>
      </c>
      <c r="G1005" s="27" t="s">
        <v>46</v>
      </c>
      <c r="H1005" s="27" t="s">
        <v>251</v>
      </c>
      <c r="I1005" s="28">
        <v>43617.0</v>
      </c>
      <c r="J1005" s="29"/>
      <c r="K1005" s="30">
        <v>44713.0</v>
      </c>
      <c r="L1005" s="31">
        <v>1.0</v>
      </c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4.25" customHeight="1">
      <c r="A1006" s="33" t="s">
        <v>2401</v>
      </c>
      <c r="B1006" s="34" t="s">
        <v>702</v>
      </c>
      <c r="C1006" s="35"/>
      <c r="D1006" s="34" t="s">
        <v>27</v>
      </c>
      <c r="E1006" s="34" t="s">
        <v>21</v>
      </c>
      <c r="F1006" s="27" t="s">
        <v>290</v>
      </c>
      <c r="G1006" s="27" t="s">
        <v>1645</v>
      </c>
      <c r="H1006" s="34" t="s">
        <v>287</v>
      </c>
      <c r="I1006" s="30">
        <v>42887.0</v>
      </c>
      <c r="J1006" s="36"/>
      <c r="K1006" s="30">
        <v>43983.0</v>
      </c>
      <c r="L1006" s="31">
        <v>1.0</v>
      </c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4.25" customHeight="1">
      <c r="A1007" s="26" t="s">
        <v>2404</v>
      </c>
      <c r="B1007" s="27" t="s">
        <v>794</v>
      </c>
      <c r="C1007" s="27" t="s">
        <v>2405</v>
      </c>
      <c r="D1007" s="27" t="s">
        <v>55</v>
      </c>
      <c r="E1007" s="27" t="s">
        <v>21</v>
      </c>
      <c r="F1007" s="27" t="s">
        <v>79</v>
      </c>
      <c r="G1007" s="27" t="s">
        <v>36</v>
      </c>
      <c r="H1007" s="27" t="s">
        <v>324</v>
      </c>
      <c r="I1007" s="28">
        <v>43252.0</v>
      </c>
      <c r="J1007" s="29"/>
      <c r="K1007" s="30">
        <v>44348.0</v>
      </c>
      <c r="L1007" s="31">
        <v>1.0</v>
      </c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4.25" customHeight="1">
      <c r="A1008" s="26" t="s">
        <v>2407</v>
      </c>
      <c r="B1008" s="27" t="s">
        <v>266</v>
      </c>
      <c r="C1008" s="32"/>
      <c r="D1008" s="32"/>
      <c r="E1008" s="27" t="s">
        <v>27</v>
      </c>
      <c r="F1008" s="27" t="s">
        <v>290</v>
      </c>
      <c r="G1008" s="27" t="s">
        <v>736</v>
      </c>
      <c r="H1008" s="27" t="s">
        <v>287</v>
      </c>
      <c r="I1008" s="28">
        <v>42887.0</v>
      </c>
      <c r="J1008" s="29"/>
      <c r="K1008" s="30">
        <v>43983.0</v>
      </c>
      <c r="L1008" s="31">
        <v>1.0</v>
      </c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ht="14.25" customHeight="1">
      <c r="A1009" s="26" t="s">
        <v>2408</v>
      </c>
      <c r="B1009" s="27" t="s">
        <v>128</v>
      </c>
      <c r="C1009" s="32"/>
      <c r="D1009" s="32"/>
      <c r="E1009" s="27" t="s">
        <v>70</v>
      </c>
      <c r="F1009" s="27" t="s">
        <v>471</v>
      </c>
      <c r="G1009" s="27" t="s">
        <v>23</v>
      </c>
      <c r="H1009" s="27" t="s">
        <v>135</v>
      </c>
      <c r="I1009" s="28">
        <v>43252.0</v>
      </c>
      <c r="J1009" s="28">
        <v>44348.0</v>
      </c>
      <c r="K1009" s="30">
        <v>45444.0</v>
      </c>
      <c r="L1009" s="31">
        <v>2.0</v>
      </c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ht="14.25" customHeight="1">
      <c r="A1010" s="26" t="s">
        <v>2411</v>
      </c>
      <c r="B1010" s="27" t="s">
        <v>2412</v>
      </c>
      <c r="C1010" s="32"/>
      <c r="D1010" s="27" t="s">
        <v>224</v>
      </c>
      <c r="E1010" s="27" t="s">
        <v>21</v>
      </c>
      <c r="F1010" s="27" t="s">
        <v>99</v>
      </c>
      <c r="G1010" s="27" t="s">
        <v>36</v>
      </c>
      <c r="H1010" s="27" t="s">
        <v>225</v>
      </c>
      <c r="I1010" s="28">
        <v>43252.0</v>
      </c>
      <c r="J1010" s="29"/>
      <c r="K1010" s="30">
        <v>44348.0</v>
      </c>
      <c r="L1010" s="31">
        <v>1.0</v>
      </c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ht="14.25" customHeight="1">
      <c r="A1011" s="26" t="s">
        <v>2413</v>
      </c>
      <c r="B1011" s="27" t="s">
        <v>32</v>
      </c>
      <c r="C1011" s="27" t="s">
        <v>2415</v>
      </c>
      <c r="D1011" s="27" t="s">
        <v>143</v>
      </c>
      <c r="E1011" s="27" t="s">
        <v>21</v>
      </c>
      <c r="F1011" s="27" t="s">
        <v>144</v>
      </c>
      <c r="G1011" s="27" t="s">
        <v>23</v>
      </c>
      <c r="H1011" s="27" t="s">
        <v>135</v>
      </c>
      <c r="I1011" s="28">
        <v>43252.0</v>
      </c>
      <c r="J1011" s="29"/>
      <c r="K1011" s="30">
        <v>44348.0</v>
      </c>
      <c r="L1011" s="31">
        <v>1.0</v>
      </c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ht="14.25" customHeight="1">
      <c r="A1012" s="26" t="s">
        <v>2417</v>
      </c>
      <c r="B1012" s="27" t="s">
        <v>1020</v>
      </c>
      <c r="C1012" s="27" t="s">
        <v>2418</v>
      </c>
      <c r="D1012" s="27" t="s">
        <v>143</v>
      </c>
      <c r="E1012" s="27" t="s">
        <v>21</v>
      </c>
      <c r="F1012" s="27" t="s">
        <v>109</v>
      </c>
      <c r="G1012" s="27" t="s">
        <v>36</v>
      </c>
      <c r="H1012" s="27" t="s">
        <v>251</v>
      </c>
      <c r="I1012" s="28">
        <v>43617.0</v>
      </c>
      <c r="J1012" s="28">
        <v>44713.0</v>
      </c>
      <c r="K1012" s="30">
        <v>45809.0</v>
      </c>
      <c r="L1012" s="31">
        <v>2.0</v>
      </c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ht="14.25" customHeight="1">
      <c r="A1013" s="26" t="s">
        <v>2417</v>
      </c>
      <c r="B1013" s="27" t="s">
        <v>2422</v>
      </c>
      <c r="C1013" s="27" t="s">
        <v>601</v>
      </c>
      <c r="D1013" s="27" t="s">
        <v>118</v>
      </c>
      <c r="E1013" s="27" t="s">
        <v>21</v>
      </c>
      <c r="F1013" s="27" t="s">
        <v>56</v>
      </c>
      <c r="G1013" s="27" t="s">
        <v>36</v>
      </c>
      <c r="H1013" s="27" t="s">
        <v>171</v>
      </c>
      <c r="I1013" s="28">
        <v>43617.0</v>
      </c>
      <c r="J1013" s="29"/>
      <c r="K1013" s="30">
        <v>44713.0</v>
      </c>
      <c r="L1013" s="31">
        <v>1.0</v>
      </c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ht="14.25" customHeight="1">
      <c r="A1014" s="33" t="s">
        <v>2425</v>
      </c>
      <c r="B1014" s="34" t="s">
        <v>1739</v>
      </c>
      <c r="C1014" s="34" t="s">
        <v>2051</v>
      </c>
      <c r="D1014" s="34" t="s">
        <v>458</v>
      </c>
      <c r="E1014" s="34" t="s">
        <v>21</v>
      </c>
      <c r="F1014" s="27" t="s">
        <v>56</v>
      </c>
      <c r="G1014" s="27" t="s">
        <v>23</v>
      </c>
      <c r="H1014" s="34" t="s">
        <v>110</v>
      </c>
      <c r="I1014" s="30">
        <v>43617.0</v>
      </c>
      <c r="J1014" s="36"/>
      <c r="K1014" s="30">
        <v>44713.0</v>
      </c>
      <c r="L1014" s="31">
        <v>1.0</v>
      </c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ht="14.25" customHeight="1">
      <c r="A1015" s="26" t="s">
        <v>2428</v>
      </c>
      <c r="B1015" s="27" t="s">
        <v>839</v>
      </c>
      <c r="C1015" s="27" t="s">
        <v>2429</v>
      </c>
      <c r="D1015" s="27" t="s">
        <v>458</v>
      </c>
      <c r="E1015" s="27" t="s">
        <v>21</v>
      </c>
      <c r="F1015" s="27" t="s">
        <v>79</v>
      </c>
      <c r="G1015" s="27" t="s">
        <v>36</v>
      </c>
      <c r="H1015" s="27" t="s">
        <v>689</v>
      </c>
      <c r="I1015" s="28">
        <v>42887.0</v>
      </c>
      <c r="J1015" s="29"/>
      <c r="K1015" s="30">
        <v>43983.0</v>
      </c>
      <c r="L1015" s="31">
        <v>1.0</v>
      </c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ht="14.25" customHeight="1">
      <c r="A1016" s="26" t="s">
        <v>2431</v>
      </c>
      <c r="B1016" s="27" t="s">
        <v>2432</v>
      </c>
      <c r="C1016" s="27" t="s">
        <v>2434</v>
      </c>
      <c r="D1016" s="27" t="s">
        <v>34</v>
      </c>
      <c r="E1016" s="27" t="s">
        <v>21</v>
      </c>
      <c r="F1016" s="27" t="s">
        <v>95</v>
      </c>
      <c r="G1016" s="27" t="s">
        <v>137</v>
      </c>
      <c r="H1016" s="27" t="s">
        <v>207</v>
      </c>
      <c r="I1016" s="28">
        <v>42887.0</v>
      </c>
      <c r="J1016" s="29"/>
      <c r="K1016" s="30">
        <v>43983.0</v>
      </c>
      <c r="L1016" s="31">
        <v>1.0</v>
      </c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ht="14.25" customHeight="1">
      <c r="A1017" s="26" t="s">
        <v>2435</v>
      </c>
      <c r="B1017" s="27" t="s">
        <v>994</v>
      </c>
      <c r="C1017" s="27" t="s">
        <v>2436</v>
      </c>
      <c r="D1017" s="27" t="s">
        <v>282</v>
      </c>
      <c r="E1017" s="27" t="s">
        <v>21</v>
      </c>
      <c r="F1017" s="27" t="s">
        <v>155</v>
      </c>
      <c r="G1017" s="27" t="s">
        <v>1574</v>
      </c>
      <c r="H1017" s="27" t="s">
        <v>24</v>
      </c>
      <c r="I1017" s="28">
        <v>43132.0</v>
      </c>
      <c r="J1017" s="29"/>
      <c r="K1017" s="30">
        <v>45809.0</v>
      </c>
      <c r="L1017" s="31">
        <v>1.0</v>
      </c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ht="14.25" customHeight="1">
      <c r="A1018" s="26" t="s">
        <v>2438</v>
      </c>
      <c r="B1018" s="27" t="s">
        <v>223</v>
      </c>
      <c r="C1018" s="27" t="s">
        <v>129</v>
      </c>
      <c r="D1018" s="27" t="s">
        <v>130</v>
      </c>
      <c r="E1018" s="27" t="s">
        <v>21</v>
      </c>
      <c r="F1018" s="27" t="s">
        <v>90</v>
      </c>
      <c r="G1018" s="27" t="s">
        <v>36</v>
      </c>
      <c r="H1018" s="27" t="s">
        <v>328</v>
      </c>
      <c r="I1018" s="28">
        <v>43252.0</v>
      </c>
      <c r="J1018" s="29"/>
      <c r="K1018" s="30">
        <v>44348.0</v>
      </c>
      <c r="L1018" s="31">
        <v>1.0</v>
      </c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ht="14.25" customHeight="1">
      <c r="A1019" s="26" t="s">
        <v>2441</v>
      </c>
      <c r="B1019" s="27" t="s">
        <v>76</v>
      </c>
      <c r="C1019" s="27" t="s">
        <v>215</v>
      </c>
      <c r="D1019" s="27" t="s">
        <v>44</v>
      </c>
      <c r="E1019" s="27" t="s">
        <v>21</v>
      </c>
      <c r="F1019" s="27" t="s">
        <v>90</v>
      </c>
      <c r="G1019" s="27" t="s">
        <v>46</v>
      </c>
      <c r="H1019" s="27" t="s">
        <v>47</v>
      </c>
      <c r="I1019" s="28">
        <v>43252.0</v>
      </c>
      <c r="J1019" s="29"/>
      <c r="K1019" s="30">
        <v>44348.0</v>
      </c>
      <c r="L1019" s="31">
        <v>1.0</v>
      </c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ht="14.25" customHeight="1">
      <c r="A1020" s="26" t="s">
        <v>2442</v>
      </c>
      <c r="B1020" s="27" t="s">
        <v>1581</v>
      </c>
      <c r="C1020" s="27" t="s">
        <v>2444</v>
      </c>
      <c r="D1020" s="27" t="s">
        <v>348</v>
      </c>
      <c r="E1020" s="27" t="s">
        <v>21</v>
      </c>
      <c r="F1020" s="27" t="s">
        <v>45</v>
      </c>
      <c r="G1020" s="27" t="s">
        <v>23</v>
      </c>
      <c r="H1020" s="27" t="s">
        <v>324</v>
      </c>
      <c r="I1020" s="28">
        <v>43252.0</v>
      </c>
      <c r="J1020" s="29"/>
      <c r="K1020" s="30">
        <v>44348.0</v>
      </c>
      <c r="L1020" s="31">
        <v>1.0</v>
      </c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ht="14.25" customHeight="1">
      <c r="A1021" s="26" t="s">
        <v>2446</v>
      </c>
      <c r="B1021" s="27" t="s">
        <v>231</v>
      </c>
      <c r="C1021" s="27" t="s">
        <v>2447</v>
      </c>
      <c r="D1021" s="27" t="s">
        <v>118</v>
      </c>
      <c r="E1021" s="27" t="s">
        <v>21</v>
      </c>
      <c r="F1021" s="27" t="s">
        <v>109</v>
      </c>
      <c r="G1021" s="27" t="s">
        <v>23</v>
      </c>
      <c r="H1021" s="27" t="s">
        <v>171</v>
      </c>
      <c r="I1021" s="28">
        <v>43617.0</v>
      </c>
      <c r="J1021" s="29"/>
      <c r="K1021" s="30">
        <v>44713.0</v>
      </c>
      <c r="L1021" s="31">
        <v>1.0</v>
      </c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ht="14.25" customHeight="1">
      <c r="A1022" s="26" t="s">
        <v>2450</v>
      </c>
      <c r="B1022" s="27" t="s">
        <v>2451</v>
      </c>
      <c r="C1022" s="27" t="s">
        <v>77</v>
      </c>
      <c r="D1022" s="27" t="s">
        <v>78</v>
      </c>
      <c r="E1022" s="27" t="s">
        <v>21</v>
      </c>
      <c r="F1022" s="27" t="s">
        <v>71</v>
      </c>
      <c r="G1022" s="27" t="s">
        <v>36</v>
      </c>
      <c r="H1022" s="27" t="s">
        <v>80</v>
      </c>
      <c r="I1022" s="28">
        <v>43252.0</v>
      </c>
      <c r="J1022" s="29"/>
      <c r="K1022" s="30">
        <v>44348.0</v>
      </c>
      <c r="L1022" s="31">
        <v>1.0</v>
      </c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ht="14.25" customHeight="1">
      <c r="A1023" s="26" t="s">
        <v>2454</v>
      </c>
      <c r="B1023" s="27" t="s">
        <v>2455</v>
      </c>
      <c r="C1023" s="32"/>
      <c r="D1023" s="27" t="s">
        <v>27</v>
      </c>
      <c r="E1023" s="27" t="s">
        <v>2456</v>
      </c>
      <c r="F1023" s="27" t="s">
        <v>40</v>
      </c>
      <c r="G1023" s="27" t="s">
        <v>2409</v>
      </c>
      <c r="H1023" s="27" t="s">
        <v>40</v>
      </c>
      <c r="I1023" s="28">
        <v>43132.0</v>
      </c>
      <c r="J1023" s="28">
        <v>44348.0</v>
      </c>
      <c r="K1023" s="30">
        <v>45444.0</v>
      </c>
      <c r="L1023" s="31">
        <v>2.0</v>
      </c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ht="14.25" customHeight="1">
      <c r="A1024" s="26" t="s">
        <v>2370</v>
      </c>
      <c r="B1024" s="27" t="s">
        <v>2457</v>
      </c>
      <c r="C1024" s="27" t="s">
        <v>2458</v>
      </c>
      <c r="D1024" s="27" t="s">
        <v>44</v>
      </c>
      <c r="E1024" s="27" t="s">
        <v>21</v>
      </c>
      <c r="F1024" s="27" t="s">
        <v>45</v>
      </c>
      <c r="G1024" s="27" t="s">
        <v>36</v>
      </c>
      <c r="H1024" s="27" t="s">
        <v>47</v>
      </c>
      <c r="I1024" s="28">
        <v>43252.0</v>
      </c>
      <c r="J1024" s="29"/>
      <c r="K1024" s="30">
        <v>44348.0</v>
      </c>
      <c r="L1024" s="31">
        <v>1.0</v>
      </c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ht="14.25" customHeight="1">
      <c r="A1025" s="26" t="s">
        <v>2459</v>
      </c>
      <c r="B1025" s="27" t="s">
        <v>654</v>
      </c>
      <c r="C1025" s="27" t="s">
        <v>2462</v>
      </c>
      <c r="D1025" s="27" t="s">
        <v>343</v>
      </c>
      <c r="E1025" s="27" t="s">
        <v>21</v>
      </c>
      <c r="F1025" s="27" t="s">
        <v>35</v>
      </c>
      <c r="G1025" s="27" t="s">
        <v>23</v>
      </c>
      <c r="H1025" s="27" t="s">
        <v>241</v>
      </c>
      <c r="I1025" s="28">
        <v>43617.0</v>
      </c>
      <c r="J1025" s="29"/>
      <c r="K1025" s="30">
        <v>44713.0</v>
      </c>
      <c r="L1025" s="31">
        <v>1.0</v>
      </c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ht="14.25" customHeight="1">
      <c r="A1026" s="26" t="s">
        <v>2463</v>
      </c>
      <c r="B1026" s="27" t="s">
        <v>2464</v>
      </c>
      <c r="C1026" s="27" t="s">
        <v>1401</v>
      </c>
      <c r="D1026" s="27" t="s">
        <v>108</v>
      </c>
      <c r="E1026" s="27" t="s">
        <v>21</v>
      </c>
      <c r="F1026" s="27" t="s">
        <v>109</v>
      </c>
      <c r="G1026" s="27" t="s">
        <v>36</v>
      </c>
      <c r="H1026" s="27" t="s">
        <v>110</v>
      </c>
      <c r="I1026" s="28">
        <v>43617.0</v>
      </c>
      <c r="J1026" s="29"/>
      <c r="K1026" s="35"/>
      <c r="L1026" s="31">
        <v>2.0</v>
      </c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ht="14.25" customHeight="1">
      <c r="A1027" s="26" t="s">
        <v>2466</v>
      </c>
      <c r="B1027" s="27" t="s">
        <v>2467</v>
      </c>
      <c r="C1027" s="32"/>
      <c r="D1027" s="27" t="s">
        <v>27</v>
      </c>
      <c r="E1027" s="27" t="s">
        <v>2468</v>
      </c>
      <c r="F1027" s="27" t="s">
        <v>29</v>
      </c>
      <c r="G1027" s="27" t="s">
        <v>50</v>
      </c>
      <c r="H1027" s="27" t="s">
        <v>65</v>
      </c>
      <c r="I1027" s="28">
        <v>43136.0</v>
      </c>
      <c r="J1027" s="28">
        <v>44348.0</v>
      </c>
      <c r="K1027" s="30">
        <v>45444.0</v>
      </c>
      <c r="L1027" s="31">
        <v>2.0</v>
      </c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ht="14.25" customHeight="1">
      <c r="A1028" s="26" t="s">
        <v>2470</v>
      </c>
      <c r="B1028" s="27" t="s">
        <v>2471</v>
      </c>
      <c r="C1028" s="32"/>
      <c r="D1028" s="27" t="s">
        <v>27</v>
      </c>
      <c r="E1028" s="27" t="s">
        <v>28</v>
      </c>
      <c r="F1028" s="27" t="s">
        <v>29</v>
      </c>
      <c r="G1028" s="27" t="s">
        <v>1613</v>
      </c>
      <c r="H1028" s="27" t="s">
        <v>29</v>
      </c>
      <c r="I1028" s="28">
        <v>42401.0</v>
      </c>
      <c r="J1028" s="29"/>
      <c r="K1028" s="30">
        <v>44713.0</v>
      </c>
      <c r="L1028" s="31">
        <v>1.0</v>
      </c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ht="14.25" customHeight="1">
      <c r="A1029" s="26" t="s">
        <v>2470</v>
      </c>
      <c r="B1029" s="27" t="s">
        <v>2473</v>
      </c>
      <c r="C1029" s="32"/>
      <c r="D1029" s="27" t="s">
        <v>27</v>
      </c>
      <c r="E1029" s="27" t="s">
        <v>28</v>
      </c>
      <c r="F1029" s="27" t="s">
        <v>29</v>
      </c>
      <c r="G1029" s="27" t="s">
        <v>497</v>
      </c>
      <c r="H1029" s="27" t="s">
        <v>65</v>
      </c>
      <c r="I1029" s="28">
        <v>43136.0</v>
      </c>
      <c r="J1029" s="28">
        <v>44348.0</v>
      </c>
      <c r="K1029" s="30">
        <v>45444.0</v>
      </c>
      <c r="L1029" s="31">
        <v>2.0</v>
      </c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ht="14.25" customHeight="1">
      <c r="A1030" s="26" t="s">
        <v>2470</v>
      </c>
      <c r="B1030" s="27" t="s">
        <v>2476</v>
      </c>
      <c r="C1030" s="27" t="s">
        <v>28</v>
      </c>
      <c r="D1030" s="27" t="s">
        <v>27</v>
      </c>
      <c r="E1030" s="27" t="s">
        <v>28</v>
      </c>
      <c r="F1030" s="27" t="s">
        <v>29</v>
      </c>
      <c r="G1030" s="27" t="s">
        <v>1574</v>
      </c>
      <c r="H1030" s="27" t="s">
        <v>29</v>
      </c>
      <c r="I1030" s="28">
        <v>42767.0</v>
      </c>
      <c r="J1030" s="28">
        <v>43983.0</v>
      </c>
      <c r="K1030" s="30">
        <v>45078.0</v>
      </c>
      <c r="L1030" s="31">
        <v>2.0</v>
      </c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ht="14.25" customHeight="1">
      <c r="A1031" s="26" t="s">
        <v>2477</v>
      </c>
      <c r="B1031" s="27" t="s">
        <v>145</v>
      </c>
      <c r="C1031" s="27" t="s">
        <v>407</v>
      </c>
      <c r="D1031" s="27" t="s">
        <v>317</v>
      </c>
      <c r="E1031" s="27" t="s">
        <v>21</v>
      </c>
      <c r="F1031" s="27" t="s">
        <v>90</v>
      </c>
      <c r="G1031" s="27" t="s">
        <v>23</v>
      </c>
      <c r="H1031" s="27" t="s">
        <v>425</v>
      </c>
      <c r="I1031" s="28">
        <v>43252.0</v>
      </c>
      <c r="J1031" s="29"/>
      <c r="K1031" s="30">
        <v>44348.0</v>
      </c>
      <c r="L1031" s="31">
        <v>1.0</v>
      </c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ht="14.25" customHeight="1">
      <c r="A1032" s="26" t="s">
        <v>2479</v>
      </c>
      <c r="B1032" s="27" t="s">
        <v>1143</v>
      </c>
      <c r="C1032" s="27" t="s">
        <v>2480</v>
      </c>
      <c r="D1032" s="27" t="s">
        <v>1311</v>
      </c>
      <c r="E1032" s="27" t="s">
        <v>21</v>
      </c>
      <c r="F1032" s="27" t="s">
        <v>95</v>
      </c>
      <c r="G1032" s="27" t="s">
        <v>36</v>
      </c>
      <c r="H1032" s="27" t="s">
        <v>434</v>
      </c>
      <c r="I1032" s="28">
        <v>43617.0</v>
      </c>
      <c r="J1032" s="29"/>
      <c r="K1032" s="30">
        <v>44713.0</v>
      </c>
      <c r="L1032" s="31">
        <v>1.0</v>
      </c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ht="14.25" customHeight="1">
      <c r="A1033" s="26" t="s">
        <v>2484</v>
      </c>
      <c r="B1033" s="27" t="s">
        <v>1228</v>
      </c>
      <c r="C1033" s="27" t="s">
        <v>2485</v>
      </c>
      <c r="D1033" s="27" t="s">
        <v>78</v>
      </c>
      <c r="E1033" s="27" t="s">
        <v>21</v>
      </c>
      <c r="F1033" s="27" t="s">
        <v>155</v>
      </c>
      <c r="G1033" s="27" t="s">
        <v>2142</v>
      </c>
      <c r="H1033" s="27" t="s">
        <v>155</v>
      </c>
      <c r="I1033" s="28">
        <v>43132.0</v>
      </c>
      <c r="J1033" s="28">
        <v>44348.0</v>
      </c>
      <c r="K1033" s="30">
        <v>45444.0</v>
      </c>
      <c r="L1033" s="31">
        <v>2.0</v>
      </c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ht="14.25" customHeight="1">
      <c r="A1034" s="26" t="s">
        <v>2486</v>
      </c>
      <c r="B1034" s="27" t="s">
        <v>887</v>
      </c>
      <c r="C1034" s="27" t="s">
        <v>2488</v>
      </c>
      <c r="D1034" s="27" t="s">
        <v>108</v>
      </c>
      <c r="E1034" s="27" t="s">
        <v>21</v>
      </c>
      <c r="F1034" s="27" t="s">
        <v>79</v>
      </c>
      <c r="G1034" s="27" t="s">
        <v>46</v>
      </c>
      <c r="H1034" s="27" t="s">
        <v>425</v>
      </c>
      <c r="I1034" s="28">
        <v>43252.0</v>
      </c>
      <c r="J1034" s="29"/>
      <c r="K1034" s="30">
        <v>44348.0</v>
      </c>
      <c r="L1034" s="31">
        <v>1.0</v>
      </c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ht="14.25" customHeight="1">
      <c r="A1035" s="26" t="s">
        <v>2490</v>
      </c>
      <c r="B1035" s="27" t="s">
        <v>330</v>
      </c>
      <c r="C1035" s="32"/>
      <c r="D1035" s="27" t="s">
        <v>27</v>
      </c>
      <c r="E1035" s="27" t="s">
        <v>70</v>
      </c>
      <c r="F1035" s="27" t="s">
        <v>79</v>
      </c>
      <c r="G1035" s="27" t="s">
        <v>46</v>
      </c>
      <c r="H1035" s="27" t="s">
        <v>207</v>
      </c>
      <c r="I1035" s="28">
        <v>42887.0</v>
      </c>
      <c r="J1035" s="29"/>
      <c r="K1035" s="30">
        <v>43983.0</v>
      </c>
      <c r="L1035" s="31">
        <v>1.0</v>
      </c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ht="14.25" customHeight="1">
      <c r="A1036" s="33" t="s">
        <v>2494</v>
      </c>
      <c r="B1036" s="34" t="s">
        <v>337</v>
      </c>
      <c r="C1036" s="34" t="s">
        <v>1906</v>
      </c>
      <c r="D1036" s="34" t="s">
        <v>1311</v>
      </c>
      <c r="E1036" s="34" t="s">
        <v>21</v>
      </c>
      <c r="F1036" s="34" t="s">
        <v>380</v>
      </c>
      <c r="G1036" s="35"/>
      <c r="H1036" s="34" t="s">
        <v>24</v>
      </c>
      <c r="I1036" s="28">
        <v>36892.0</v>
      </c>
      <c r="J1036" s="29"/>
      <c r="K1036" s="30">
        <v>45809.0</v>
      </c>
      <c r="L1036" s="31">
        <v>1.0</v>
      </c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ht="14.25" customHeight="1">
      <c r="A1037" s="26" t="s">
        <v>2496</v>
      </c>
      <c r="B1037" s="27" t="s">
        <v>556</v>
      </c>
      <c r="C1037" s="27" t="s">
        <v>1352</v>
      </c>
      <c r="D1037" s="27" t="s">
        <v>130</v>
      </c>
      <c r="E1037" s="27" t="s">
        <v>21</v>
      </c>
      <c r="F1037" s="27" t="s">
        <v>90</v>
      </c>
      <c r="G1037" s="27" t="s">
        <v>23</v>
      </c>
      <c r="H1037" s="27" t="s">
        <v>23</v>
      </c>
      <c r="I1037" s="28">
        <v>42887.0</v>
      </c>
      <c r="J1037" s="29"/>
      <c r="K1037" s="30">
        <v>43983.0</v>
      </c>
      <c r="L1037" s="31">
        <v>1.0</v>
      </c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ht="14.25" customHeight="1">
      <c r="A1038" s="26" t="s">
        <v>2498</v>
      </c>
      <c r="B1038" s="27" t="s">
        <v>375</v>
      </c>
      <c r="C1038" s="32"/>
      <c r="D1038" s="27" t="s">
        <v>27</v>
      </c>
      <c r="E1038" s="27" t="s">
        <v>376</v>
      </c>
      <c r="F1038" s="27" t="s">
        <v>29</v>
      </c>
      <c r="G1038" s="27" t="s">
        <v>586</v>
      </c>
      <c r="H1038" s="27" t="s">
        <v>29</v>
      </c>
      <c r="I1038" s="28">
        <v>42401.0</v>
      </c>
      <c r="J1038" s="29"/>
      <c r="K1038" s="30">
        <v>44713.0</v>
      </c>
      <c r="L1038" s="31">
        <v>1.0</v>
      </c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ht="14.25" customHeight="1">
      <c r="A1039" s="26" t="s">
        <v>2499</v>
      </c>
      <c r="B1039" s="27" t="s">
        <v>2500</v>
      </c>
      <c r="C1039" s="32"/>
      <c r="D1039" s="27" t="s">
        <v>27</v>
      </c>
      <c r="E1039" s="27" t="s">
        <v>376</v>
      </c>
      <c r="F1039" s="27" t="s">
        <v>29</v>
      </c>
      <c r="G1039" s="27" t="s">
        <v>586</v>
      </c>
      <c r="H1039" s="27" t="s">
        <v>29</v>
      </c>
      <c r="I1039" s="28">
        <v>42401.0</v>
      </c>
      <c r="J1039" s="29"/>
      <c r="K1039" s="30">
        <v>44713.0</v>
      </c>
      <c r="L1039" s="31">
        <v>1.0</v>
      </c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ht="14.25" customHeight="1">
      <c r="A1040" s="26" t="s">
        <v>2507</v>
      </c>
      <c r="B1040" s="27" t="s">
        <v>674</v>
      </c>
      <c r="C1040" s="27" t="s">
        <v>2508</v>
      </c>
      <c r="D1040" s="27" t="s">
        <v>89</v>
      </c>
      <c r="E1040" s="27" t="s">
        <v>21</v>
      </c>
      <c r="F1040" s="27" t="s">
        <v>79</v>
      </c>
      <c r="G1040" s="27" t="s">
        <v>36</v>
      </c>
      <c r="H1040" s="27" t="s">
        <v>331</v>
      </c>
      <c r="I1040" s="28">
        <v>43252.0</v>
      </c>
      <c r="J1040" s="29"/>
      <c r="K1040" s="30">
        <v>44348.0</v>
      </c>
      <c r="L1040" s="31">
        <v>1.0</v>
      </c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ht="14.25" customHeight="1">
      <c r="A1041" s="26" t="s">
        <v>2510</v>
      </c>
      <c r="B1041" s="27" t="s">
        <v>2511</v>
      </c>
      <c r="C1041" s="27" t="s">
        <v>2512</v>
      </c>
      <c r="D1041" s="27" t="s">
        <v>282</v>
      </c>
      <c r="E1041" s="27" t="s">
        <v>21</v>
      </c>
      <c r="F1041" s="27" t="s">
        <v>364</v>
      </c>
      <c r="G1041" s="27" t="s">
        <v>23</v>
      </c>
      <c r="H1041" s="27" t="s">
        <v>57</v>
      </c>
      <c r="I1041" s="28">
        <v>43617.0</v>
      </c>
      <c r="J1041" s="29"/>
      <c r="K1041" s="30">
        <v>44713.0</v>
      </c>
      <c r="L1041" s="31">
        <v>1.0</v>
      </c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ht="14.25" customHeight="1">
      <c r="A1042" s="26" t="s">
        <v>2510</v>
      </c>
      <c r="B1042" s="27" t="s">
        <v>1411</v>
      </c>
      <c r="C1042" s="27" t="s">
        <v>2290</v>
      </c>
      <c r="D1042" s="27" t="s">
        <v>222</v>
      </c>
      <c r="E1042" s="27" t="s">
        <v>21</v>
      </c>
      <c r="F1042" s="27" t="s">
        <v>35</v>
      </c>
      <c r="G1042" s="27" t="s">
        <v>46</v>
      </c>
      <c r="H1042" s="27" t="s">
        <v>37</v>
      </c>
      <c r="I1042" s="28">
        <v>43617.0</v>
      </c>
      <c r="J1042" s="29"/>
      <c r="K1042" s="30">
        <v>44713.0</v>
      </c>
      <c r="L1042" s="31">
        <v>1.0</v>
      </c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ht="14.25" customHeight="1">
      <c r="A1043" s="26" t="s">
        <v>2516</v>
      </c>
      <c r="B1043" s="27" t="s">
        <v>411</v>
      </c>
      <c r="C1043" s="32"/>
      <c r="D1043" s="27" t="s">
        <v>27</v>
      </c>
      <c r="E1043" s="27" t="s">
        <v>1428</v>
      </c>
      <c r="F1043" s="27" t="s">
        <v>40</v>
      </c>
      <c r="G1043" s="32"/>
      <c r="H1043" s="32"/>
      <c r="I1043" s="28">
        <v>42767.0</v>
      </c>
      <c r="J1043" s="28">
        <v>43983.0</v>
      </c>
      <c r="K1043" s="30">
        <v>45078.0</v>
      </c>
      <c r="L1043" s="31">
        <v>2.0</v>
      </c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ht="14.25" customHeight="1">
      <c r="A1044" s="26" t="s">
        <v>301</v>
      </c>
      <c r="B1044" s="27" t="s">
        <v>2518</v>
      </c>
      <c r="C1044" s="32"/>
      <c r="D1044" s="27" t="s">
        <v>27</v>
      </c>
      <c r="E1044" s="27" t="s">
        <v>39</v>
      </c>
      <c r="F1044" s="27" t="s">
        <v>40</v>
      </c>
      <c r="G1044" s="27" t="s">
        <v>2409</v>
      </c>
      <c r="H1044" s="27" t="s">
        <v>24</v>
      </c>
      <c r="I1044" s="28">
        <v>42767.0</v>
      </c>
      <c r="J1044" s="29"/>
      <c r="K1044" s="30">
        <v>45809.0</v>
      </c>
      <c r="L1044" s="31">
        <v>2.0</v>
      </c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ht="14.25" customHeight="1">
      <c r="A1045" s="26" t="s">
        <v>301</v>
      </c>
      <c r="B1045" s="27" t="s">
        <v>660</v>
      </c>
      <c r="C1045" s="27" t="s">
        <v>652</v>
      </c>
      <c r="D1045" s="27" t="s">
        <v>55</v>
      </c>
      <c r="E1045" s="27" t="s">
        <v>21</v>
      </c>
      <c r="F1045" s="27" t="s">
        <v>56</v>
      </c>
      <c r="G1045" s="27" t="s">
        <v>23</v>
      </c>
      <c r="H1045" s="27" t="s">
        <v>57</v>
      </c>
      <c r="I1045" s="28">
        <v>43617.0</v>
      </c>
      <c r="J1045" s="29"/>
      <c r="K1045" s="30">
        <v>44713.0</v>
      </c>
      <c r="L1045" s="31">
        <v>1.0</v>
      </c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ht="14.25" customHeight="1">
      <c r="A1046" s="26" t="s">
        <v>301</v>
      </c>
      <c r="B1046" s="27" t="s">
        <v>416</v>
      </c>
      <c r="C1046" s="27" t="s">
        <v>1576</v>
      </c>
      <c r="D1046" s="27" t="s">
        <v>282</v>
      </c>
      <c r="E1046" s="27" t="s">
        <v>21</v>
      </c>
      <c r="F1046" s="27" t="s">
        <v>79</v>
      </c>
      <c r="G1046" s="27" t="s">
        <v>36</v>
      </c>
      <c r="H1046" s="27" t="s">
        <v>255</v>
      </c>
      <c r="I1046" s="28">
        <v>42887.0</v>
      </c>
      <c r="J1046" s="29"/>
      <c r="K1046" s="30">
        <v>43983.0</v>
      </c>
      <c r="L1046" s="31">
        <v>1.0</v>
      </c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ht="14.25" customHeight="1">
      <c r="A1047" s="33" t="s">
        <v>2521</v>
      </c>
      <c r="B1047" s="34" t="s">
        <v>42</v>
      </c>
      <c r="C1047" s="34" t="s">
        <v>448</v>
      </c>
      <c r="D1047" s="34" t="s">
        <v>143</v>
      </c>
      <c r="E1047" s="34" t="s">
        <v>21</v>
      </c>
      <c r="F1047" s="27" t="s">
        <v>109</v>
      </c>
      <c r="G1047" s="27" t="s">
        <v>23</v>
      </c>
      <c r="H1047" s="34" t="s">
        <v>251</v>
      </c>
      <c r="I1047" s="30">
        <v>43617.0</v>
      </c>
      <c r="J1047" s="36"/>
      <c r="K1047" s="30">
        <v>45809.0</v>
      </c>
      <c r="L1047" s="31">
        <v>1.0</v>
      </c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ht="14.25" customHeight="1">
      <c r="A1048" s="26" t="s">
        <v>2523</v>
      </c>
      <c r="B1048" s="27" t="s">
        <v>2524</v>
      </c>
      <c r="C1048" s="32"/>
      <c r="D1048" s="32"/>
      <c r="E1048" s="27" t="s">
        <v>884</v>
      </c>
      <c r="F1048" s="27" t="s">
        <v>45</v>
      </c>
      <c r="G1048" s="27" t="s">
        <v>36</v>
      </c>
      <c r="H1048" s="27" t="s">
        <v>287</v>
      </c>
      <c r="I1048" s="28">
        <v>42887.0</v>
      </c>
      <c r="J1048" s="29"/>
      <c r="K1048" s="30">
        <v>43983.0</v>
      </c>
      <c r="L1048" s="31">
        <v>1.0</v>
      </c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ht="14.25" customHeight="1">
      <c r="A1049" s="26" t="s">
        <v>2526</v>
      </c>
      <c r="B1049" s="27" t="s">
        <v>546</v>
      </c>
      <c r="C1049" s="27" t="s">
        <v>637</v>
      </c>
      <c r="D1049" s="27" t="s">
        <v>282</v>
      </c>
      <c r="E1049" s="27" t="s">
        <v>21</v>
      </c>
      <c r="F1049" s="27" t="s">
        <v>380</v>
      </c>
      <c r="G1049" s="32"/>
      <c r="H1049" s="27" t="s">
        <v>24</v>
      </c>
      <c r="I1049" s="28">
        <v>38061.0</v>
      </c>
      <c r="J1049" s="29"/>
      <c r="K1049" s="30">
        <v>45809.0</v>
      </c>
      <c r="L1049" s="31">
        <v>1.0</v>
      </c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ht="14.25" customHeight="1">
      <c r="A1050" s="26" t="s">
        <v>2527</v>
      </c>
      <c r="B1050" s="27" t="s">
        <v>2528</v>
      </c>
      <c r="C1050" s="32"/>
      <c r="D1050" s="27" t="s">
        <v>27</v>
      </c>
      <c r="E1050" s="27" t="s">
        <v>200</v>
      </c>
      <c r="F1050" s="27" t="s">
        <v>29</v>
      </c>
      <c r="G1050" s="27" t="s">
        <v>1174</v>
      </c>
      <c r="H1050" s="27" t="s">
        <v>65</v>
      </c>
      <c r="I1050" s="28">
        <v>43136.0</v>
      </c>
      <c r="J1050" s="28">
        <v>44348.0</v>
      </c>
      <c r="K1050" s="30">
        <v>45444.0</v>
      </c>
      <c r="L1050" s="31">
        <v>2.0</v>
      </c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ht="14.25" customHeight="1">
      <c r="A1051" s="26" t="s">
        <v>2529</v>
      </c>
      <c r="B1051" s="27" t="s">
        <v>631</v>
      </c>
      <c r="C1051" s="32"/>
      <c r="D1051" s="27" t="s">
        <v>27</v>
      </c>
      <c r="E1051" s="27" t="s">
        <v>706</v>
      </c>
      <c r="F1051" s="27" t="s">
        <v>380</v>
      </c>
      <c r="G1051" s="32"/>
      <c r="H1051" s="27" t="s">
        <v>24</v>
      </c>
      <c r="I1051" s="28">
        <v>36892.0</v>
      </c>
      <c r="J1051" s="29"/>
      <c r="K1051" s="30">
        <v>45809.0</v>
      </c>
      <c r="L1051" s="31">
        <v>1.0</v>
      </c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ht="14.25" customHeight="1">
      <c r="A1052" s="26" t="s">
        <v>260</v>
      </c>
      <c r="B1052" s="27" t="s">
        <v>214</v>
      </c>
      <c r="C1052" s="27" t="s">
        <v>1097</v>
      </c>
      <c r="D1052" s="27" t="s">
        <v>130</v>
      </c>
      <c r="E1052" s="27" t="s">
        <v>21</v>
      </c>
      <c r="F1052" s="27" t="s">
        <v>286</v>
      </c>
      <c r="G1052" s="27" t="s">
        <v>36</v>
      </c>
      <c r="H1052" s="27" t="s">
        <v>85</v>
      </c>
      <c r="I1052" s="28">
        <v>42887.0</v>
      </c>
      <c r="J1052" s="29"/>
      <c r="K1052" s="30">
        <v>43983.0</v>
      </c>
      <c r="L1052" s="31">
        <v>1.0</v>
      </c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ht="14.25" customHeight="1">
      <c r="A1053" s="26" t="s">
        <v>2533</v>
      </c>
      <c r="B1053" s="27" t="s">
        <v>660</v>
      </c>
      <c r="C1053" s="27" t="s">
        <v>146</v>
      </c>
      <c r="D1053" s="27" t="s">
        <v>94</v>
      </c>
      <c r="E1053" s="27" t="s">
        <v>21</v>
      </c>
      <c r="F1053" s="27" t="s">
        <v>56</v>
      </c>
      <c r="G1053" s="27" t="s">
        <v>23</v>
      </c>
      <c r="H1053" s="27" t="s">
        <v>37</v>
      </c>
      <c r="I1053" s="28">
        <v>43617.0</v>
      </c>
      <c r="J1053" s="29"/>
      <c r="K1053" s="30">
        <v>44713.0</v>
      </c>
      <c r="L1053" s="31">
        <v>1.0</v>
      </c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ht="14.25" customHeight="1">
      <c r="A1054" s="26" t="s">
        <v>2533</v>
      </c>
      <c r="B1054" s="27" t="s">
        <v>953</v>
      </c>
      <c r="C1054" s="27" t="s">
        <v>1640</v>
      </c>
      <c r="D1054" s="27" t="s">
        <v>20</v>
      </c>
      <c r="E1054" s="27" t="s">
        <v>21</v>
      </c>
      <c r="F1054" s="27" t="s">
        <v>79</v>
      </c>
      <c r="G1054" s="27" t="s">
        <v>23</v>
      </c>
      <c r="H1054" s="27" t="s">
        <v>72</v>
      </c>
      <c r="I1054" s="28">
        <v>43252.0</v>
      </c>
      <c r="J1054" s="29"/>
      <c r="K1054" s="30">
        <v>44348.0</v>
      </c>
      <c r="L1054" s="31">
        <v>1.0</v>
      </c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ht="14.25" customHeight="1">
      <c r="A1055" s="26" t="s">
        <v>2533</v>
      </c>
      <c r="B1055" s="27" t="s">
        <v>2540</v>
      </c>
      <c r="C1055" s="27" t="s">
        <v>2541</v>
      </c>
      <c r="D1055" s="27" t="s">
        <v>118</v>
      </c>
      <c r="E1055" s="27" t="s">
        <v>21</v>
      </c>
      <c r="F1055" s="27" t="s">
        <v>56</v>
      </c>
      <c r="G1055" s="27" t="s">
        <v>23</v>
      </c>
      <c r="H1055" s="27" t="s">
        <v>171</v>
      </c>
      <c r="I1055" s="28">
        <v>43617.0</v>
      </c>
      <c r="J1055" s="29"/>
      <c r="K1055" s="30">
        <v>44713.0</v>
      </c>
      <c r="L1055" s="31">
        <v>1.0</v>
      </c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ht="14.25" customHeight="1">
      <c r="A1056" s="26" t="s">
        <v>2548</v>
      </c>
      <c r="B1056" s="27" t="s">
        <v>145</v>
      </c>
      <c r="C1056" s="32"/>
      <c r="D1056" s="27" t="s">
        <v>27</v>
      </c>
      <c r="E1056" s="27" t="s">
        <v>136</v>
      </c>
      <c r="F1056" s="27" t="s">
        <v>40</v>
      </c>
      <c r="G1056" s="27" t="s">
        <v>772</v>
      </c>
      <c r="H1056" s="27" t="s">
        <v>40</v>
      </c>
      <c r="I1056" s="28">
        <v>43132.0</v>
      </c>
      <c r="J1056" s="28">
        <v>44348.0</v>
      </c>
      <c r="K1056" s="30">
        <v>45444.0</v>
      </c>
      <c r="L1056" s="31">
        <v>2.0</v>
      </c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ht="14.25" customHeight="1">
      <c r="A1057" s="26" t="s">
        <v>2550</v>
      </c>
      <c r="B1057" s="27" t="s">
        <v>369</v>
      </c>
      <c r="C1057" s="27" t="s">
        <v>634</v>
      </c>
      <c r="D1057" s="27" t="s">
        <v>143</v>
      </c>
      <c r="E1057" s="27" t="s">
        <v>21</v>
      </c>
      <c r="F1057" s="27" t="s">
        <v>79</v>
      </c>
      <c r="G1057" s="27" t="s">
        <v>23</v>
      </c>
      <c r="H1057" s="27" t="s">
        <v>795</v>
      </c>
      <c r="I1057" s="28">
        <v>43252.0</v>
      </c>
      <c r="J1057" s="29"/>
      <c r="K1057" s="30">
        <v>44348.0</v>
      </c>
      <c r="L1057" s="31">
        <v>1.0</v>
      </c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ht="14.25" customHeight="1">
      <c r="A1058" s="26" t="s">
        <v>2551</v>
      </c>
      <c r="B1058" s="27" t="s">
        <v>537</v>
      </c>
      <c r="C1058" s="32"/>
      <c r="D1058" s="32"/>
      <c r="E1058" s="27" t="s">
        <v>124</v>
      </c>
      <c r="F1058" s="27" t="s">
        <v>125</v>
      </c>
      <c r="G1058" s="27" t="s">
        <v>23</v>
      </c>
      <c r="H1058" s="27" t="s">
        <v>126</v>
      </c>
      <c r="I1058" s="28">
        <v>43617.0</v>
      </c>
      <c r="J1058" s="29"/>
      <c r="K1058" s="30">
        <v>44713.0</v>
      </c>
      <c r="L1058" s="31">
        <v>1.0</v>
      </c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ht="14.25" customHeight="1">
      <c r="A1059" s="26" t="s">
        <v>2554</v>
      </c>
      <c r="B1059" s="27" t="s">
        <v>266</v>
      </c>
      <c r="C1059" s="32"/>
      <c r="D1059" s="32"/>
      <c r="E1059" s="27" t="s">
        <v>70</v>
      </c>
      <c r="F1059" s="27" t="s">
        <v>45</v>
      </c>
      <c r="G1059" s="27" t="s">
        <v>23</v>
      </c>
      <c r="H1059" s="27" t="s">
        <v>72</v>
      </c>
      <c r="I1059" s="28">
        <v>43252.0</v>
      </c>
      <c r="J1059" s="29"/>
      <c r="K1059" s="30">
        <v>44348.0</v>
      </c>
      <c r="L1059" s="31">
        <v>1.0</v>
      </c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ht="14.25" customHeight="1">
      <c r="A1060" s="26" t="s">
        <v>2557</v>
      </c>
      <c r="B1060" s="27" t="s">
        <v>2558</v>
      </c>
      <c r="C1060" s="27" t="s">
        <v>2560</v>
      </c>
      <c r="D1060" s="27" t="s">
        <v>428</v>
      </c>
      <c r="E1060" s="27" t="s">
        <v>21</v>
      </c>
      <c r="F1060" s="27" t="s">
        <v>79</v>
      </c>
      <c r="G1060" s="27" t="s">
        <v>46</v>
      </c>
      <c r="H1060" s="27" t="s">
        <v>244</v>
      </c>
      <c r="I1060" s="28">
        <v>42887.0</v>
      </c>
      <c r="J1060" s="29"/>
      <c r="K1060" s="30">
        <v>43983.0</v>
      </c>
      <c r="L1060" s="31">
        <v>1.0</v>
      </c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ht="14.25" customHeight="1">
      <c r="A1061" s="26" t="s">
        <v>42</v>
      </c>
      <c r="B1061" s="27" t="s">
        <v>31</v>
      </c>
      <c r="C1061" s="27" t="s">
        <v>43</v>
      </c>
      <c r="D1061" s="27" t="s">
        <v>44</v>
      </c>
      <c r="E1061" s="27" t="s">
        <v>21</v>
      </c>
      <c r="F1061" s="27" t="s">
        <v>45</v>
      </c>
      <c r="G1061" s="27" t="s">
        <v>46</v>
      </c>
      <c r="H1061" s="27" t="s">
        <v>47</v>
      </c>
      <c r="I1061" s="28">
        <v>43252.0</v>
      </c>
      <c r="J1061" s="29"/>
      <c r="K1061" s="30">
        <v>44348.0</v>
      </c>
      <c r="L1061" s="31">
        <v>1.0</v>
      </c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ht="14.25" customHeight="1">
      <c r="A1062" s="26" t="s">
        <v>2567</v>
      </c>
      <c r="B1062" s="27" t="s">
        <v>120</v>
      </c>
      <c r="C1062" s="27" t="s">
        <v>419</v>
      </c>
      <c r="D1062" s="27" t="s">
        <v>420</v>
      </c>
      <c r="E1062" s="27" t="s">
        <v>21</v>
      </c>
      <c r="F1062" s="27" t="s">
        <v>79</v>
      </c>
      <c r="G1062" s="27" t="s">
        <v>36</v>
      </c>
      <c r="H1062" s="27" t="s">
        <v>582</v>
      </c>
      <c r="I1062" s="28">
        <v>42887.0</v>
      </c>
      <c r="J1062" s="29"/>
      <c r="K1062" s="30">
        <v>43983.0</v>
      </c>
      <c r="L1062" s="31">
        <v>1.0</v>
      </c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ht="14.25" customHeight="1">
      <c r="A1063" s="26" t="s">
        <v>2569</v>
      </c>
      <c r="B1063" s="27" t="s">
        <v>2570</v>
      </c>
      <c r="C1063" s="32"/>
      <c r="D1063" s="27" t="s">
        <v>27</v>
      </c>
      <c r="E1063" s="27" t="s">
        <v>113</v>
      </c>
      <c r="F1063" s="27" t="s">
        <v>29</v>
      </c>
      <c r="G1063" s="27" t="s">
        <v>1769</v>
      </c>
      <c r="H1063" s="27" t="s">
        <v>29</v>
      </c>
      <c r="I1063" s="28">
        <v>42401.0</v>
      </c>
      <c r="J1063" s="29"/>
      <c r="K1063" s="30">
        <v>44713.0</v>
      </c>
      <c r="L1063" s="31">
        <v>1.0</v>
      </c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ht="14.25" customHeight="1">
      <c r="A1064" s="26" t="s">
        <v>2572</v>
      </c>
      <c r="B1064" s="27" t="s">
        <v>2573</v>
      </c>
      <c r="C1064" s="27" t="s">
        <v>514</v>
      </c>
      <c r="D1064" s="27" t="s">
        <v>78</v>
      </c>
      <c r="E1064" s="27" t="s">
        <v>21</v>
      </c>
      <c r="F1064" s="27" t="s">
        <v>45</v>
      </c>
      <c r="G1064" s="27" t="s">
        <v>46</v>
      </c>
      <c r="H1064" s="27" t="s">
        <v>80</v>
      </c>
      <c r="I1064" s="28">
        <v>43252.0</v>
      </c>
      <c r="J1064" s="29"/>
      <c r="K1064" s="30">
        <v>44348.0</v>
      </c>
      <c r="L1064" s="31">
        <v>1.0</v>
      </c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ht="14.25" customHeight="1">
      <c r="A1065" s="26" t="s">
        <v>2576</v>
      </c>
      <c r="B1065" s="27" t="s">
        <v>2577</v>
      </c>
      <c r="C1065" s="27" t="s">
        <v>706</v>
      </c>
      <c r="D1065" s="27" t="s">
        <v>27</v>
      </c>
      <c r="E1065" s="27" t="s">
        <v>706</v>
      </c>
      <c r="F1065" s="27" t="s">
        <v>1496</v>
      </c>
      <c r="G1065" s="27" t="s">
        <v>36</v>
      </c>
      <c r="H1065" s="27" t="s">
        <v>287</v>
      </c>
      <c r="I1065" s="28">
        <v>42887.0</v>
      </c>
      <c r="J1065" s="29"/>
      <c r="K1065" s="30">
        <v>43983.0</v>
      </c>
      <c r="L1065" s="31">
        <v>1.0</v>
      </c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ht="14.25" customHeight="1">
      <c r="A1066" s="26" t="s">
        <v>2578</v>
      </c>
      <c r="B1066" s="27" t="s">
        <v>2579</v>
      </c>
      <c r="C1066" s="32"/>
      <c r="D1066" s="27" t="s">
        <v>27</v>
      </c>
      <c r="E1066" s="27" t="s">
        <v>21</v>
      </c>
      <c r="F1066" s="27" t="s">
        <v>90</v>
      </c>
      <c r="G1066" s="27" t="s">
        <v>36</v>
      </c>
      <c r="H1066" s="27" t="s">
        <v>244</v>
      </c>
      <c r="I1066" s="28">
        <v>42887.0</v>
      </c>
      <c r="J1066" s="29"/>
      <c r="K1066" s="30">
        <v>43983.0</v>
      </c>
      <c r="L1066" s="31">
        <v>1.0</v>
      </c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ht="14.25" customHeight="1">
      <c r="A1067" s="33" t="s">
        <v>2582</v>
      </c>
      <c r="B1067" s="34" t="s">
        <v>169</v>
      </c>
      <c r="C1067" s="34" t="s">
        <v>1818</v>
      </c>
      <c r="D1067" s="34" t="s">
        <v>89</v>
      </c>
      <c r="E1067" s="34" t="s">
        <v>21</v>
      </c>
      <c r="F1067" s="34" t="s">
        <v>79</v>
      </c>
      <c r="G1067" s="34" t="s">
        <v>23</v>
      </c>
      <c r="H1067" s="34" t="s">
        <v>331</v>
      </c>
      <c r="I1067" s="28">
        <v>43252.0</v>
      </c>
      <c r="J1067" s="29"/>
      <c r="K1067" s="30">
        <v>44348.0</v>
      </c>
      <c r="L1067" s="31">
        <v>1.0</v>
      </c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ht="14.25" customHeight="1">
      <c r="A1068" s="26" t="s">
        <v>2584</v>
      </c>
      <c r="B1068" s="27" t="s">
        <v>1251</v>
      </c>
      <c r="C1068" s="32"/>
      <c r="D1068" s="27" t="s">
        <v>27</v>
      </c>
      <c r="E1068" s="27" t="s">
        <v>21</v>
      </c>
      <c r="F1068" s="27" t="s">
        <v>29</v>
      </c>
      <c r="G1068" s="27" t="s">
        <v>1458</v>
      </c>
      <c r="H1068" s="27" t="s">
        <v>29</v>
      </c>
      <c r="I1068" s="28">
        <v>42401.0</v>
      </c>
      <c r="J1068" s="29"/>
      <c r="K1068" s="30">
        <v>44713.0</v>
      </c>
      <c r="L1068" s="31">
        <v>1.0</v>
      </c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ht="14.25" customHeight="1">
      <c r="A1069" s="26" t="s">
        <v>2586</v>
      </c>
      <c r="B1069" s="27" t="s">
        <v>38</v>
      </c>
      <c r="C1069" s="32"/>
      <c r="D1069" s="27" t="s">
        <v>224</v>
      </c>
      <c r="E1069" s="27" t="s">
        <v>21</v>
      </c>
      <c r="F1069" s="27" t="s">
        <v>370</v>
      </c>
      <c r="G1069" s="27" t="s">
        <v>1645</v>
      </c>
      <c r="H1069" s="27" t="s">
        <v>370</v>
      </c>
      <c r="I1069" s="28">
        <v>43132.0</v>
      </c>
      <c r="J1069" s="28">
        <v>44348.0</v>
      </c>
      <c r="K1069" s="30">
        <v>45444.0</v>
      </c>
      <c r="L1069" s="31">
        <v>2.0</v>
      </c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ht="14.25" customHeight="1">
      <c r="A1070" s="26" t="s">
        <v>2587</v>
      </c>
      <c r="B1070" s="27" t="s">
        <v>128</v>
      </c>
      <c r="C1070" s="32"/>
      <c r="D1070" s="27" t="s">
        <v>27</v>
      </c>
      <c r="E1070" s="27" t="s">
        <v>27</v>
      </c>
      <c r="F1070" s="27" t="s">
        <v>103</v>
      </c>
      <c r="G1070" s="27" t="s">
        <v>1717</v>
      </c>
      <c r="H1070" s="27" t="s">
        <v>103</v>
      </c>
      <c r="I1070" s="28">
        <v>42401.0</v>
      </c>
      <c r="J1070" s="29"/>
      <c r="K1070" s="30">
        <v>44713.0</v>
      </c>
      <c r="L1070" s="31">
        <v>1.0</v>
      </c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ht="14.25" customHeight="1">
      <c r="A1071" s="26" t="s">
        <v>2588</v>
      </c>
      <c r="B1071" s="27" t="s">
        <v>2589</v>
      </c>
      <c r="C1071" s="32"/>
      <c r="D1071" s="32"/>
      <c r="E1071" s="27" t="s">
        <v>334</v>
      </c>
      <c r="F1071" s="27" t="s">
        <v>367</v>
      </c>
      <c r="G1071" s="27" t="s">
        <v>137</v>
      </c>
      <c r="H1071" s="27" t="s">
        <v>135</v>
      </c>
      <c r="I1071" s="28">
        <v>43252.0</v>
      </c>
      <c r="J1071" s="28">
        <v>44348.0</v>
      </c>
      <c r="K1071" s="30">
        <v>45444.0</v>
      </c>
      <c r="L1071" s="31">
        <v>2.0</v>
      </c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ht="14.25" customHeight="1">
      <c r="A1072" s="26" t="s">
        <v>2593</v>
      </c>
      <c r="B1072" s="27" t="s">
        <v>18</v>
      </c>
      <c r="C1072" s="27" t="s">
        <v>2594</v>
      </c>
      <c r="D1072" s="27" t="s">
        <v>143</v>
      </c>
      <c r="E1072" s="27" t="s">
        <v>21</v>
      </c>
      <c r="F1072" s="32"/>
      <c r="G1072" s="32"/>
      <c r="H1072" s="27" t="s">
        <v>913</v>
      </c>
      <c r="I1072" s="28">
        <v>43252.0</v>
      </c>
      <c r="J1072" s="29"/>
      <c r="K1072" s="30">
        <v>44348.0</v>
      </c>
      <c r="L1072" s="31">
        <v>1.0</v>
      </c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ht="14.25" customHeight="1">
      <c r="A1073" s="26" t="s">
        <v>2598</v>
      </c>
      <c r="B1073" s="27" t="s">
        <v>2599</v>
      </c>
      <c r="C1073" s="32"/>
      <c r="D1073" s="27" t="s">
        <v>27</v>
      </c>
      <c r="E1073" s="27" t="s">
        <v>585</v>
      </c>
      <c r="F1073" s="27" t="s">
        <v>29</v>
      </c>
      <c r="G1073" s="27" t="s">
        <v>156</v>
      </c>
      <c r="H1073" s="27" t="s">
        <v>65</v>
      </c>
      <c r="I1073" s="28">
        <v>43136.0</v>
      </c>
      <c r="J1073" s="28">
        <v>44348.0</v>
      </c>
      <c r="K1073" s="30">
        <v>45444.0</v>
      </c>
      <c r="L1073" s="31">
        <v>2.0</v>
      </c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ht="14.25" customHeight="1">
      <c r="A1074" s="26" t="s">
        <v>2601</v>
      </c>
      <c r="B1074" s="27" t="s">
        <v>269</v>
      </c>
      <c r="C1074" s="27" t="s">
        <v>338</v>
      </c>
      <c r="D1074" s="27" t="s">
        <v>222</v>
      </c>
      <c r="E1074" s="27" t="s">
        <v>21</v>
      </c>
      <c r="F1074" s="27" t="s">
        <v>79</v>
      </c>
      <c r="G1074" s="27" t="s">
        <v>46</v>
      </c>
      <c r="H1074" s="27" t="s">
        <v>339</v>
      </c>
      <c r="I1074" s="28">
        <v>43252.0</v>
      </c>
      <c r="J1074" s="29"/>
      <c r="K1074" s="30">
        <v>44348.0</v>
      </c>
      <c r="L1074" s="31">
        <v>1.0</v>
      </c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ht="14.25" customHeight="1">
      <c r="A1075" s="26" t="s">
        <v>2603</v>
      </c>
      <c r="B1075" s="27" t="s">
        <v>423</v>
      </c>
      <c r="C1075" s="27" t="s">
        <v>2604</v>
      </c>
      <c r="D1075" s="27" t="s">
        <v>143</v>
      </c>
      <c r="E1075" s="27" t="s">
        <v>21</v>
      </c>
      <c r="F1075" s="27" t="s">
        <v>642</v>
      </c>
      <c r="G1075" s="27" t="s">
        <v>571</v>
      </c>
      <c r="H1075" s="27" t="s">
        <v>135</v>
      </c>
      <c r="I1075" s="28">
        <v>43252.0</v>
      </c>
      <c r="J1075" s="29"/>
      <c r="K1075" s="30">
        <v>44348.0</v>
      </c>
      <c r="L1075" s="31">
        <v>1.0</v>
      </c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ht="14.25" customHeight="1">
      <c r="A1076" s="26" t="s">
        <v>2605</v>
      </c>
      <c r="B1076" s="27" t="s">
        <v>981</v>
      </c>
      <c r="C1076" s="27" t="s">
        <v>683</v>
      </c>
      <c r="D1076" s="27" t="s">
        <v>348</v>
      </c>
      <c r="E1076" s="27" t="s">
        <v>21</v>
      </c>
      <c r="F1076" s="27" t="s">
        <v>71</v>
      </c>
      <c r="G1076" s="27" t="s">
        <v>46</v>
      </c>
      <c r="H1076" s="27" t="s">
        <v>211</v>
      </c>
      <c r="I1076" s="28">
        <v>43252.0</v>
      </c>
      <c r="J1076" s="29"/>
      <c r="K1076" s="30">
        <v>44348.0</v>
      </c>
      <c r="L1076" s="31">
        <v>1.0</v>
      </c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ht="14.25" customHeight="1">
      <c r="A1077" s="26" t="s">
        <v>2607</v>
      </c>
      <c r="B1077" s="27" t="s">
        <v>128</v>
      </c>
      <c r="C1077" s="27" t="s">
        <v>363</v>
      </c>
      <c r="D1077" s="27" t="s">
        <v>143</v>
      </c>
      <c r="E1077" s="27" t="s">
        <v>21</v>
      </c>
      <c r="F1077" s="27" t="s">
        <v>35</v>
      </c>
      <c r="G1077" s="27" t="s">
        <v>46</v>
      </c>
      <c r="H1077" s="27" t="s">
        <v>251</v>
      </c>
      <c r="I1077" s="28">
        <v>43617.0</v>
      </c>
      <c r="J1077" s="29"/>
      <c r="K1077" s="30">
        <v>44713.0</v>
      </c>
      <c r="L1077" s="31">
        <v>1.0</v>
      </c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ht="14.25" customHeight="1">
      <c r="A1078" s="26" t="s">
        <v>2612</v>
      </c>
      <c r="B1078" s="27" t="s">
        <v>493</v>
      </c>
      <c r="C1078" s="27" t="s">
        <v>2614</v>
      </c>
      <c r="D1078" s="27" t="s">
        <v>282</v>
      </c>
      <c r="E1078" s="27" t="s">
        <v>21</v>
      </c>
      <c r="F1078" s="27" t="s">
        <v>56</v>
      </c>
      <c r="G1078" s="27" t="s">
        <v>36</v>
      </c>
      <c r="H1078" s="27" t="s">
        <v>397</v>
      </c>
      <c r="I1078" s="28">
        <v>43617.0</v>
      </c>
      <c r="J1078" s="29"/>
      <c r="K1078" s="30">
        <v>44713.0</v>
      </c>
      <c r="L1078" s="31">
        <v>1.0</v>
      </c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ht="14.25" customHeight="1">
      <c r="A1079" s="26" t="s">
        <v>2617</v>
      </c>
      <c r="B1079" s="27" t="s">
        <v>953</v>
      </c>
      <c r="C1079" s="27" t="s">
        <v>711</v>
      </c>
      <c r="D1079" s="27" t="s">
        <v>143</v>
      </c>
      <c r="E1079" s="27" t="s">
        <v>21</v>
      </c>
      <c r="F1079" s="27" t="s">
        <v>79</v>
      </c>
      <c r="G1079" s="27" t="s">
        <v>46</v>
      </c>
      <c r="H1079" s="27" t="s">
        <v>24</v>
      </c>
      <c r="I1079" s="28">
        <v>36892.0</v>
      </c>
      <c r="J1079" s="29"/>
      <c r="K1079" s="30">
        <v>45809.0</v>
      </c>
      <c r="L1079" s="31">
        <v>1.0</v>
      </c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ht="14.25" customHeight="1">
      <c r="A1080" s="26" t="s">
        <v>2619</v>
      </c>
      <c r="B1080" s="27" t="s">
        <v>266</v>
      </c>
      <c r="C1080" s="27" t="s">
        <v>1610</v>
      </c>
      <c r="D1080" s="27" t="s">
        <v>183</v>
      </c>
      <c r="E1080" s="27" t="s">
        <v>21</v>
      </c>
      <c r="F1080" s="27" t="s">
        <v>1108</v>
      </c>
      <c r="G1080" s="27" t="s">
        <v>23</v>
      </c>
      <c r="H1080" s="27" t="s">
        <v>207</v>
      </c>
      <c r="I1080" s="28">
        <v>42887.0</v>
      </c>
      <c r="J1080" s="29"/>
      <c r="K1080" s="30">
        <v>43983.0</v>
      </c>
      <c r="L1080" s="31">
        <v>1.0</v>
      </c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ht="14.25" customHeight="1">
      <c r="A1081" s="26" t="s">
        <v>2622</v>
      </c>
      <c r="B1081" s="27" t="s">
        <v>2623</v>
      </c>
      <c r="C1081" s="32"/>
      <c r="D1081" s="27" t="s">
        <v>27</v>
      </c>
      <c r="E1081" s="27" t="s">
        <v>28</v>
      </c>
      <c r="F1081" s="27" t="s">
        <v>29</v>
      </c>
      <c r="G1081" s="27" t="s">
        <v>64</v>
      </c>
      <c r="H1081" s="27" t="s">
        <v>29</v>
      </c>
      <c r="I1081" s="28">
        <v>42401.0</v>
      </c>
      <c r="J1081" s="29"/>
      <c r="K1081" s="30">
        <v>44713.0</v>
      </c>
      <c r="L1081" s="31">
        <v>1.0</v>
      </c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ht="14.25" customHeight="1">
      <c r="A1082" s="26" t="s">
        <v>2626</v>
      </c>
      <c r="B1082" s="27" t="s">
        <v>2627</v>
      </c>
      <c r="C1082" s="32"/>
      <c r="D1082" s="32"/>
      <c r="E1082" s="27" t="s">
        <v>2019</v>
      </c>
      <c r="F1082" s="27" t="s">
        <v>1108</v>
      </c>
      <c r="G1082" s="27" t="s">
        <v>137</v>
      </c>
      <c r="H1082" s="27" t="s">
        <v>126</v>
      </c>
      <c r="I1082" s="28">
        <v>43617.0</v>
      </c>
      <c r="J1082" s="29"/>
      <c r="K1082" s="30">
        <v>44713.0</v>
      </c>
      <c r="L1082" s="31">
        <v>1.0</v>
      </c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ht="14.25" customHeight="1">
      <c r="A1083" s="26" t="s">
        <v>2630</v>
      </c>
      <c r="B1083" s="27" t="s">
        <v>1495</v>
      </c>
      <c r="C1083" s="32"/>
      <c r="D1083" s="27" t="s">
        <v>27</v>
      </c>
      <c r="E1083" s="27" t="s">
        <v>162</v>
      </c>
      <c r="F1083" s="27" t="s">
        <v>2631</v>
      </c>
      <c r="G1083" s="27" t="s">
        <v>23</v>
      </c>
      <c r="H1083" s="27" t="s">
        <v>2632</v>
      </c>
      <c r="I1083" s="28">
        <v>42828.0</v>
      </c>
      <c r="J1083" s="28">
        <v>43983.0</v>
      </c>
      <c r="K1083" s="30">
        <v>45078.0</v>
      </c>
      <c r="L1083" s="31">
        <v>2.0</v>
      </c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ht="14.25" customHeight="1">
      <c r="A1084" s="26" t="s">
        <v>2634</v>
      </c>
      <c r="B1084" s="27" t="s">
        <v>18</v>
      </c>
      <c r="C1084" s="32"/>
      <c r="D1084" s="27" t="s">
        <v>27</v>
      </c>
      <c r="E1084" s="27" t="s">
        <v>334</v>
      </c>
      <c r="F1084" s="27" t="s">
        <v>29</v>
      </c>
      <c r="G1084" s="27" t="s">
        <v>270</v>
      </c>
      <c r="H1084" s="27" t="s">
        <v>65</v>
      </c>
      <c r="I1084" s="28">
        <v>43136.0</v>
      </c>
      <c r="J1084" s="28">
        <v>44348.0</v>
      </c>
      <c r="K1084" s="30">
        <v>45444.0</v>
      </c>
      <c r="L1084" s="31">
        <v>2.0</v>
      </c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ht="14.25" customHeight="1">
      <c r="A1085" s="26" t="s">
        <v>2638</v>
      </c>
      <c r="B1085" s="27" t="s">
        <v>1639</v>
      </c>
      <c r="C1085" s="27" t="s">
        <v>1833</v>
      </c>
      <c r="D1085" s="27" t="s">
        <v>78</v>
      </c>
      <c r="E1085" s="27" t="s">
        <v>21</v>
      </c>
      <c r="F1085" s="27" t="s">
        <v>360</v>
      </c>
      <c r="G1085" s="27" t="s">
        <v>23</v>
      </c>
      <c r="H1085" s="27" t="s">
        <v>397</v>
      </c>
      <c r="I1085" s="28">
        <v>43617.0</v>
      </c>
      <c r="J1085" s="29"/>
      <c r="K1085" s="30">
        <v>44713.0</v>
      </c>
      <c r="L1085" s="31">
        <v>1.0</v>
      </c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ht="14.25" customHeight="1">
      <c r="A1086" s="33" t="s">
        <v>2640</v>
      </c>
      <c r="B1086" s="34" t="s">
        <v>1460</v>
      </c>
      <c r="C1086" s="35"/>
      <c r="D1086" s="34" t="s">
        <v>27</v>
      </c>
      <c r="E1086" s="34" t="s">
        <v>285</v>
      </c>
      <c r="F1086" s="27" t="s">
        <v>40</v>
      </c>
      <c r="G1086" s="27" t="s">
        <v>167</v>
      </c>
      <c r="H1086" s="34" t="s">
        <v>40</v>
      </c>
      <c r="I1086" s="30">
        <v>43132.0</v>
      </c>
      <c r="J1086" s="30">
        <v>44348.0</v>
      </c>
      <c r="K1086" s="30">
        <v>45444.0</v>
      </c>
      <c r="L1086" s="31">
        <v>2.0</v>
      </c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ht="14.25" customHeight="1">
      <c r="A1087" s="26" t="s">
        <v>2642</v>
      </c>
      <c r="B1087" s="27" t="s">
        <v>1184</v>
      </c>
      <c r="C1087" s="27" t="s">
        <v>2643</v>
      </c>
      <c r="D1087" s="27" t="s">
        <v>313</v>
      </c>
      <c r="E1087" s="27" t="s">
        <v>21</v>
      </c>
      <c r="F1087" s="27" t="s">
        <v>56</v>
      </c>
      <c r="G1087" s="27" t="s">
        <v>36</v>
      </c>
      <c r="H1087" s="27" t="s">
        <v>57</v>
      </c>
      <c r="I1087" s="28">
        <v>43617.0</v>
      </c>
      <c r="J1087" s="29"/>
      <c r="K1087" s="30">
        <v>44713.0</v>
      </c>
      <c r="L1087" s="31">
        <v>1.0</v>
      </c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ht="14.25" customHeight="1">
      <c r="A1088" s="26" t="s">
        <v>2645</v>
      </c>
      <c r="B1088" s="27" t="s">
        <v>600</v>
      </c>
      <c r="C1088" s="32"/>
      <c r="D1088" s="27" t="s">
        <v>27</v>
      </c>
      <c r="E1088" s="27" t="s">
        <v>1558</v>
      </c>
      <c r="F1088" s="27" t="s">
        <v>367</v>
      </c>
      <c r="G1088" s="27" t="s">
        <v>36</v>
      </c>
      <c r="H1088" s="27" t="s">
        <v>879</v>
      </c>
      <c r="I1088" s="28">
        <v>42828.0</v>
      </c>
      <c r="J1088" s="28">
        <v>43983.0</v>
      </c>
      <c r="K1088" s="30">
        <v>45078.0</v>
      </c>
      <c r="L1088" s="31">
        <v>2.0</v>
      </c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ht="14.25" customHeight="1">
      <c r="A1089" s="26" t="s">
        <v>2646</v>
      </c>
      <c r="B1089" s="27" t="s">
        <v>2647</v>
      </c>
      <c r="C1089" s="32"/>
      <c r="D1089" s="27" t="s">
        <v>27</v>
      </c>
      <c r="E1089" s="27" t="s">
        <v>285</v>
      </c>
      <c r="F1089" s="27" t="s">
        <v>40</v>
      </c>
      <c r="G1089" s="27" t="s">
        <v>409</v>
      </c>
      <c r="H1089" s="27" t="s">
        <v>40</v>
      </c>
      <c r="I1089" s="28">
        <v>43132.0</v>
      </c>
      <c r="J1089" s="28">
        <v>44348.0</v>
      </c>
      <c r="K1089" s="30">
        <v>45444.0</v>
      </c>
      <c r="L1089" s="31">
        <v>2.0</v>
      </c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ht="14.25" customHeight="1">
      <c r="A1090" s="26" t="s">
        <v>2652</v>
      </c>
      <c r="B1090" s="27" t="s">
        <v>2653</v>
      </c>
      <c r="C1090" s="27" t="s">
        <v>706</v>
      </c>
      <c r="D1090" s="27" t="s">
        <v>27</v>
      </c>
      <c r="E1090" s="27" t="s">
        <v>706</v>
      </c>
      <c r="F1090" s="27" t="s">
        <v>1440</v>
      </c>
      <c r="G1090" s="27" t="s">
        <v>36</v>
      </c>
      <c r="H1090" s="27" t="s">
        <v>207</v>
      </c>
      <c r="I1090" s="28">
        <v>42887.0</v>
      </c>
      <c r="J1090" s="28">
        <v>43983.0</v>
      </c>
      <c r="K1090" s="30">
        <v>45078.0</v>
      </c>
      <c r="L1090" s="31">
        <v>2.0</v>
      </c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ht="14.25" customHeight="1">
      <c r="A1091" s="26" t="s">
        <v>2654</v>
      </c>
      <c r="B1091" s="27" t="s">
        <v>2655</v>
      </c>
      <c r="C1091" s="32"/>
      <c r="D1091" s="27" t="s">
        <v>27</v>
      </c>
      <c r="E1091" s="27" t="s">
        <v>706</v>
      </c>
      <c r="F1091" s="27" t="s">
        <v>40</v>
      </c>
      <c r="G1091" s="27" t="s">
        <v>1431</v>
      </c>
      <c r="H1091" s="27" t="s">
        <v>40</v>
      </c>
      <c r="I1091" s="28">
        <v>43132.0</v>
      </c>
      <c r="J1091" s="28">
        <v>44348.0</v>
      </c>
      <c r="K1091" s="30">
        <v>45444.0</v>
      </c>
      <c r="L1091" s="31">
        <v>2.0</v>
      </c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ht="14.25" customHeight="1">
      <c r="A1092" s="26" t="s">
        <v>2657</v>
      </c>
      <c r="B1092" s="27" t="s">
        <v>475</v>
      </c>
      <c r="C1092" s="32"/>
      <c r="D1092" s="27" t="s">
        <v>27</v>
      </c>
      <c r="E1092" s="27" t="s">
        <v>285</v>
      </c>
      <c r="F1092" s="27" t="s">
        <v>40</v>
      </c>
      <c r="G1092" s="27" t="s">
        <v>736</v>
      </c>
      <c r="H1092" s="27" t="s">
        <v>40</v>
      </c>
      <c r="I1092" s="28">
        <v>43132.0</v>
      </c>
      <c r="J1092" s="28">
        <v>44348.0</v>
      </c>
      <c r="K1092" s="30">
        <v>45444.0</v>
      </c>
      <c r="L1092" s="31">
        <v>2.0</v>
      </c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ht="14.25" customHeight="1">
      <c r="A1093" s="26" t="s">
        <v>2661</v>
      </c>
      <c r="B1093" s="27" t="s">
        <v>423</v>
      </c>
      <c r="C1093" s="27" t="s">
        <v>2662</v>
      </c>
      <c r="D1093" s="27" t="s">
        <v>282</v>
      </c>
      <c r="E1093" s="27" t="s">
        <v>21</v>
      </c>
      <c r="F1093" s="27" t="s">
        <v>721</v>
      </c>
      <c r="G1093" s="27" t="s">
        <v>137</v>
      </c>
      <c r="H1093" s="27" t="s">
        <v>126</v>
      </c>
      <c r="I1093" s="28">
        <v>43617.0</v>
      </c>
      <c r="J1093" s="28">
        <v>44713.0</v>
      </c>
      <c r="K1093" s="30">
        <v>45809.0</v>
      </c>
      <c r="L1093" s="31">
        <v>2.0</v>
      </c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ht="14.25" customHeight="1">
      <c r="A1094" s="26" t="s">
        <v>2664</v>
      </c>
      <c r="B1094" s="27" t="s">
        <v>1475</v>
      </c>
      <c r="C1094" s="32"/>
      <c r="D1094" s="27" t="s">
        <v>27</v>
      </c>
      <c r="E1094" s="27" t="s">
        <v>706</v>
      </c>
      <c r="F1094" s="27" t="s">
        <v>380</v>
      </c>
      <c r="G1094" s="32"/>
      <c r="H1094" s="27" t="s">
        <v>24</v>
      </c>
      <c r="I1094" s="28">
        <v>36892.0</v>
      </c>
      <c r="J1094" s="29"/>
      <c r="K1094" s="30">
        <v>45809.0</v>
      </c>
      <c r="L1094" s="31">
        <v>1.0</v>
      </c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ht="14.25" customHeight="1">
      <c r="A1095" s="26" t="s">
        <v>2665</v>
      </c>
      <c r="B1095" s="27" t="s">
        <v>2667</v>
      </c>
      <c r="C1095" s="32"/>
      <c r="D1095" s="27" t="s">
        <v>27</v>
      </c>
      <c r="E1095" s="27" t="s">
        <v>285</v>
      </c>
      <c r="F1095" s="27" t="s">
        <v>40</v>
      </c>
      <c r="G1095" s="27" t="s">
        <v>1125</v>
      </c>
      <c r="H1095" s="27" t="s">
        <v>40</v>
      </c>
      <c r="I1095" s="28">
        <v>42401.0</v>
      </c>
      <c r="J1095" s="29"/>
      <c r="K1095" s="30">
        <v>44713.0</v>
      </c>
      <c r="L1095" s="31">
        <v>1.0</v>
      </c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ht="14.25" customHeight="1">
      <c r="A1096" s="26" t="s">
        <v>2669</v>
      </c>
      <c r="B1096" s="27" t="s">
        <v>18</v>
      </c>
      <c r="C1096" s="32"/>
      <c r="D1096" s="27" t="s">
        <v>27</v>
      </c>
      <c r="E1096" s="27" t="s">
        <v>285</v>
      </c>
      <c r="F1096" s="27" t="s">
        <v>40</v>
      </c>
      <c r="G1096" s="27" t="s">
        <v>36</v>
      </c>
      <c r="H1096" s="27" t="s">
        <v>24</v>
      </c>
      <c r="I1096" s="28">
        <v>43132.0</v>
      </c>
      <c r="J1096" s="28">
        <v>44348.0</v>
      </c>
      <c r="K1096" s="30">
        <v>45444.0</v>
      </c>
      <c r="L1096" s="31">
        <v>2.0</v>
      </c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ht="14.25" customHeight="1">
      <c r="A1097" s="26" t="s">
        <v>2670</v>
      </c>
      <c r="B1097" s="27" t="s">
        <v>573</v>
      </c>
      <c r="C1097" s="32"/>
      <c r="D1097" s="27" t="s">
        <v>27</v>
      </c>
      <c r="E1097" s="27" t="s">
        <v>706</v>
      </c>
      <c r="F1097" s="27" t="s">
        <v>380</v>
      </c>
      <c r="G1097" s="32"/>
      <c r="H1097" s="27" t="s">
        <v>24</v>
      </c>
      <c r="I1097" s="28">
        <v>36892.0</v>
      </c>
      <c r="J1097" s="29"/>
      <c r="K1097" s="30">
        <v>45809.0</v>
      </c>
      <c r="L1097" s="31">
        <v>1.0</v>
      </c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ht="14.25" customHeight="1">
      <c r="A1098" s="26" t="s">
        <v>2671</v>
      </c>
      <c r="B1098" s="27" t="s">
        <v>2672</v>
      </c>
      <c r="C1098" s="27" t="s">
        <v>840</v>
      </c>
      <c r="D1098" s="27" t="s">
        <v>222</v>
      </c>
      <c r="E1098" s="27" t="s">
        <v>21</v>
      </c>
      <c r="F1098" s="32"/>
      <c r="G1098" s="32"/>
      <c r="H1098" s="27" t="s">
        <v>913</v>
      </c>
      <c r="I1098" s="28">
        <v>43252.0</v>
      </c>
      <c r="J1098" s="29"/>
      <c r="K1098" s="30">
        <v>44348.0</v>
      </c>
      <c r="L1098" s="31">
        <v>1.0</v>
      </c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ht="14.25" customHeight="1">
      <c r="A1099" s="33" t="s">
        <v>2673</v>
      </c>
      <c r="B1099" s="34" t="s">
        <v>1107</v>
      </c>
      <c r="C1099" s="35"/>
      <c r="D1099" s="34" t="s">
        <v>27</v>
      </c>
      <c r="E1099" s="34" t="s">
        <v>21</v>
      </c>
      <c r="F1099" s="34" t="s">
        <v>408</v>
      </c>
      <c r="G1099" s="34" t="s">
        <v>159</v>
      </c>
      <c r="H1099" s="34" t="s">
        <v>408</v>
      </c>
      <c r="I1099" s="30">
        <v>42772.0</v>
      </c>
      <c r="J1099" s="30">
        <v>43983.0</v>
      </c>
      <c r="K1099" s="30">
        <v>45078.0</v>
      </c>
      <c r="L1099" s="31">
        <v>2.0</v>
      </c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ht="14.25" customHeight="1">
      <c r="A1100" s="26" t="s">
        <v>2675</v>
      </c>
      <c r="B1100" s="27" t="s">
        <v>2676</v>
      </c>
      <c r="C1100" s="32"/>
      <c r="D1100" s="32"/>
      <c r="E1100" s="27" t="s">
        <v>2677</v>
      </c>
      <c r="F1100" s="27" t="s">
        <v>721</v>
      </c>
      <c r="G1100" s="27" t="s">
        <v>23</v>
      </c>
      <c r="H1100" s="27" t="s">
        <v>126</v>
      </c>
      <c r="I1100" s="28">
        <v>43617.0</v>
      </c>
      <c r="J1100" s="28">
        <v>44713.0</v>
      </c>
      <c r="K1100" s="30">
        <v>45809.0</v>
      </c>
      <c r="L1100" s="31">
        <v>2.0</v>
      </c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ht="14.25" customHeight="1">
      <c r="A1101" s="26" t="s">
        <v>2680</v>
      </c>
      <c r="B1101" s="27" t="s">
        <v>321</v>
      </c>
      <c r="C1101" s="27" t="s">
        <v>2681</v>
      </c>
      <c r="D1101" s="27" t="s">
        <v>143</v>
      </c>
      <c r="E1101" s="27" t="s">
        <v>21</v>
      </c>
      <c r="F1101" s="27" t="s">
        <v>144</v>
      </c>
      <c r="G1101" s="27" t="s">
        <v>23</v>
      </c>
      <c r="H1101" s="27" t="s">
        <v>135</v>
      </c>
      <c r="I1101" s="28">
        <v>43252.0</v>
      </c>
      <c r="J1101" s="29"/>
      <c r="K1101" s="30">
        <v>44348.0</v>
      </c>
      <c r="L1101" s="31">
        <v>1.0</v>
      </c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ht="14.25" customHeight="1">
      <c r="A1102" s="26" t="s">
        <v>2684</v>
      </c>
      <c r="B1102" s="27" t="s">
        <v>120</v>
      </c>
      <c r="C1102" s="27" t="s">
        <v>840</v>
      </c>
      <c r="D1102" s="27" t="s">
        <v>222</v>
      </c>
      <c r="E1102" s="27" t="s">
        <v>21</v>
      </c>
      <c r="F1102" s="27" t="s">
        <v>192</v>
      </c>
      <c r="G1102" s="27" t="s">
        <v>23</v>
      </c>
      <c r="H1102" s="27" t="s">
        <v>126</v>
      </c>
      <c r="I1102" s="28">
        <v>43617.0</v>
      </c>
      <c r="J1102" s="28">
        <v>44713.0</v>
      </c>
      <c r="K1102" s="30">
        <v>45809.0</v>
      </c>
      <c r="L1102" s="31">
        <v>2.0</v>
      </c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ht="14.25" customHeight="1">
      <c r="A1103" s="26" t="s">
        <v>2687</v>
      </c>
      <c r="B1103" s="27" t="s">
        <v>1484</v>
      </c>
      <c r="C1103" s="27" t="s">
        <v>605</v>
      </c>
      <c r="D1103" s="27" t="s">
        <v>323</v>
      </c>
      <c r="E1103" s="27" t="s">
        <v>21</v>
      </c>
      <c r="F1103" s="27" t="s">
        <v>35</v>
      </c>
      <c r="G1103" s="27" t="s">
        <v>46</v>
      </c>
      <c r="H1103" s="27" t="s">
        <v>57</v>
      </c>
      <c r="I1103" s="28">
        <v>43617.0</v>
      </c>
      <c r="J1103" s="29"/>
      <c r="K1103" s="30">
        <v>44713.0</v>
      </c>
      <c r="L1103" s="31">
        <v>1.0</v>
      </c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ht="14.25" customHeight="1">
      <c r="A1104" s="26" t="s">
        <v>2689</v>
      </c>
      <c r="B1104" s="27" t="s">
        <v>227</v>
      </c>
      <c r="C1104" s="32"/>
      <c r="D1104" s="27" t="s">
        <v>27</v>
      </c>
      <c r="E1104" s="27" t="s">
        <v>27</v>
      </c>
      <c r="F1104" s="27" t="s">
        <v>103</v>
      </c>
      <c r="G1104" s="27" t="s">
        <v>1431</v>
      </c>
      <c r="H1104" s="27" t="s">
        <v>103</v>
      </c>
      <c r="I1104" s="28">
        <v>42401.0</v>
      </c>
      <c r="J1104" s="29"/>
      <c r="K1104" s="30">
        <v>44713.0</v>
      </c>
      <c r="L1104" s="31">
        <v>1.0</v>
      </c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ht="14.25" customHeight="1">
      <c r="A1105" s="26" t="s">
        <v>2694</v>
      </c>
      <c r="B1105" s="27" t="s">
        <v>2695</v>
      </c>
      <c r="C1105" s="27" t="s">
        <v>2290</v>
      </c>
      <c r="D1105" s="27" t="s">
        <v>222</v>
      </c>
      <c r="E1105" s="27" t="s">
        <v>21</v>
      </c>
      <c r="F1105" s="27" t="s">
        <v>56</v>
      </c>
      <c r="G1105" s="27" t="s">
        <v>36</v>
      </c>
      <c r="H1105" s="27" t="s">
        <v>37</v>
      </c>
      <c r="I1105" s="28">
        <v>43617.0</v>
      </c>
      <c r="J1105" s="29"/>
      <c r="K1105" s="30">
        <v>44713.0</v>
      </c>
      <c r="L1105" s="31">
        <v>1.0</v>
      </c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ht="14.25" customHeight="1">
      <c r="A1106" s="26" t="s">
        <v>2698</v>
      </c>
      <c r="B1106" s="27" t="s">
        <v>138</v>
      </c>
      <c r="C1106" s="27" t="s">
        <v>2241</v>
      </c>
      <c r="D1106" s="27" t="s">
        <v>44</v>
      </c>
      <c r="E1106" s="27" t="s">
        <v>21</v>
      </c>
      <c r="F1106" s="27" t="s">
        <v>90</v>
      </c>
      <c r="G1106" s="27" t="s">
        <v>46</v>
      </c>
      <c r="H1106" s="27" t="s">
        <v>100</v>
      </c>
      <c r="I1106" s="28">
        <v>42887.0</v>
      </c>
      <c r="J1106" s="29"/>
      <c r="K1106" s="30">
        <v>43983.0</v>
      </c>
      <c r="L1106" s="31">
        <v>1.0</v>
      </c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ht="14.25" customHeight="1">
      <c r="A1107" s="26" t="s">
        <v>2701</v>
      </c>
      <c r="B1107" s="27" t="s">
        <v>2702</v>
      </c>
      <c r="C1107" s="27" t="s">
        <v>1640</v>
      </c>
      <c r="D1107" s="27" t="s">
        <v>20</v>
      </c>
      <c r="E1107" s="27" t="s">
        <v>21</v>
      </c>
      <c r="F1107" s="27" t="s">
        <v>192</v>
      </c>
      <c r="G1107" s="27" t="s">
        <v>36</v>
      </c>
      <c r="H1107" s="27" t="s">
        <v>126</v>
      </c>
      <c r="I1107" s="28">
        <v>43617.0</v>
      </c>
      <c r="J1107" s="28">
        <v>44713.0</v>
      </c>
      <c r="K1107" s="30">
        <v>45809.0</v>
      </c>
      <c r="L1107" s="31">
        <v>2.0</v>
      </c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ht="14.25" customHeight="1">
      <c r="A1108" s="26" t="s">
        <v>2703</v>
      </c>
      <c r="B1108" s="27" t="s">
        <v>141</v>
      </c>
      <c r="C1108" s="32"/>
      <c r="D1108" s="27" t="s">
        <v>27</v>
      </c>
      <c r="E1108" s="27" t="s">
        <v>285</v>
      </c>
      <c r="F1108" s="27" t="s">
        <v>40</v>
      </c>
      <c r="G1108" s="27" t="s">
        <v>2704</v>
      </c>
      <c r="H1108" s="27" t="s">
        <v>40</v>
      </c>
      <c r="I1108" s="28">
        <v>42401.0</v>
      </c>
      <c r="J1108" s="29"/>
      <c r="K1108" s="30">
        <v>44713.0</v>
      </c>
      <c r="L1108" s="31">
        <v>1.0</v>
      </c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ht="14.25" customHeight="1">
      <c r="A1109" s="26" t="s">
        <v>2707</v>
      </c>
      <c r="B1109" s="27" t="s">
        <v>2708</v>
      </c>
      <c r="C1109" s="32"/>
      <c r="D1109" s="27" t="s">
        <v>282</v>
      </c>
      <c r="E1109" s="27" t="s">
        <v>1222</v>
      </c>
      <c r="F1109" s="27" t="s">
        <v>29</v>
      </c>
      <c r="G1109" s="27" t="s">
        <v>586</v>
      </c>
      <c r="H1109" s="27" t="s">
        <v>29</v>
      </c>
      <c r="I1109" s="28">
        <v>42401.0</v>
      </c>
      <c r="J1109" s="29"/>
      <c r="K1109" s="30">
        <v>44713.0</v>
      </c>
      <c r="L1109" s="31">
        <v>1.0</v>
      </c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ht="14.25" customHeight="1">
      <c r="A1110" s="26" t="s">
        <v>2710</v>
      </c>
      <c r="B1110" s="27" t="s">
        <v>503</v>
      </c>
      <c r="C1110" s="27" t="s">
        <v>2711</v>
      </c>
      <c r="D1110" s="27" t="s">
        <v>851</v>
      </c>
      <c r="E1110" s="27" t="s">
        <v>21</v>
      </c>
      <c r="F1110" s="27" t="s">
        <v>90</v>
      </c>
      <c r="G1110" s="27" t="s">
        <v>46</v>
      </c>
      <c r="H1110" s="27" t="s">
        <v>184</v>
      </c>
      <c r="I1110" s="28">
        <v>42887.0</v>
      </c>
      <c r="J1110" s="29"/>
      <c r="K1110" s="30">
        <v>43983.0</v>
      </c>
      <c r="L1110" s="31">
        <v>1.0</v>
      </c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ht="14.25" customHeight="1">
      <c r="A1111" s="26" t="s">
        <v>2714</v>
      </c>
      <c r="B1111" s="27" t="s">
        <v>2715</v>
      </c>
      <c r="C1111" s="27" t="s">
        <v>2716</v>
      </c>
      <c r="D1111" s="27" t="s">
        <v>20</v>
      </c>
      <c r="E1111" s="27" t="s">
        <v>21</v>
      </c>
      <c r="F1111" s="27" t="s">
        <v>380</v>
      </c>
      <c r="G1111" s="32"/>
      <c r="H1111" s="27" t="s">
        <v>24</v>
      </c>
      <c r="I1111" s="28">
        <v>40330.0</v>
      </c>
      <c r="J1111" s="29"/>
      <c r="K1111" s="30">
        <v>45809.0</v>
      </c>
      <c r="L1111" s="31">
        <v>1.0</v>
      </c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ht="14.25" customHeight="1">
      <c r="A1112" s="26" t="s">
        <v>2719</v>
      </c>
      <c r="B1112" s="27" t="s">
        <v>2200</v>
      </c>
      <c r="C1112" s="27" t="s">
        <v>2720</v>
      </c>
      <c r="D1112" s="27" t="s">
        <v>2721</v>
      </c>
      <c r="E1112" s="27" t="s">
        <v>21</v>
      </c>
      <c r="F1112" s="27" t="s">
        <v>380</v>
      </c>
      <c r="G1112" s="32"/>
      <c r="H1112" s="27" t="s">
        <v>24</v>
      </c>
      <c r="I1112" s="28">
        <v>36892.0</v>
      </c>
      <c r="J1112" s="29"/>
      <c r="K1112" s="30">
        <v>45809.0</v>
      </c>
      <c r="L1112" s="31">
        <v>1.0</v>
      </c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ht="14.25" customHeight="1">
      <c r="A1113" s="26" t="s">
        <v>2723</v>
      </c>
      <c r="B1113" s="27" t="s">
        <v>169</v>
      </c>
      <c r="C1113" s="27" t="s">
        <v>2026</v>
      </c>
      <c r="D1113" s="27" t="s">
        <v>78</v>
      </c>
      <c r="E1113" s="27" t="s">
        <v>21</v>
      </c>
      <c r="F1113" s="27" t="s">
        <v>90</v>
      </c>
      <c r="G1113" s="27" t="s">
        <v>23</v>
      </c>
      <c r="H1113" s="27" t="s">
        <v>80</v>
      </c>
      <c r="I1113" s="28">
        <v>43252.0</v>
      </c>
      <c r="J1113" s="29"/>
      <c r="K1113" s="30">
        <v>44348.0</v>
      </c>
      <c r="L1113" s="31">
        <v>1.0</v>
      </c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ht="14.25" customHeight="1">
      <c r="A1114" s="26" t="s">
        <v>2725</v>
      </c>
      <c r="B1114" s="27" t="s">
        <v>375</v>
      </c>
      <c r="C1114" s="32"/>
      <c r="D1114" s="27" t="s">
        <v>27</v>
      </c>
      <c r="E1114" s="27" t="s">
        <v>2726</v>
      </c>
      <c r="F1114" s="27" t="s">
        <v>40</v>
      </c>
      <c r="G1114" s="27" t="s">
        <v>2727</v>
      </c>
      <c r="H1114" s="27" t="s">
        <v>40</v>
      </c>
      <c r="I1114" s="28">
        <v>42401.0</v>
      </c>
      <c r="J1114" s="29"/>
      <c r="K1114" s="30">
        <v>44713.0</v>
      </c>
      <c r="L1114" s="31">
        <v>1.0</v>
      </c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ht="14.25" customHeight="1">
      <c r="A1115" s="26" t="s">
        <v>2728</v>
      </c>
      <c r="B1115" s="27" t="s">
        <v>391</v>
      </c>
      <c r="C1115" s="32"/>
      <c r="D1115" s="27" t="s">
        <v>27</v>
      </c>
      <c r="E1115" s="27" t="s">
        <v>166</v>
      </c>
      <c r="F1115" s="27" t="s">
        <v>29</v>
      </c>
      <c r="G1115" s="27" t="s">
        <v>843</v>
      </c>
      <c r="H1115" s="27" t="s">
        <v>65</v>
      </c>
      <c r="I1115" s="28">
        <v>43136.0</v>
      </c>
      <c r="J1115" s="28">
        <v>44348.0</v>
      </c>
      <c r="K1115" s="30">
        <v>45444.0</v>
      </c>
      <c r="L1115" s="31">
        <v>2.0</v>
      </c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ht="14.25" customHeight="1">
      <c r="A1116" s="26" t="s">
        <v>2731</v>
      </c>
      <c r="B1116" s="27" t="s">
        <v>2732</v>
      </c>
      <c r="C1116" s="27" t="s">
        <v>514</v>
      </c>
      <c r="D1116" s="27" t="s">
        <v>78</v>
      </c>
      <c r="E1116" s="27" t="s">
        <v>21</v>
      </c>
      <c r="F1116" s="27" t="s">
        <v>79</v>
      </c>
      <c r="G1116" s="27" t="s">
        <v>36</v>
      </c>
      <c r="H1116" s="27" t="s">
        <v>244</v>
      </c>
      <c r="I1116" s="28">
        <v>42887.0</v>
      </c>
      <c r="J1116" s="29"/>
      <c r="K1116" s="30">
        <v>43983.0</v>
      </c>
      <c r="L1116" s="31">
        <v>1.0</v>
      </c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ht="14.25" customHeight="1">
      <c r="A1117" s="26" t="s">
        <v>2735</v>
      </c>
      <c r="B1117" s="27" t="s">
        <v>2736</v>
      </c>
      <c r="C1117" s="27" t="s">
        <v>401</v>
      </c>
      <c r="D1117" s="27" t="s">
        <v>44</v>
      </c>
      <c r="E1117" s="27" t="s">
        <v>21</v>
      </c>
      <c r="F1117" s="27" t="s">
        <v>56</v>
      </c>
      <c r="G1117" s="27" t="s">
        <v>46</v>
      </c>
      <c r="H1117" s="27" t="s">
        <v>110</v>
      </c>
      <c r="I1117" s="28">
        <v>43617.0</v>
      </c>
      <c r="J1117" s="29"/>
      <c r="K1117" s="30">
        <v>44713.0</v>
      </c>
      <c r="L1117" s="31">
        <v>1.0</v>
      </c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ht="14.25" customHeight="1">
      <c r="A1118" s="26" t="s">
        <v>2738</v>
      </c>
      <c r="B1118" s="27" t="s">
        <v>18</v>
      </c>
      <c r="C1118" s="27" t="s">
        <v>2446</v>
      </c>
      <c r="D1118" s="27" t="s">
        <v>323</v>
      </c>
      <c r="E1118" s="27" t="s">
        <v>21</v>
      </c>
      <c r="F1118" s="27" t="s">
        <v>99</v>
      </c>
      <c r="G1118" s="27" t="s">
        <v>23</v>
      </c>
      <c r="H1118" s="27" t="s">
        <v>324</v>
      </c>
      <c r="I1118" s="28">
        <v>43252.0</v>
      </c>
      <c r="J1118" s="29"/>
      <c r="K1118" s="30">
        <v>44348.0</v>
      </c>
      <c r="L1118" s="31">
        <v>1.0</v>
      </c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ht="14.25" customHeight="1">
      <c r="A1119" s="26" t="s">
        <v>2739</v>
      </c>
      <c r="B1119" s="27" t="s">
        <v>534</v>
      </c>
      <c r="C1119" s="27" t="s">
        <v>675</v>
      </c>
      <c r="D1119" s="27" t="s">
        <v>130</v>
      </c>
      <c r="E1119" s="27" t="s">
        <v>21</v>
      </c>
      <c r="F1119" s="27" t="s">
        <v>109</v>
      </c>
      <c r="G1119" s="27" t="s">
        <v>23</v>
      </c>
      <c r="H1119" s="27" t="s">
        <v>152</v>
      </c>
      <c r="I1119" s="28">
        <v>43617.0</v>
      </c>
      <c r="J1119" s="29"/>
      <c r="K1119" s="30">
        <v>44713.0</v>
      </c>
      <c r="L1119" s="31">
        <v>1.0</v>
      </c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ht="14.25" customHeight="1">
      <c r="A1120" s="33" t="s">
        <v>2742</v>
      </c>
      <c r="B1120" s="34" t="s">
        <v>116</v>
      </c>
      <c r="C1120" s="35"/>
      <c r="D1120" s="34" t="s">
        <v>27</v>
      </c>
      <c r="E1120" s="34" t="s">
        <v>39</v>
      </c>
      <c r="F1120" s="34" t="s">
        <v>40</v>
      </c>
      <c r="G1120" s="34" t="s">
        <v>2142</v>
      </c>
      <c r="H1120" s="34" t="s">
        <v>40</v>
      </c>
      <c r="I1120" s="30">
        <v>43132.0</v>
      </c>
      <c r="J1120" s="30">
        <v>44348.0</v>
      </c>
      <c r="K1120" s="30">
        <v>45444.0</v>
      </c>
      <c r="L1120" s="31">
        <v>2.0</v>
      </c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ht="14.25" customHeight="1">
      <c r="A1121" s="26" t="s">
        <v>2745</v>
      </c>
      <c r="B1121" s="27" t="s">
        <v>2747</v>
      </c>
      <c r="C1121" s="27" t="s">
        <v>2748</v>
      </c>
      <c r="D1121" s="27" t="s">
        <v>27</v>
      </c>
      <c r="E1121" s="27" t="s">
        <v>706</v>
      </c>
      <c r="F1121" s="27" t="s">
        <v>642</v>
      </c>
      <c r="G1121" s="27" t="s">
        <v>46</v>
      </c>
      <c r="H1121" s="27" t="s">
        <v>287</v>
      </c>
      <c r="I1121" s="28">
        <v>42887.0</v>
      </c>
      <c r="J1121" s="29"/>
      <c r="K1121" s="30">
        <v>43983.0</v>
      </c>
      <c r="L1121" s="31">
        <v>1.0</v>
      </c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ht="14.25" customHeight="1">
      <c r="A1122" s="26" t="s">
        <v>2750</v>
      </c>
      <c r="B1122" s="27" t="s">
        <v>150</v>
      </c>
      <c r="C1122" s="27" t="s">
        <v>2754</v>
      </c>
      <c r="D1122" s="27" t="s">
        <v>94</v>
      </c>
      <c r="E1122" s="27" t="s">
        <v>21</v>
      </c>
      <c r="F1122" s="27" t="s">
        <v>45</v>
      </c>
      <c r="G1122" s="27" t="s">
        <v>137</v>
      </c>
      <c r="H1122" s="27" t="s">
        <v>135</v>
      </c>
      <c r="I1122" s="28">
        <v>43252.0</v>
      </c>
      <c r="J1122" s="28">
        <v>44348.0</v>
      </c>
      <c r="K1122" s="30">
        <v>45444.0</v>
      </c>
      <c r="L1122" s="31">
        <v>2.0</v>
      </c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ht="14.25" customHeight="1">
      <c r="A1123" s="26" t="s">
        <v>2755</v>
      </c>
      <c r="B1123" s="27" t="s">
        <v>150</v>
      </c>
      <c r="C1123" s="32"/>
      <c r="D1123" s="27" t="s">
        <v>27</v>
      </c>
      <c r="E1123" s="27" t="s">
        <v>39</v>
      </c>
      <c r="F1123" s="27" t="s">
        <v>40</v>
      </c>
      <c r="G1123" s="27" t="s">
        <v>497</v>
      </c>
      <c r="H1123" s="27" t="s">
        <v>40</v>
      </c>
      <c r="I1123" s="28">
        <v>42401.0</v>
      </c>
      <c r="J1123" s="29"/>
      <c r="K1123" s="30">
        <v>44713.0</v>
      </c>
      <c r="L1123" s="31">
        <v>1.0</v>
      </c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ht="14.25" customHeight="1">
      <c r="A1124" s="26" t="s">
        <v>2757</v>
      </c>
      <c r="B1124" s="27" t="s">
        <v>2759</v>
      </c>
      <c r="C1124" s="27" t="s">
        <v>2760</v>
      </c>
      <c r="D1124" s="27" t="s">
        <v>78</v>
      </c>
      <c r="E1124" s="27" t="s">
        <v>21</v>
      </c>
      <c r="F1124" s="27" t="s">
        <v>90</v>
      </c>
      <c r="G1124" s="27" t="s">
        <v>46</v>
      </c>
      <c r="H1124" s="27" t="s">
        <v>244</v>
      </c>
      <c r="I1124" s="28">
        <v>42887.0</v>
      </c>
      <c r="J1124" s="29"/>
      <c r="K1124" s="30">
        <v>43983.0</v>
      </c>
      <c r="L1124" s="31">
        <v>1.0</v>
      </c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ht="14.25" customHeight="1">
      <c r="A1125" s="26" t="s">
        <v>2761</v>
      </c>
      <c r="B1125" s="27" t="s">
        <v>647</v>
      </c>
      <c r="C1125" s="27" t="s">
        <v>2763</v>
      </c>
      <c r="D1125" s="27" t="s">
        <v>108</v>
      </c>
      <c r="E1125" s="27" t="s">
        <v>21</v>
      </c>
      <c r="F1125" s="27" t="s">
        <v>179</v>
      </c>
      <c r="G1125" s="27" t="s">
        <v>23</v>
      </c>
      <c r="H1125" s="27" t="s">
        <v>126</v>
      </c>
      <c r="I1125" s="28">
        <v>43617.0</v>
      </c>
      <c r="J1125" s="29"/>
      <c r="K1125" s="30">
        <v>44713.0</v>
      </c>
      <c r="L1125" s="31">
        <v>1.0</v>
      </c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ht="14.25" customHeight="1">
      <c r="A1126" s="26" t="s">
        <v>2761</v>
      </c>
      <c r="B1126" s="27" t="s">
        <v>2765</v>
      </c>
      <c r="C1126" s="27" t="s">
        <v>1192</v>
      </c>
      <c r="D1126" s="27" t="s">
        <v>1193</v>
      </c>
      <c r="E1126" s="27" t="s">
        <v>21</v>
      </c>
      <c r="F1126" s="27" t="s">
        <v>205</v>
      </c>
      <c r="G1126" s="27" t="s">
        <v>46</v>
      </c>
      <c r="H1126" s="27" t="s">
        <v>24</v>
      </c>
      <c r="I1126" s="28">
        <v>42887.0</v>
      </c>
      <c r="J1126" s="28">
        <v>43983.0</v>
      </c>
      <c r="K1126" s="30">
        <v>45078.0</v>
      </c>
      <c r="L1126" s="31">
        <v>2.0</v>
      </c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ht="14.25" customHeight="1">
      <c r="A1127" s="33" t="s">
        <v>2766</v>
      </c>
      <c r="B1127" s="34" t="s">
        <v>647</v>
      </c>
      <c r="C1127" s="34" t="s">
        <v>2768</v>
      </c>
      <c r="D1127" s="34" t="s">
        <v>108</v>
      </c>
      <c r="E1127" s="34" t="s">
        <v>21</v>
      </c>
      <c r="F1127" s="34" t="s">
        <v>79</v>
      </c>
      <c r="G1127" s="34" t="s">
        <v>46</v>
      </c>
      <c r="H1127" s="34" t="s">
        <v>211</v>
      </c>
      <c r="I1127" s="28">
        <v>43252.0</v>
      </c>
      <c r="J1127" s="29"/>
      <c r="K1127" s="30">
        <v>44348.0</v>
      </c>
      <c r="L1127" s="31">
        <v>1.0</v>
      </c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ht="14.25" customHeight="1">
      <c r="A1128" s="26" t="s">
        <v>2770</v>
      </c>
      <c r="B1128" s="27" t="s">
        <v>169</v>
      </c>
      <c r="C1128" s="32"/>
      <c r="D1128" s="27" t="s">
        <v>27</v>
      </c>
      <c r="E1128" s="27" t="s">
        <v>21</v>
      </c>
      <c r="F1128" s="27" t="s">
        <v>155</v>
      </c>
      <c r="G1128" s="27" t="s">
        <v>1026</v>
      </c>
      <c r="H1128" s="27" t="s">
        <v>155</v>
      </c>
      <c r="I1128" s="28">
        <v>43132.0</v>
      </c>
      <c r="J1128" s="28">
        <v>44348.0</v>
      </c>
      <c r="K1128" s="30">
        <v>45444.0</v>
      </c>
      <c r="L1128" s="31">
        <v>2.0</v>
      </c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ht="14.25" customHeight="1">
      <c r="A1129" s="26" t="s">
        <v>2773</v>
      </c>
      <c r="B1129" s="27" t="s">
        <v>145</v>
      </c>
      <c r="C1129" s="27" t="s">
        <v>2716</v>
      </c>
      <c r="D1129" s="27" t="s">
        <v>20</v>
      </c>
      <c r="E1129" s="27" t="s">
        <v>21</v>
      </c>
      <c r="F1129" s="27" t="s">
        <v>1453</v>
      </c>
      <c r="G1129" s="27" t="s">
        <v>46</v>
      </c>
      <c r="H1129" s="27" t="s">
        <v>344</v>
      </c>
      <c r="I1129" s="28">
        <v>42887.0</v>
      </c>
      <c r="J1129" s="29"/>
      <c r="K1129" s="30">
        <v>43983.0</v>
      </c>
      <c r="L1129" s="31">
        <v>1.0</v>
      </c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ht="14.25" customHeight="1">
      <c r="A1130" s="26" t="s">
        <v>2775</v>
      </c>
      <c r="B1130" s="27" t="s">
        <v>2776</v>
      </c>
      <c r="C1130" s="32"/>
      <c r="D1130" s="27" t="s">
        <v>27</v>
      </c>
      <c r="E1130" s="27" t="s">
        <v>21</v>
      </c>
      <c r="F1130" s="27" t="s">
        <v>155</v>
      </c>
      <c r="G1130" s="27" t="s">
        <v>797</v>
      </c>
      <c r="H1130" s="27" t="s">
        <v>155</v>
      </c>
      <c r="I1130" s="28">
        <v>43132.0</v>
      </c>
      <c r="J1130" s="28">
        <v>44348.0</v>
      </c>
      <c r="K1130" s="30">
        <v>45444.0</v>
      </c>
      <c r="L1130" s="31">
        <v>2.0</v>
      </c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ht="14.25" customHeight="1">
      <c r="A1131" s="26" t="s">
        <v>2778</v>
      </c>
      <c r="B1131" s="27" t="s">
        <v>1445</v>
      </c>
      <c r="C1131" s="27" t="s">
        <v>634</v>
      </c>
      <c r="D1131" s="27" t="s">
        <v>143</v>
      </c>
      <c r="E1131" s="27" t="s">
        <v>21</v>
      </c>
      <c r="F1131" s="27" t="s">
        <v>99</v>
      </c>
      <c r="G1131" s="27" t="s">
        <v>46</v>
      </c>
      <c r="H1131" s="27" t="s">
        <v>795</v>
      </c>
      <c r="I1131" s="28">
        <v>43252.0</v>
      </c>
      <c r="J1131" s="29"/>
      <c r="K1131" s="30">
        <v>44348.0</v>
      </c>
      <c r="L1131" s="31">
        <v>1.0</v>
      </c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ht="14.25" customHeight="1">
      <c r="A1132" s="26" t="s">
        <v>2782</v>
      </c>
      <c r="B1132" s="27" t="s">
        <v>2783</v>
      </c>
      <c r="C1132" s="27" t="s">
        <v>2784</v>
      </c>
      <c r="D1132" s="27" t="s">
        <v>108</v>
      </c>
      <c r="E1132" s="27" t="s">
        <v>21</v>
      </c>
      <c r="F1132" s="27" t="s">
        <v>79</v>
      </c>
      <c r="G1132" s="27" t="s">
        <v>46</v>
      </c>
      <c r="H1132" s="27" t="s">
        <v>211</v>
      </c>
      <c r="I1132" s="28">
        <v>43252.0</v>
      </c>
      <c r="J1132" s="29"/>
      <c r="K1132" s="30">
        <v>44348.0</v>
      </c>
      <c r="L1132" s="31">
        <v>1.0</v>
      </c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ht="14.25" customHeight="1">
      <c r="A1133" s="26" t="s">
        <v>2786</v>
      </c>
      <c r="B1133" s="27" t="s">
        <v>245</v>
      </c>
      <c r="C1133" s="27" t="s">
        <v>2787</v>
      </c>
      <c r="D1133" s="27" t="s">
        <v>108</v>
      </c>
      <c r="E1133" s="27" t="s">
        <v>21</v>
      </c>
      <c r="F1133" s="27" t="s">
        <v>90</v>
      </c>
      <c r="G1133" s="27" t="s">
        <v>23</v>
      </c>
      <c r="H1133" s="27" t="s">
        <v>211</v>
      </c>
      <c r="I1133" s="28">
        <v>43252.0</v>
      </c>
      <c r="J1133" s="29"/>
      <c r="K1133" s="30">
        <v>44348.0</v>
      </c>
      <c r="L1133" s="31">
        <v>1.0</v>
      </c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ht="14.25" customHeight="1">
      <c r="A1134" s="26" t="s">
        <v>2790</v>
      </c>
      <c r="B1134" s="27" t="s">
        <v>269</v>
      </c>
      <c r="C1134" s="32"/>
      <c r="D1134" s="32"/>
      <c r="E1134" s="27" t="s">
        <v>70</v>
      </c>
      <c r="F1134" s="27" t="s">
        <v>45</v>
      </c>
      <c r="G1134" s="27" t="s">
        <v>36</v>
      </c>
      <c r="H1134" s="27" t="s">
        <v>1260</v>
      </c>
      <c r="I1134" s="28">
        <v>43252.0</v>
      </c>
      <c r="J1134" s="28">
        <v>44348.0</v>
      </c>
      <c r="K1134" s="30">
        <v>45444.0</v>
      </c>
      <c r="L1134" s="31">
        <v>2.0</v>
      </c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ht="14.25" customHeight="1">
      <c r="A1135" s="26" t="s">
        <v>2792</v>
      </c>
      <c r="B1135" s="27" t="s">
        <v>2793</v>
      </c>
      <c r="C1135" s="32"/>
      <c r="D1135" s="27" t="s">
        <v>27</v>
      </c>
      <c r="E1135" s="27" t="s">
        <v>930</v>
      </c>
      <c r="F1135" s="27" t="s">
        <v>29</v>
      </c>
      <c r="G1135" s="27" t="s">
        <v>1431</v>
      </c>
      <c r="H1135" s="27" t="s">
        <v>65</v>
      </c>
      <c r="I1135" s="28">
        <v>43136.0</v>
      </c>
      <c r="J1135" s="28">
        <v>44348.0</v>
      </c>
      <c r="K1135" s="30">
        <v>45444.0</v>
      </c>
      <c r="L1135" s="31">
        <v>2.0</v>
      </c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ht="14.25" customHeight="1">
      <c r="A1136" s="26" t="s">
        <v>2795</v>
      </c>
      <c r="B1136" s="27" t="s">
        <v>32</v>
      </c>
      <c r="C1136" s="27" t="s">
        <v>2796</v>
      </c>
      <c r="D1136" s="27" t="s">
        <v>34</v>
      </c>
      <c r="E1136" s="27" t="s">
        <v>21</v>
      </c>
      <c r="F1136" s="27" t="s">
        <v>79</v>
      </c>
      <c r="G1136" s="27" t="s">
        <v>23</v>
      </c>
      <c r="H1136" s="27" t="s">
        <v>295</v>
      </c>
      <c r="I1136" s="28">
        <v>43252.0</v>
      </c>
      <c r="J1136" s="29"/>
      <c r="K1136" s="30">
        <v>44348.0</v>
      </c>
      <c r="L1136" s="31">
        <v>1.0</v>
      </c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ht="14.25" customHeight="1">
      <c r="A1137" s="26" t="s">
        <v>2798</v>
      </c>
      <c r="B1137" s="27" t="s">
        <v>1324</v>
      </c>
      <c r="C1137" s="32"/>
      <c r="D1137" s="27" t="s">
        <v>27</v>
      </c>
      <c r="E1137" s="27" t="s">
        <v>285</v>
      </c>
      <c r="F1137" s="27" t="s">
        <v>40</v>
      </c>
      <c r="G1137" s="27" t="s">
        <v>432</v>
      </c>
      <c r="H1137" s="27" t="s">
        <v>40</v>
      </c>
      <c r="I1137" s="28">
        <v>43132.0</v>
      </c>
      <c r="J1137" s="28">
        <v>44348.0</v>
      </c>
      <c r="K1137" s="30">
        <v>45444.0</v>
      </c>
      <c r="L1137" s="31">
        <v>2.0</v>
      </c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ht="14.25" customHeight="1">
      <c r="A1138" s="26" t="s">
        <v>2801</v>
      </c>
      <c r="B1138" s="27" t="s">
        <v>1678</v>
      </c>
      <c r="C1138" s="32"/>
      <c r="D1138" s="27" t="s">
        <v>27</v>
      </c>
      <c r="E1138" s="27" t="s">
        <v>21</v>
      </c>
      <c r="F1138" s="27" t="s">
        <v>103</v>
      </c>
      <c r="G1138" s="27" t="s">
        <v>291</v>
      </c>
      <c r="H1138" s="27" t="s">
        <v>103</v>
      </c>
      <c r="I1138" s="28">
        <v>42401.0</v>
      </c>
      <c r="J1138" s="29"/>
      <c r="K1138" s="30">
        <v>44713.0</v>
      </c>
      <c r="L1138" s="31">
        <v>1.0</v>
      </c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ht="14.25" customHeight="1">
      <c r="A1139" s="26" t="s">
        <v>2801</v>
      </c>
      <c r="B1139" s="27" t="s">
        <v>987</v>
      </c>
      <c r="C1139" s="27" t="s">
        <v>2805</v>
      </c>
      <c r="D1139" s="27" t="s">
        <v>851</v>
      </c>
      <c r="E1139" s="27" t="s">
        <v>21</v>
      </c>
      <c r="F1139" s="27" t="s">
        <v>471</v>
      </c>
      <c r="G1139" s="27" t="s">
        <v>1273</v>
      </c>
      <c r="H1139" s="27" t="s">
        <v>207</v>
      </c>
      <c r="I1139" s="28">
        <v>42887.0</v>
      </c>
      <c r="J1139" s="28">
        <v>43983.0</v>
      </c>
      <c r="K1139" s="30">
        <v>45078.0</v>
      </c>
      <c r="L1139" s="31">
        <v>2.0</v>
      </c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ht="14.25" customHeight="1">
      <c r="A1140" s="26" t="s">
        <v>2809</v>
      </c>
      <c r="B1140" s="27" t="s">
        <v>1155</v>
      </c>
      <c r="C1140" s="27" t="s">
        <v>2810</v>
      </c>
      <c r="D1140" s="27" t="s">
        <v>222</v>
      </c>
      <c r="E1140" s="27" t="s">
        <v>21</v>
      </c>
      <c r="F1140" s="27" t="s">
        <v>79</v>
      </c>
      <c r="G1140" s="27" t="s">
        <v>36</v>
      </c>
      <c r="H1140" s="27" t="s">
        <v>339</v>
      </c>
      <c r="I1140" s="28">
        <v>43252.0</v>
      </c>
      <c r="J1140" s="29"/>
      <c r="K1140" s="30">
        <v>44348.0</v>
      </c>
      <c r="L1140" s="31">
        <v>1.0</v>
      </c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ht="14.25" customHeight="1">
      <c r="A1141" s="26" t="s">
        <v>2814</v>
      </c>
      <c r="B1141" s="27" t="s">
        <v>963</v>
      </c>
      <c r="C1141" s="32"/>
      <c r="D1141" s="27" t="s">
        <v>27</v>
      </c>
      <c r="E1141" s="27" t="s">
        <v>39</v>
      </c>
      <c r="F1141" s="27" t="s">
        <v>40</v>
      </c>
      <c r="G1141" s="27" t="s">
        <v>1613</v>
      </c>
      <c r="H1141" s="27" t="s">
        <v>40</v>
      </c>
      <c r="I1141" s="28">
        <v>43132.0</v>
      </c>
      <c r="J1141" s="28">
        <v>44348.0</v>
      </c>
      <c r="K1141" s="30">
        <v>45444.0</v>
      </c>
      <c r="L1141" s="31">
        <v>2.0</v>
      </c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ht="14.25" customHeight="1">
      <c r="A1142" s="26" t="s">
        <v>2814</v>
      </c>
      <c r="B1142" s="27" t="s">
        <v>654</v>
      </c>
      <c r="C1142" s="32"/>
      <c r="D1142" s="27" t="s">
        <v>27</v>
      </c>
      <c r="E1142" s="27" t="s">
        <v>487</v>
      </c>
      <c r="F1142" s="27" t="s">
        <v>40</v>
      </c>
      <c r="G1142" s="27" t="s">
        <v>261</v>
      </c>
      <c r="H1142" s="27" t="s">
        <v>40</v>
      </c>
      <c r="I1142" s="28">
        <v>43132.0</v>
      </c>
      <c r="J1142" s="28">
        <v>44348.0</v>
      </c>
      <c r="K1142" s="30">
        <v>45444.0</v>
      </c>
      <c r="L1142" s="31">
        <v>2.0</v>
      </c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ht="14.25" customHeight="1">
      <c r="A1143" s="26" t="s">
        <v>2818</v>
      </c>
      <c r="B1143" s="27" t="s">
        <v>2819</v>
      </c>
      <c r="C1143" s="32"/>
      <c r="D1143" s="27" t="s">
        <v>27</v>
      </c>
      <c r="E1143" s="27" t="s">
        <v>585</v>
      </c>
      <c r="F1143" s="27" t="s">
        <v>29</v>
      </c>
      <c r="G1143" s="27" t="s">
        <v>432</v>
      </c>
      <c r="H1143" s="27" t="s">
        <v>65</v>
      </c>
      <c r="I1143" s="28">
        <v>43136.0</v>
      </c>
      <c r="J1143" s="28">
        <v>44348.0</v>
      </c>
      <c r="K1143" s="30">
        <v>45444.0</v>
      </c>
      <c r="L1143" s="31">
        <v>2.0</v>
      </c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ht="14.25" customHeight="1">
      <c r="A1144" s="26" t="s">
        <v>2821</v>
      </c>
      <c r="B1144" s="27" t="s">
        <v>534</v>
      </c>
      <c r="C1144" s="27" t="s">
        <v>996</v>
      </c>
      <c r="D1144" s="27" t="s">
        <v>130</v>
      </c>
      <c r="E1144" s="27" t="s">
        <v>21</v>
      </c>
      <c r="F1144" s="27" t="s">
        <v>71</v>
      </c>
      <c r="G1144" s="27" t="s">
        <v>36</v>
      </c>
      <c r="H1144" s="27" t="s">
        <v>152</v>
      </c>
      <c r="I1144" s="28">
        <v>43617.0</v>
      </c>
      <c r="J1144" s="29"/>
      <c r="K1144" s="30">
        <v>44713.0</v>
      </c>
      <c r="L1144" s="31">
        <v>1.0</v>
      </c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ht="14.25" customHeight="1">
      <c r="A1145" s="26" t="s">
        <v>2824</v>
      </c>
      <c r="B1145" s="27" t="s">
        <v>169</v>
      </c>
      <c r="C1145" s="27" t="s">
        <v>994</v>
      </c>
      <c r="D1145" s="27" t="s">
        <v>222</v>
      </c>
      <c r="E1145" s="27" t="s">
        <v>21</v>
      </c>
      <c r="F1145" s="27" t="s">
        <v>56</v>
      </c>
      <c r="G1145" s="27" t="s">
        <v>46</v>
      </c>
      <c r="H1145" s="27" t="s">
        <v>241</v>
      </c>
      <c r="I1145" s="28">
        <v>43617.0</v>
      </c>
      <c r="J1145" s="29"/>
      <c r="K1145" s="30">
        <v>44713.0</v>
      </c>
      <c r="L1145" s="31">
        <v>1.0</v>
      </c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ht="14.25" customHeight="1">
      <c r="A1146" s="26" t="s">
        <v>2827</v>
      </c>
      <c r="B1146" s="27" t="s">
        <v>2828</v>
      </c>
      <c r="C1146" s="32"/>
      <c r="D1146" s="27" t="s">
        <v>27</v>
      </c>
      <c r="E1146" s="27" t="s">
        <v>585</v>
      </c>
      <c r="F1146" s="27" t="s">
        <v>29</v>
      </c>
      <c r="G1146" s="27" t="s">
        <v>2829</v>
      </c>
      <c r="H1146" s="27" t="s">
        <v>29</v>
      </c>
      <c r="I1146" s="28">
        <v>42401.0</v>
      </c>
      <c r="J1146" s="29"/>
      <c r="K1146" s="30">
        <v>44713.0</v>
      </c>
      <c r="L1146" s="31">
        <v>1.0</v>
      </c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ht="14.25" customHeight="1">
      <c r="A1147" s="26" t="s">
        <v>2830</v>
      </c>
      <c r="B1147" s="27" t="s">
        <v>18</v>
      </c>
      <c r="C1147" s="27" t="s">
        <v>98</v>
      </c>
      <c r="D1147" s="27" t="s">
        <v>44</v>
      </c>
      <c r="E1147" s="27" t="s">
        <v>21</v>
      </c>
      <c r="F1147" s="27" t="s">
        <v>56</v>
      </c>
      <c r="G1147" s="27" t="s">
        <v>46</v>
      </c>
      <c r="H1147" s="27" t="s">
        <v>171</v>
      </c>
      <c r="I1147" s="28">
        <v>43617.0</v>
      </c>
      <c r="J1147" s="29"/>
      <c r="K1147" s="30">
        <v>44713.0</v>
      </c>
      <c r="L1147" s="31">
        <v>1.0</v>
      </c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ht="14.25" customHeight="1">
      <c r="A1148" s="26" t="s">
        <v>2831</v>
      </c>
      <c r="B1148" s="27" t="s">
        <v>2832</v>
      </c>
      <c r="C1148" s="27" t="s">
        <v>2834</v>
      </c>
      <c r="D1148" s="27" t="s">
        <v>317</v>
      </c>
      <c r="E1148" s="27" t="s">
        <v>21</v>
      </c>
      <c r="F1148" s="27" t="s">
        <v>45</v>
      </c>
      <c r="G1148" s="27" t="s">
        <v>23</v>
      </c>
      <c r="H1148" s="27" t="s">
        <v>689</v>
      </c>
      <c r="I1148" s="28">
        <v>42887.0</v>
      </c>
      <c r="J1148" s="29"/>
      <c r="K1148" s="30">
        <v>43983.0</v>
      </c>
      <c r="L1148" s="31">
        <v>1.0</v>
      </c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ht="14.25" customHeight="1">
      <c r="A1149" s="26" t="s">
        <v>2831</v>
      </c>
      <c r="B1149" s="27" t="s">
        <v>966</v>
      </c>
      <c r="C1149" s="27" t="s">
        <v>2837</v>
      </c>
      <c r="D1149" s="27" t="s">
        <v>282</v>
      </c>
      <c r="E1149" s="27" t="s">
        <v>21</v>
      </c>
      <c r="F1149" s="27" t="s">
        <v>56</v>
      </c>
      <c r="G1149" s="27" t="s">
        <v>36</v>
      </c>
      <c r="H1149" s="27" t="s">
        <v>397</v>
      </c>
      <c r="I1149" s="28">
        <v>43617.0</v>
      </c>
      <c r="J1149" s="29"/>
      <c r="K1149" s="30">
        <v>44713.0</v>
      </c>
      <c r="L1149" s="31">
        <v>1.0</v>
      </c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ht="14.25" customHeight="1">
      <c r="A1150" s="26" t="s">
        <v>2831</v>
      </c>
      <c r="B1150" s="27" t="s">
        <v>269</v>
      </c>
      <c r="C1150" s="32"/>
      <c r="D1150" s="27" t="s">
        <v>27</v>
      </c>
      <c r="E1150" s="27" t="s">
        <v>39</v>
      </c>
      <c r="F1150" s="27" t="s">
        <v>40</v>
      </c>
      <c r="G1150" s="27" t="s">
        <v>979</v>
      </c>
      <c r="H1150" s="27" t="s">
        <v>40</v>
      </c>
      <c r="I1150" s="28">
        <v>43132.0</v>
      </c>
      <c r="J1150" s="28">
        <v>44348.0</v>
      </c>
      <c r="K1150" s="30">
        <v>45444.0</v>
      </c>
      <c r="L1150" s="31">
        <v>2.0</v>
      </c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ht="14.25" customHeight="1">
      <c r="A1151" s="26" t="s">
        <v>2840</v>
      </c>
      <c r="B1151" s="27" t="s">
        <v>275</v>
      </c>
      <c r="C1151" s="27" t="s">
        <v>994</v>
      </c>
      <c r="D1151" s="27" t="s">
        <v>78</v>
      </c>
      <c r="E1151" s="27" t="s">
        <v>21</v>
      </c>
      <c r="F1151" s="27" t="s">
        <v>364</v>
      </c>
      <c r="G1151" s="27" t="s">
        <v>23</v>
      </c>
      <c r="H1151" s="27" t="s">
        <v>251</v>
      </c>
      <c r="I1151" s="28">
        <v>43617.0</v>
      </c>
      <c r="J1151" s="29"/>
      <c r="K1151" s="30">
        <v>44713.0</v>
      </c>
      <c r="L1151" s="31">
        <v>1.0</v>
      </c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ht="14.25" customHeight="1">
      <c r="A1152" s="26" t="s">
        <v>2843</v>
      </c>
      <c r="B1152" s="27" t="s">
        <v>493</v>
      </c>
      <c r="C1152" s="27" t="s">
        <v>1237</v>
      </c>
      <c r="D1152" s="27" t="s">
        <v>143</v>
      </c>
      <c r="E1152" s="27" t="s">
        <v>21</v>
      </c>
      <c r="F1152" s="27" t="s">
        <v>79</v>
      </c>
      <c r="G1152" s="27" t="s">
        <v>46</v>
      </c>
      <c r="H1152" s="27" t="s">
        <v>795</v>
      </c>
      <c r="I1152" s="28">
        <v>43252.0</v>
      </c>
      <c r="J1152" s="29"/>
      <c r="K1152" s="30">
        <v>44348.0</v>
      </c>
      <c r="L1152" s="31">
        <v>1.0</v>
      </c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ht="14.25" customHeight="1">
      <c r="A1153" s="26" t="s">
        <v>2845</v>
      </c>
      <c r="B1153" s="27" t="s">
        <v>1808</v>
      </c>
      <c r="C1153" s="27" t="s">
        <v>2848</v>
      </c>
      <c r="D1153" s="27" t="s">
        <v>44</v>
      </c>
      <c r="E1153" s="27" t="s">
        <v>21</v>
      </c>
      <c r="F1153" s="27" t="s">
        <v>56</v>
      </c>
      <c r="G1153" s="27" t="s">
        <v>46</v>
      </c>
      <c r="H1153" s="27" t="s">
        <v>110</v>
      </c>
      <c r="I1153" s="28">
        <v>43617.0</v>
      </c>
      <c r="J1153" s="29"/>
      <c r="K1153" s="30">
        <v>44713.0</v>
      </c>
      <c r="L1153" s="31">
        <v>1.0</v>
      </c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ht="14.25" customHeight="1">
      <c r="A1154" s="26" t="s">
        <v>2849</v>
      </c>
      <c r="B1154" s="27" t="s">
        <v>517</v>
      </c>
      <c r="C1154" s="32"/>
      <c r="D1154" s="27" t="s">
        <v>27</v>
      </c>
      <c r="E1154" s="27" t="s">
        <v>70</v>
      </c>
      <c r="F1154" s="27" t="s">
        <v>370</v>
      </c>
      <c r="G1154" s="27" t="s">
        <v>436</v>
      </c>
      <c r="H1154" s="27" t="s">
        <v>24</v>
      </c>
      <c r="I1154" s="28">
        <v>43132.0</v>
      </c>
      <c r="J1154" s="28">
        <v>44348.0</v>
      </c>
      <c r="K1154" s="30">
        <v>45444.0</v>
      </c>
      <c r="L1154" s="31">
        <v>2.0</v>
      </c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ht="14.25" customHeight="1">
      <c r="A1155" s="26" t="s">
        <v>2849</v>
      </c>
      <c r="B1155" s="27" t="s">
        <v>1122</v>
      </c>
      <c r="C1155" s="32"/>
      <c r="D1155" s="27" t="s">
        <v>27</v>
      </c>
      <c r="E1155" s="27" t="s">
        <v>39</v>
      </c>
      <c r="F1155" s="27" t="s">
        <v>40</v>
      </c>
      <c r="G1155" s="27" t="s">
        <v>1645</v>
      </c>
      <c r="H1155" s="27" t="s">
        <v>40</v>
      </c>
      <c r="I1155" s="28">
        <v>43132.0</v>
      </c>
      <c r="J1155" s="28">
        <v>44348.0</v>
      </c>
      <c r="K1155" s="30">
        <v>45444.0</v>
      </c>
      <c r="L1155" s="31">
        <v>2.0</v>
      </c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ht="14.25" customHeight="1">
      <c r="A1156" s="26" t="s">
        <v>2849</v>
      </c>
      <c r="B1156" s="27" t="s">
        <v>145</v>
      </c>
      <c r="C1156" s="27" t="s">
        <v>2853</v>
      </c>
      <c r="D1156" s="27" t="s">
        <v>282</v>
      </c>
      <c r="E1156" s="27" t="s">
        <v>21</v>
      </c>
      <c r="F1156" s="27" t="s">
        <v>367</v>
      </c>
      <c r="G1156" s="27" t="s">
        <v>137</v>
      </c>
      <c r="H1156" s="27" t="s">
        <v>149</v>
      </c>
      <c r="I1156" s="28">
        <v>42522.0</v>
      </c>
      <c r="J1156" s="29"/>
      <c r="K1156" s="30">
        <v>44713.0</v>
      </c>
      <c r="L1156" s="31">
        <v>1.0</v>
      </c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ht="14.25" customHeight="1">
      <c r="A1157" s="26" t="s">
        <v>2849</v>
      </c>
      <c r="B1157" s="27" t="s">
        <v>1050</v>
      </c>
      <c r="C1157" s="27" t="s">
        <v>1186</v>
      </c>
      <c r="D1157" s="27" t="s">
        <v>323</v>
      </c>
      <c r="E1157" s="27" t="s">
        <v>21</v>
      </c>
      <c r="F1157" s="27" t="s">
        <v>383</v>
      </c>
      <c r="G1157" s="27" t="s">
        <v>46</v>
      </c>
      <c r="H1157" s="27" t="s">
        <v>57</v>
      </c>
      <c r="I1157" s="28">
        <v>43617.0</v>
      </c>
      <c r="J1157" s="29"/>
      <c r="K1157" s="30">
        <v>44713.0</v>
      </c>
      <c r="L1157" s="31">
        <v>1.0</v>
      </c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ht="14.25" customHeight="1">
      <c r="A1158" s="26" t="s">
        <v>2858</v>
      </c>
      <c r="B1158" s="27" t="s">
        <v>2282</v>
      </c>
      <c r="C1158" s="32"/>
      <c r="D1158" s="27" t="s">
        <v>27</v>
      </c>
      <c r="E1158" s="27" t="s">
        <v>139</v>
      </c>
      <c r="F1158" s="27" t="s">
        <v>40</v>
      </c>
      <c r="G1158" s="27" t="s">
        <v>1203</v>
      </c>
      <c r="H1158" s="27" t="s">
        <v>40</v>
      </c>
      <c r="I1158" s="28">
        <v>43132.0</v>
      </c>
      <c r="J1158" s="28">
        <v>44348.0</v>
      </c>
      <c r="K1158" s="30">
        <v>45444.0</v>
      </c>
      <c r="L1158" s="31">
        <v>2.0</v>
      </c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ht="14.25" customHeight="1">
      <c r="A1159" s="26" t="s">
        <v>2860</v>
      </c>
      <c r="B1159" s="27" t="s">
        <v>677</v>
      </c>
      <c r="C1159" s="32"/>
      <c r="D1159" s="27" t="s">
        <v>130</v>
      </c>
      <c r="E1159" s="27" t="s">
        <v>21</v>
      </c>
      <c r="F1159" s="27" t="s">
        <v>155</v>
      </c>
      <c r="G1159" s="27" t="s">
        <v>1026</v>
      </c>
      <c r="H1159" s="27" t="s">
        <v>24</v>
      </c>
      <c r="I1159" s="28">
        <v>43132.0</v>
      </c>
      <c r="J1159" s="28">
        <v>44348.0</v>
      </c>
      <c r="K1159" s="30">
        <v>45444.0</v>
      </c>
      <c r="L1159" s="31">
        <v>2.0</v>
      </c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ht="14.25" customHeight="1">
      <c r="A1160" s="26" t="s">
        <v>2861</v>
      </c>
      <c r="B1160" s="27" t="s">
        <v>227</v>
      </c>
      <c r="C1160" s="27" t="s">
        <v>1492</v>
      </c>
      <c r="D1160" s="27" t="s">
        <v>20</v>
      </c>
      <c r="E1160" s="27" t="s">
        <v>21</v>
      </c>
      <c r="F1160" s="27" t="s">
        <v>95</v>
      </c>
      <c r="G1160" s="27" t="s">
        <v>36</v>
      </c>
      <c r="H1160" s="27" t="s">
        <v>152</v>
      </c>
      <c r="I1160" s="28">
        <v>43617.0</v>
      </c>
      <c r="J1160" s="29"/>
      <c r="K1160" s="30">
        <v>44713.0</v>
      </c>
      <c r="L1160" s="31">
        <v>1.0</v>
      </c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ht="14.25" customHeight="1">
      <c r="A1161" s="26" t="s">
        <v>2864</v>
      </c>
      <c r="B1161" s="27" t="s">
        <v>413</v>
      </c>
      <c r="C1161" s="27" t="s">
        <v>2865</v>
      </c>
      <c r="D1161" s="27" t="s">
        <v>20</v>
      </c>
      <c r="E1161" s="27" t="s">
        <v>21</v>
      </c>
      <c r="F1161" s="27" t="s">
        <v>2866</v>
      </c>
      <c r="G1161" s="32"/>
      <c r="H1161" s="27" t="s">
        <v>24</v>
      </c>
      <c r="I1161" s="28">
        <v>40330.0</v>
      </c>
      <c r="J1161" s="29"/>
      <c r="K1161" s="30">
        <v>45809.0</v>
      </c>
      <c r="L1161" s="31">
        <v>2.0</v>
      </c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ht="14.25" customHeight="1">
      <c r="A1162" s="26" t="s">
        <v>2869</v>
      </c>
      <c r="B1162" s="27" t="s">
        <v>169</v>
      </c>
      <c r="C1162" s="27" t="s">
        <v>2870</v>
      </c>
      <c r="D1162" s="27" t="s">
        <v>44</v>
      </c>
      <c r="E1162" s="27" t="s">
        <v>21</v>
      </c>
      <c r="F1162" s="27" t="s">
        <v>421</v>
      </c>
      <c r="G1162" s="27" t="s">
        <v>36</v>
      </c>
      <c r="H1162" s="27" t="s">
        <v>211</v>
      </c>
      <c r="I1162" s="28">
        <v>43252.0</v>
      </c>
      <c r="J1162" s="29"/>
      <c r="K1162" s="30">
        <v>44348.0</v>
      </c>
      <c r="L1162" s="31">
        <v>1.0</v>
      </c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ht="14.25" customHeight="1">
      <c r="A1163" s="26" t="s">
        <v>2869</v>
      </c>
      <c r="B1163" s="27" t="s">
        <v>321</v>
      </c>
      <c r="C1163" s="27" t="s">
        <v>1392</v>
      </c>
      <c r="D1163" s="27" t="s">
        <v>143</v>
      </c>
      <c r="E1163" s="27" t="s">
        <v>21</v>
      </c>
      <c r="F1163" s="27" t="s">
        <v>45</v>
      </c>
      <c r="G1163" s="27" t="s">
        <v>23</v>
      </c>
      <c r="H1163" s="27" t="s">
        <v>795</v>
      </c>
      <c r="I1163" s="28">
        <v>43252.0</v>
      </c>
      <c r="J1163" s="29"/>
      <c r="K1163" s="30">
        <v>44348.0</v>
      </c>
      <c r="L1163" s="31">
        <v>1.0</v>
      </c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ht="14.25" customHeight="1">
      <c r="A1164" s="33" t="s">
        <v>2876</v>
      </c>
      <c r="B1164" s="34" t="s">
        <v>447</v>
      </c>
      <c r="C1164" s="34" t="s">
        <v>1414</v>
      </c>
      <c r="D1164" s="34" t="s">
        <v>282</v>
      </c>
      <c r="E1164" s="34" t="s">
        <v>21</v>
      </c>
      <c r="F1164" s="34" t="s">
        <v>364</v>
      </c>
      <c r="G1164" s="34" t="s">
        <v>36</v>
      </c>
      <c r="H1164" s="34" t="s">
        <v>37</v>
      </c>
      <c r="I1164" s="30">
        <v>43617.0</v>
      </c>
      <c r="J1164" s="36"/>
      <c r="K1164" s="30">
        <v>44713.0</v>
      </c>
      <c r="L1164" s="31">
        <v>1.0</v>
      </c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ht="14.25" customHeight="1">
      <c r="A1165" s="26" t="s">
        <v>2878</v>
      </c>
      <c r="B1165" s="27" t="s">
        <v>116</v>
      </c>
      <c r="C1165" s="32"/>
      <c r="D1165" s="27" t="s">
        <v>27</v>
      </c>
      <c r="E1165" s="27" t="s">
        <v>39</v>
      </c>
      <c r="F1165" s="27" t="s">
        <v>40</v>
      </c>
      <c r="G1165" s="27" t="s">
        <v>30</v>
      </c>
      <c r="H1165" s="27" t="s">
        <v>40</v>
      </c>
      <c r="I1165" s="28">
        <v>43132.0</v>
      </c>
      <c r="J1165" s="28">
        <v>44348.0</v>
      </c>
      <c r="K1165" s="30">
        <v>45444.0</v>
      </c>
      <c r="L1165" s="31">
        <v>2.0</v>
      </c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ht="14.25" customHeight="1">
      <c r="A1166" s="26" t="s">
        <v>2878</v>
      </c>
      <c r="B1166" s="27" t="s">
        <v>2881</v>
      </c>
      <c r="C1166" s="27" t="s">
        <v>1585</v>
      </c>
      <c r="D1166" s="27" t="s">
        <v>108</v>
      </c>
      <c r="E1166" s="27" t="s">
        <v>21</v>
      </c>
      <c r="F1166" s="27" t="s">
        <v>109</v>
      </c>
      <c r="G1166" s="27" t="s">
        <v>36</v>
      </c>
      <c r="H1166" s="27" t="s">
        <v>110</v>
      </c>
      <c r="I1166" s="28">
        <v>43617.0</v>
      </c>
      <c r="J1166" s="29"/>
      <c r="K1166" s="30">
        <v>44713.0</v>
      </c>
      <c r="L1166" s="31">
        <v>1.0</v>
      </c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ht="14.25" customHeight="1">
      <c r="A1167" s="26" t="s">
        <v>2882</v>
      </c>
      <c r="B1167" s="27" t="s">
        <v>141</v>
      </c>
      <c r="C1167" s="27" t="s">
        <v>2883</v>
      </c>
      <c r="D1167" s="27" t="s">
        <v>108</v>
      </c>
      <c r="E1167" s="27" t="s">
        <v>21</v>
      </c>
      <c r="F1167" s="27" t="s">
        <v>79</v>
      </c>
      <c r="G1167" s="27" t="s">
        <v>23</v>
      </c>
      <c r="H1167" s="27" t="s">
        <v>689</v>
      </c>
      <c r="I1167" s="28">
        <v>42887.0</v>
      </c>
      <c r="J1167" s="29"/>
      <c r="K1167" s="30">
        <v>43983.0</v>
      </c>
      <c r="L1167" s="31">
        <v>1.0</v>
      </c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ht="14.25" customHeight="1">
      <c r="A1168" s="26" t="s">
        <v>2886</v>
      </c>
      <c r="B1168" s="27" t="s">
        <v>1020</v>
      </c>
      <c r="C1168" s="27" t="s">
        <v>549</v>
      </c>
      <c r="D1168" s="27" t="s">
        <v>78</v>
      </c>
      <c r="E1168" s="27" t="s">
        <v>21</v>
      </c>
      <c r="F1168" s="27" t="s">
        <v>45</v>
      </c>
      <c r="G1168" s="27" t="s">
        <v>23</v>
      </c>
      <c r="H1168" s="27" t="s">
        <v>80</v>
      </c>
      <c r="I1168" s="28">
        <v>43252.0</v>
      </c>
      <c r="J1168" s="29"/>
      <c r="K1168" s="30">
        <v>44348.0</v>
      </c>
      <c r="L1168" s="31">
        <v>1.0</v>
      </c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ht="14.25" customHeight="1">
      <c r="A1169" s="26" t="s">
        <v>2889</v>
      </c>
      <c r="B1169" s="27" t="s">
        <v>86</v>
      </c>
      <c r="C1169" s="27" t="s">
        <v>2890</v>
      </c>
      <c r="D1169" s="27" t="s">
        <v>78</v>
      </c>
      <c r="E1169" s="27" t="s">
        <v>21</v>
      </c>
      <c r="F1169" s="27" t="s">
        <v>314</v>
      </c>
      <c r="G1169" s="27" t="s">
        <v>36</v>
      </c>
      <c r="H1169" s="27" t="s">
        <v>244</v>
      </c>
      <c r="I1169" s="28">
        <v>42887.0</v>
      </c>
      <c r="J1169" s="29"/>
      <c r="K1169" s="30">
        <v>43983.0</v>
      </c>
      <c r="L1169" s="31">
        <v>1.0</v>
      </c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ht="14.25" customHeight="1">
      <c r="A1170" s="26" t="s">
        <v>2893</v>
      </c>
      <c r="B1170" s="27" t="s">
        <v>972</v>
      </c>
      <c r="C1170" s="32"/>
      <c r="D1170" s="27" t="s">
        <v>27</v>
      </c>
      <c r="E1170" s="27" t="s">
        <v>39</v>
      </c>
      <c r="F1170" s="27" t="s">
        <v>40</v>
      </c>
      <c r="G1170" s="27" t="s">
        <v>979</v>
      </c>
      <c r="H1170" s="27" t="s">
        <v>40</v>
      </c>
      <c r="I1170" s="28">
        <v>42401.0</v>
      </c>
      <c r="J1170" s="29"/>
      <c r="K1170" s="30">
        <v>44713.0</v>
      </c>
      <c r="L1170" s="31">
        <v>1.0</v>
      </c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ht="14.25" customHeight="1">
      <c r="A1171" s="26" t="s">
        <v>2895</v>
      </c>
      <c r="B1171" s="27" t="s">
        <v>607</v>
      </c>
      <c r="C1171" s="27" t="s">
        <v>954</v>
      </c>
      <c r="D1171" s="27" t="s">
        <v>55</v>
      </c>
      <c r="E1171" s="27" t="s">
        <v>21</v>
      </c>
      <c r="F1171" s="27" t="s">
        <v>99</v>
      </c>
      <c r="G1171" s="27" t="s">
        <v>46</v>
      </c>
      <c r="H1171" s="27" t="s">
        <v>324</v>
      </c>
      <c r="I1171" s="28">
        <v>43252.0</v>
      </c>
      <c r="J1171" s="29"/>
      <c r="K1171" s="30">
        <v>44348.0</v>
      </c>
      <c r="L1171" s="31">
        <v>1.0</v>
      </c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ht="14.25" customHeight="1">
      <c r="A1172" s="26" t="s">
        <v>2899</v>
      </c>
      <c r="B1172" s="27" t="s">
        <v>2900</v>
      </c>
      <c r="C1172" s="27" t="s">
        <v>2178</v>
      </c>
      <c r="D1172" s="27" t="s">
        <v>282</v>
      </c>
      <c r="E1172" s="27" t="s">
        <v>21</v>
      </c>
      <c r="F1172" s="27" t="s">
        <v>623</v>
      </c>
      <c r="G1172" s="27" t="s">
        <v>137</v>
      </c>
      <c r="H1172" s="27" t="s">
        <v>126</v>
      </c>
      <c r="I1172" s="28">
        <v>43617.0</v>
      </c>
      <c r="J1172" s="28">
        <v>44713.0</v>
      </c>
      <c r="K1172" s="30">
        <v>45809.0</v>
      </c>
      <c r="L1172" s="31">
        <v>2.0</v>
      </c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ht="14.25" customHeight="1">
      <c r="A1173" s="26" t="s">
        <v>2902</v>
      </c>
      <c r="B1173" s="27" t="s">
        <v>1848</v>
      </c>
      <c r="C1173" s="27" t="s">
        <v>1237</v>
      </c>
      <c r="D1173" s="27" t="s">
        <v>143</v>
      </c>
      <c r="E1173" s="27" t="s">
        <v>21</v>
      </c>
      <c r="F1173" s="27" t="s">
        <v>380</v>
      </c>
      <c r="G1173" s="32"/>
      <c r="H1173" s="27" t="s">
        <v>24</v>
      </c>
      <c r="I1173" s="28">
        <v>36892.0</v>
      </c>
      <c r="J1173" s="29"/>
      <c r="K1173" s="30">
        <v>45809.0</v>
      </c>
      <c r="L1173" s="31">
        <v>1.0</v>
      </c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ht="14.25" customHeight="1">
      <c r="A1174" s="26" t="s">
        <v>2903</v>
      </c>
      <c r="B1174" s="27" t="s">
        <v>2905</v>
      </c>
      <c r="C1174" s="27" t="s">
        <v>2907</v>
      </c>
      <c r="D1174" s="27" t="s">
        <v>108</v>
      </c>
      <c r="E1174" s="27" t="s">
        <v>21</v>
      </c>
      <c r="F1174" s="27" t="s">
        <v>90</v>
      </c>
      <c r="G1174" s="27" t="s">
        <v>23</v>
      </c>
      <c r="H1174" s="27" t="s">
        <v>211</v>
      </c>
      <c r="I1174" s="28">
        <v>43252.0</v>
      </c>
      <c r="J1174" s="29"/>
      <c r="K1174" s="30">
        <v>44348.0</v>
      </c>
      <c r="L1174" s="31">
        <v>1.0</v>
      </c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ht="14.25" customHeight="1">
      <c r="A1175" s="26" t="s">
        <v>2908</v>
      </c>
      <c r="B1175" s="27" t="s">
        <v>150</v>
      </c>
      <c r="C1175" s="27" t="s">
        <v>2910</v>
      </c>
      <c r="D1175" s="27" t="s">
        <v>178</v>
      </c>
      <c r="E1175" s="27" t="s">
        <v>21</v>
      </c>
      <c r="F1175" s="27" t="s">
        <v>290</v>
      </c>
      <c r="G1175" s="27" t="s">
        <v>797</v>
      </c>
      <c r="H1175" s="27" t="s">
        <v>287</v>
      </c>
      <c r="I1175" s="28">
        <v>42887.0</v>
      </c>
      <c r="J1175" s="29"/>
      <c r="K1175" s="30">
        <v>43983.0</v>
      </c>
      <c r="L1175" s="31">
        <v>1.0</v>
      </c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ht="14.25" customHeight="1">
      <c r="A1176" s="26" t="s">
        <v>2911</v>
      </c>
      <c r="B1176" s="27" t="s">
        <v>2915</v>
      </c>
      <c r="C1176" s="27" t="s">
        <v>1833</v>
      </c>
      <c r="D1176" s="27" t="s">
        <v>78</v>
      </c>
      <c r="E1176" s="27" t="s">
        <v>21</v>
      </c>
      <c r="F1176" s="27" t="s">
        <v>360</v>
      </c>
      <c r="G1176" s="27" t="s">
        <v>23</v>
      </c>
      <c r="H1176" s="27" t="s">
        <v>397</v>
      </c>
      <c r="I1176" s="28">
        <v>43617.0</v>
      </c>
      <c r="J1176" s="29"/>
      <c r="K1176" s="30">
        <v>44713.0</v>
      </c>
      <c r="L1176" s="31">
        <v>1.0</v>
      </c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ht="14.25" customHeight="1">
      <c r="A1177" s="26" t="s">
        <v>2916</v>
      </c>
      <c r="B1177" s="27" t="s">
        <v>1742</v>
      </c>
      <c r="C1177" s="27" t="s">
        <v>1540</v>
      </c>
      <c r="D1177" s="27" t="s">
        <v>744</v>
      </c>
      <c r="E1177" s="27" t="s">
        <v>21</v>
      </c>
      <c r="F1177" s="27" t="s">
        <v>286</v>
      </c>
      <c r="G1177" s="27" t="s">
        <v>36</v>
      </c>
      <c r="H1177" s="27" t="s">
        <v>184</v>
      </c>
      <c r="I1177" s="28">
        <v>42887.0</v>
      </c>
      <c r="J1177" s="29"/>
      <c r="K1177" s="30">
        <v>43983.0</v>
      </c>
      <c r="L1177" s="31">
        <v>1.0</v>
      </c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ht="14.25" customHeight="1">
      <c r="A1178" s="33" t="s">
        <v>2919</v>
      </c>
      <c r="B1178" s="34" t="s">
        <v>2920</v>
      </c>
      <c r="C1178" s="34" t="s">
        <v>170</v>
      </c>
      <c r="D1178" s="34" t="s">
        <v>89</v>
      </c>
      <c r="E1178" s="34" t="s">
        <v>21</v>
      </c>
      <c r="F1178" s="27" t="s">
        <v>79</v>
      </c>
      <c r="G1178" s="27" t="s">
        <v>23</v>
      </c>
      <c r="H1178" s="34" t="s">
        <v>237</v>
      </c>
      <c r="I1178" s="30">
        <v>42887.0</v>
      </c>
      <c r="J1178" s="36"/>
      <c r="K1178" s="30">
        <v>43983.0</v>
      </c>
      <c r="L1178" s="31">
        <v>1.0</v>
      </c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ht="14.25" customHeight="1">
      <c r="A1179" s="26" t="s">
        <v>2924</v>
      </c>
      <c r="B1179" s="27" t="s">
        <v>1069</v>
      </c>
      <c r="C1179" s="32"/>
      <c r="D1179" s="27" t="s">
        <v>27</v>
      </c>
      <c r="E1179" s="27" t="s">
        <v>376</v>
      </c>
      <c r="F1179" s="27" t="s">
        <v>29</v>
      </c>
      <c r="G1179" s="27" t="s">
        <v>291</v>
      </c>
      <c r="H1179" s="27" t="s">
        <v>29</v>
      </c>
      <c r="I1179" s="28">
        <v>42767.0</v>
      </c>
      <c r="J1179" s="28">
        <v>43983.0</v>
      </c>
      <c r="K1179" s="30">
        <v>45078.0</v>
      </c>
      <c r="L1179" s="31">
        <v>2.0</v>
      </c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ht="14.25" customHeight="1">
      <c r="A1180" s="26" t="s">
        <v>2927</v>
      </c>
      <c r="B1180" s="27" t="s">
        <v>2928</v>
      </c>
      <c r="C1180" s="27" t="s">
        <v>396</v>
      </c>
      <c r="D1180" s="27" t="s">
        <v>44</v>
      </c>
      <c r="E1180" s="27" t="s">
        <v>21</v>
      </c>
      <c r="F1180" s="27" t="s">
        <v>380</v>
      </c>
      <c r="G1180" s="32"/>
      <c r="H1180" s="27" t="s">
        <v>24</v>
      </c>
      <c r="I1180" s="28">
        <v>36892.0</v>
      </c>
      <c r="J1180" s="29"/>
      <c r="K1180" s="30">
        <v>45809.0</v>
      </c>
      <c r="L1180" s="31">
        <v>1.0</v>
      </c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ht="14.25" customHeight="1">
      <c r="A1181" s="26" t="s">
        <v>2930</v>
      </c>
      <c r="B1181" s="27" t="s">
        <v>116</v>
      </c>
      <c r="C1181" s="27" t="s">
        <v>1690</v>
      </c>
      <c r="D1181" s="27" t="s">
        <v>222</v>
      </c>
      <c r="E1181" s="27" t="s">
        <v>21</v>
      </c>
      <c r="F1181" s="27" t="s">
        <v>79</v>
      </c>
      <c r="G1181" s="27" t="s">
        <v>36</v>
      </c>
      <c r="H1181" s="27" t="s">
        <v>344</v>
      </c>
      <c r="I1181" s="28">
        <v>42887.0</v>
      </c>
      <c r="J1181" s="29"/>
      <c r="K1181" s="30">
        <v>43983.0</v>
      </c>
      <c r="L1181" s="31">
        <v>1.0</v>
      </c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ht="14.25" customHeight="1">
      <c r="A1182" s="26" t="s">
        <v>2934</v>
      </c>
      <c r="B1182" s="27" t="s">
        <v>953</v>
      </c>
      <c r="C1182" s="27" t="s">
        <v>1580</v>
      </c>
      <c r="D1182" s="27" t="s">
        <v>130</v>
      </c>
      <c r="E1182" s="27" t="s">
        <v>21</v>
      </c>
      <c r="F1182" s="27" t="s">
        <v>56</v>
      </c>
      <c r="G1182" s="27" t="s">
        <v>23</v>
      </c>
      <c r="H1182" s="27" t="s">
        <v>152</v>
      </c>
      <c r="I1182" s="28">
        <v>43617.0</v>
      </c>
      <c r="J1182" s="29"/>
      <c r="K1182" s="30">
        <v>44713.0</v>
      </c>
      <c r="L1182" s="31">
        <v>1.0</v>
      </c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ht="14.25" customHeight="1">
      <c r="A1183" s="26" t="s">
        <v>2936</v>
      </c>
      <c r="B1183" s="27" t="s">
        <v>120</v>
      </c>
      <c r="C1183" s="32"/>
      <c r="D1183" s="27" t="s">
        <v>420</v>
      </c>
      <c r="E1183" s="27" t="s">
        <v>21</v>
      </c>
      <c r="F1183" s="27" t="s">
        <v>445</v>
      </c>
      <c r="G1183" s="27" t="s">
        <v>1717</v>
      </c>
      <c r="H1183" s="27" t="s">
        <v>445</v>
      </c>
      <c r="I1183" s="28">
        <v>42765.0</v>
      </c>
      <c r="J1183" s="28">
        <v>43983.0</v>
      </c>
      <c r="K1183" s="30">
        <v>45078.0</v>
      </c>
      <c r="L1183" s="31">
        <v>2.0</v>
      </c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ht="14.25" customHeight="1">
      <c r="A1184" s="33" t="s">
        <v>2936</v>
      </c>
      <c r="B1184" s="34" t="s">
        <v>2422</v>
      </c>
      <c r="C1184" s="35"/>
      <c r="D1184" s="34" t="s">
        <v>27</v>
      </c>
      <c r="E1184" s="34" t="s">
        <v>136</v>
      </c>
      <c r="F1184" s="34" t="s">
        <v>40</v>
      </c>
      <c r="G1184" s="34" t="s">
        <v>46</v>
      </c>
      <c r="H1184" s="34" t="s">
        <v>40</v>
      </c>
      <c r="I1184" s="30">
        <v>43132.0</v>
      </c>
      <c r="J1184" s="30">
        <v>44348.0</v>
      </c>
      <c r="K1184" s="30">
        <v>45444.0</v>
      </c>
      <c r="L1184" s="31">
        <v>2.0</v>
      </c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ht="14.25" customHeight="1">
      <c r="A1185" s="26" t="s">
        <v>2939</v>
      </c>
      <c r="B1185" s="27" t="s">
        <v>32</v>
      </c>
      <c r="C1185" s="27" t="s">
        <v>2940</v>
      </c>
      <c r="D1185" s="27" t="s">
        <v>222</v>
      </c>
      <c r="E1185" s="27" t="s">
        <v>21</v>
      </c>
      <c r="F1185" s="27" t="s">
        <v>35</v>
      </c>
      <c r="G1185" s="27" t="s">
        <v>46</v>
      </c>
      <c r="H1185" s="27" t="s">
        <v>241</v>
      </c>
      <c r="I1185" s="28">
        <v>43617.0</v>
      </c>
      <c r="J1185" s="29"/>
      <c r="K1185" s="30">
        <v>44713.0</v>
      </c>
      <c r="L1185" s="31">
        <v>1.0</v>
      </c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ht="14.25" customHeight="1">
      <c r="A1186" s="26" t="s">
        <v>2943</v>
      </c>
      <c r="B1186" s="27" t="s">
        <v>2944</v>
      </c>
      <c r="C1186" s="32"/>
      <c r="D1186" s="27" t="s">
        <v>27</v>
      </c>
      <c r="E1186" s="27" t="s">
        <v>930</v>
      </c>
      <c r="F1186" s="27" t="s">
        <v>29</v>
      </c>
      <c r="G1186" s="27" t="s">
        <v>576</v>
      </c>
      <c r="H1186" s="27" t="s">
        <v>65</v>
      </c>
      <c r="I1186" s="28">
        <v>43136.0</v>
      </c>
      <c r="J1186" s="28">
        <v>44348.0</v>
      </c>
      <c r="K1186" s="30">
        <v>45444.0</v>
      </c>
      <c r="L1186" s="31">
        <v>2.0</v>
      </c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ht="14.25" customHeight="1">
      <c r="A1187" s="26" t="s">
        <v>1159</v>
      </c>
      <c r="B1187" s="27" t="s">
        <v>311</v>
      </c>
      <c r="C1187" s="32"/>
      <c r="D1187" s="27" t="s">
        <v>27</v>
      </c>
      <c r="E1187" s="27" t="s">
        <v>70</v>
      </c>
      <c r="F1187" s="27" t="s">
        <v>29</v>
      </c>
      <c r="G1187" s="27" t="s">
        <v>845</v>
      </c>
      <c r="H1187" s="27" t="s">
        <v>29</v>
      </c>
      <c r="I1187" s="28">
        <v>42401.0</v>
      </c>
      <c r="J1187" s="29"/>
      <c r="K1187" s="30">
        <v>44713.0</v>
      </c>
      <c r="L1187" s="31">
        <v>1.0</v>
      </c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ht="14.25" customHeight="1">
      <c r="A1188" s="26" t="s">
        <v>2948</v>
      </c>
      <c r="B1188" s="27" t="s">
        <v>266</v>
      </c>
      <c r="C1188" s="27" t="s">
        <v>2950</v>
      </c>
      <c r="D1188" s="27" t="s">
        <v>78</v>
      </c>
      <c r="E1188" s="27" t="s">
        <v>21</v>
      </c>
      <c r="F1188" s="27" t="s">
        <v>35</v>
      </c>
      <c r="G1188" s="27" t="s">
        <v>23</v>
      </c>
      <c r="H1188" s="27" t="s">
        <v>434</v>
      </c>
      <c r="I1188" s="28">
        <v>43617.0</v>
      </c>
      <c r="J1188" s="29"/>
      <c r="K1188" s="30">
        <v>44713.0</v>
      </c>
      <c r="L1188" s="31">
        <v>1.0</v>
      </c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ht="14.25" customHeight="1">
      <c r="A1189" s="26" t="s">
        <v>2951</v>
      </c>
      <c r="B1189" s="27" t="s">
        <v>82</v>
      </c>
      <c r="C1189" s="27" t="s">
        <v>1434</v>
      </c>
      <c r="D1189" s="27" t="s">
        <v>222</v>
      </c>
      <c r="E1189" s="27" t="s">
        <v>21</v>
      </c>
      <c r="F1189" s="27" t="s">
        <v>179</v>
      </c>
      <c r="G1189" s="27" t="s">
        <v>46</v>
      </c>
      <c r="H1189" s="27" t="s">
        <v>126</v>
      </c>
      <c r="I1189" s="28">
        <v>43617.0</v>
      </c>
      <c r="J1189" s="29"/>
      <c r="K1189" s="30">
        <v>44713.0</v>
      </c>
      <c r="L1189" s="31">
        <v>1.0</v>
      </c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ht="14.25" customHeight="1">
      <c r="A1190" s="26" t="s">
        <v>2953</v>
      </c>
      <c r="B1190" s="27" t="s">
        <v>2954</v>
      </c>
      <c r="C1190" s="32"/>
      <c r="D1190" s="27" t="s">
        <v>27</v>
      </c>
      <c r="E1190" s="27" t="s">
        <v>166</v>
      </c>
      <c r="F1190" s="27" t="s">
        <v>29</v>
      </c>
      <c r="G1190" s="27" t="s">
        <v>432</v>
      </c>
      <c r="H1190" s="27" t="s">
        <v>29</v>
      </c>
      <c r="I1190" s="28">
        <v>42401.0</v>
      </c>
      <c r="J1190" s="29"/>
      <c r="K1190" s="30">
        <v>44713.0</v>
      </c>
      <c r="L1190" s="31">
        <v>1.0</v>
      </c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ht="14.25" customHeight="1">
      <c r="A1191" s="26" t="s">
        <v>2957</v>
      </c>
      <c r="B1191" s="27" t="s">
        <v>966</v>
      </c>
      <c r="C1191" s="27" t="s">
        <v>1007</v>
      </c>
      <c r="D1191" s="27" t="s">
        <v>282</v>
      </c>
      <c r="E1191" s="27" t="s">
        <v>21</v>
      </c>
      <c r="F1191" s="27" t="s">
        <v>71</v>
      </c>
      <c r="G1191" s="27" t="s">
        <v>23</v>
      </c>
      <c r="H1191" s="27" t="s">
        <v>251</v>
      </c>
      <c r="I1191" s="28">
        <v>43617.0</v>
      </c>
      <c r="J1191" s="29"/>
      <c r="K1191" s="30">
        <v>44713.0</v>
      </c>
      <c r="L1191" s="31">
        <v>1.0</v>
      </c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ht="14.25" customHeight="1">
      <c r="A1192" s="26" t="s">
        <v>2959</v>
      </c>
      <c r="B1192" s="27" t="s">
        <v>2960</v>
      </c>
      <c r="C1192" s="32"/>
      <c r="D1192" s="27" t="s">
        <v>27</v>
      </c>
      <c r="E1192" s="27" t="s">
        <v>2962</v>
      </c>
      <c r="F1192" s="27" t="s">
        <v>29</v>
      </c>
      <c r="G1192" s="27" t="s">
        <v>163</v>
      </c>
      <c r="H1192" s="27" t="s">
        <v>29</v>
      </c>
      <c r="I1192" s="28">
        <v>42401.0</v>
      </c>
      <c r="J1192" s="29"/>
      <c r="K1192" s="30">
        <v>44713.0</v>
      </c>
      <c r="L1192" s="31">
        <v>1.0</v>
      </c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ht="14.25" customHeight="1">
      <c r="A1193" s="26" t="s">
        <v>2963</v>
      </c>
      <c r="B1193" s="27" t="s">
        <v>120</v>
      </c>
      <c r="C1193" s="27" t="s">
        <v>2965</v>
      </c>
      <c r="D1193" s="27" t="s">
        <v>1471</v>
      </c>
      <c r="E1193" s="27" t="s">
        <v>21</v>
      </c>
      <c r="F1193" s="27" t="s">
        <v>95</v>
      </c>
      <c r="G1193" s="27" t="s">
        <v>23</v>
      </c>
      <c r="H1193" s="27" t="s">
        <v>207</v>
      </c>
      <c r="I1193" s="28">
        <v>42887.0</v>
      </c>
      <c r="J1193" s="29"/>
      <c r="K1193" s="30">
        <v>43983.0</v>
      </c>
      <c r="L1193" s="31">
        <v>1.0</v>
      </c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ht="14.25" customHeight="1">
      <c r="A1194" s="26" t="s">
        <v>2967</v>
      </c>
      <c r="B1194" s="27" t="s">
        <v>2968</v>
      </c>
      <c r="C1194" s="27" t="s">
        <v>2493</v>
      </c>
      <c r="D1194" s="27" t="s">
        <v>20</v>
      </c>
      <c r="E1194" s="27" t="s">
        <v>21</v>
      </c>
      <c r="F1194" s="27" t="s">
        <v>155</v>
      </c>
      <c r="G1194" s="27" t="s">
        <v>1203</v>
      </c>
      <c r="H1194" s="27" t="s">
        <v>24</v>
      </c>
      <c r="I1194" s="28">
        <v>43132.0</v>
      </c>
      <c r="J1194" s="28">
        <v>44348.0</v>
      </c>
      <c r="K1194" s="30">
        <v>45444.0</v>
      </c>
      <c r="L1194" s="31">
        <v>2.0</v>
      </c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ht="14.25" customHeight="1">
      <c r="A1195" s="26" t="s">
        <v>2967</v>
      </c>
      <c r="B1195" s="27" t="s">
        <v>169</v>
      </c>
      <c r="C1195" s="27" t="s">
        <v>2971</v>
      </c>
      <c r="D1195" s="27" t="s">
        <v>282</v>
      </c>
      <c r="E1195" s="27" t="s">
        <v>21</v>
      </c>
      <c r="F1195" s="27" t="s">
        <v>90</v>
      </c>
      <c r="G1195" s="27" t="s">
        <v>23</v>
      </c>
      <c r="H1195" s="27" t="s">
        <v>295</v>
      </c>
      <c r="I1195" s="28">
        <v>43252.0</v>
      </c>
      <c r="J1195" s="29"/>
      <c r="K1195" s="30">
        <v>44348.0</v>
      </c>
      <c r="L1195" s="31">
        <v>1.0</v>
      </c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ht="14.25" customHeight="1">
      <c r="A1196" s="26" t="s">
        <v>2967</v>
      </c>
      <c r="B1196" s="27" t="s">
        <v>18</v>
      </c>
      <c r="C1196" s="27" t="s">
        <v>2975</v>
      </c>
      <c r="D1196" s="27" t="s">
        <v>130</v>
      </c>
      <c r="E1196" s="27" t="s">
        <v>21</v>
      </c>
      <c r="F1196" s="27" t="s">
        <v>79</v>
      </c>
      <c r="G1196" s="27" t="s">
        <v>36</v>
      </c>
      <c r="H1196" s="27" t="s">
        <v>72</v>
      </c>
      <c r="I1196" s="28">
        <v>43252.0</v>
      </c>
      <c r="J1196" s="29"/>
      <c r="K1196" s="30">
        <v>44348.0</v>
      </c>
      <c r="L1196" s="31">
        <v>1.0</v>
      </c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ht="14.25" customHeight="1">
      <c r="A1197" s="26" t="s">
        <v>1615</v>
      </c>
      <c r="B1197" s="27" t="s">
        <v>1135</v>
      </c>
      <c r="C1197" s="32"/>
      <c r="D1197" s="27" t="s">
        <v>27</v>
      </c>
      <c r="E1197" s="27" t="s">
        <v>585</v>
      </c>
      <c r="F1197" s="27" t="s">
        <v>29</v>
      </c>
      <c r="G1197" s="27" t="s">
        <v>576</v>
      </c>
      <c r="H1197" s="27" t="s">
        <v>65</v>
      </c>
      <c r="I1197" s="28">
        <v>43136.0</v>
      </c>
      <c r="J1197" s="28">
        <v>44348.0</v>
      </c>
      <c r="K1197" s="30">
        <v>45444.0</v>
      </c>
      <c r="L1197" s="31">
        <v>2.0</v>
      </c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ht="14.25" customHeight="1">
      <c r="A1198" s="26" t="s">
        <v>1615</v>
      </c>
      <c r="B1198" s="27" t="s">
        <v>2978</v>
      </c>
      <c r="C1198" s="32"/>
      <c r="D1198" s="27" t="s">
        <v>27</v>
      </c>
      <c r="E1198" s="27" t="s">
        <v>1222</v>
      </c>
      <c r="F1198" s="27" t="s">
        <v>29</v>
      </c>
      <c r="G1198" s="27" t="s">
        <v>399</v>
      </c>
      <c r="H1198" s="27" t="s">
        <v>65</v>
      </c>
      <c r="I1198" s="28">
        <v>43136.0</v>
      </c>
      <c r="J1198" s="28">
        <v>44348.0</v>
      </c>
      <c r="K1198" s="30">
        <v>45444.0</v>
      </c>
      <c r="L1198" s="31">
        <v>2.0</v>
      </c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ht="14.25" customHeight="1">
      <c r="A1199" s="26" t="s">
        <v>2981</v>
      </c>
      <c r="B1199" s="27" t="s">
        <v>2982</v>
      </c>
      <c r="C1199" s="32"/>
      <c r="D1199" s="27" t="s">
        <v>27</v>
      </c>
      <c r="E1199" s="27" t="s">
        <v>585</v>
      </c>
      <c r="F1199" s="27" t="s">
        <v>29</v>
      </c>
      <c r="G1199" s="27" t="s">
        <v>586</v>
      </c>
      <c r="H1199" s="27" t="s">
        <v>29</v>
      </c>
      <c r="I1199" s="28">
        <v>42401.0</v>
      </c>
      <c r="J1199" s="29"/>
      <c r="K1199" s="30">
        <v>44713.0</v>
      </c>
      <c r="L1199" s="31">
        <v>1.0</v>
      </c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ht="14.25" customHeight="1">
      <c r="A1200" s="26" t="s">
        <v>2984</v>
      </c>
      <c r="B1200" s="27" t="s">
        <v>2985</v>
      </c>
      <c r="C1200" s="32"/>
      <c r="D1200" s="27" t="s">
        <v>27</v>
      </c>
      <c r="E1200" s="27" t="s">
        <v>585</v>
      </c>
      <c r="F1200" s="27" t="s">
        <v>29</v>
      </c>
      <c r="G1200" s="27" t="s">
        <v>163</v>
      </c>
      <c r="H1200" s="27" t="s">
        <v>29</v>
      </c>
      <c r="I1200" s="28">
        <v>42401.0</v>
      </c>
      <c r="J1200" s="29"/>
      <c r="K1200" s="30">
        <v>44713.0</v>
      </c>
      <c r="L1200" s="31">
        <v>1.0</v>
      </c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ht="14.25" customHeight="1">
      <c r="A1201" s="33" t="s">
        <v>2987</v>
      </c>
      <c r="B1201" s="34" t="s">
        <v>1531</v>
      </c>
      <c r="C1201" s="34" t="s">
        <v>1406</v>
      </c>
      <c r="D1201" s="34" t="s">
        <v>78</v>
      </c>
      <c r="E1201" s="34" t="s">
        <v>21</v>
      </c>
      <c r="F1201" s="27" t="s">
        <v>79</v>
      </c>
      <c r="G1201" s="27" t="s">
        <v>46</v>
      </c>
      <c r="H1201" s="34" t="s">
        <v>80</v>
      </c>
      <c r="I1201" s="30">
        <v>43252.0</v>
      </c>
      <c r="J1201" s="36"/>
      <c r="K1201" s="30">
        <v>44348.0</v>
      </c>
      <c r="L1201" s="31">
        <v>1.0</v>
      </c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ht="14.25" customHeight="1">
      <c r="A1202" s="26" t="s">
        <v>2990</v>
      </c>
      <c r="B1202" s="27" t="s">
        <v>953</v>
      </c>
      <c r="C1202" s="27" t="s">
        <v>1138</v>
      </c>
      <c r="D1202" s="27" t="s">
        <v>282</v>
      </c>
      <c r="E1202" s="27" t="s">
        <v>21</v>
      </c>
      <c r="F1202" s="27" t="s">
        <v>79</v>
      </c>
      <c r="G1202" s="27" t="s">
        <v>46</v>
      </c>
      <c r="H1202" s="27" t="s">
        <v>135</v>
      </c>
      <c r="I1202" s="28">
        <v>43252.0</v>
      </c>
      <c r="J1202" s="29"/>
      <c r="K1202" s="30">
        <v>44348.0</v>
      </c>
      <c r="L1202" s="31">
        <v>1.0</v>
      </c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ht="14.25" customHeight="1">
      <c r="A1203" s="26" t="s">
        <v>2993</v>
      </c>
      <c r="B1203" s="27" t="s">
        <v>266</v>
      </c>
      <c r="C1203" s="27" t="s">
        <v>2994</v>
      </c>
      <c r="D1203" s="27" t="s">
        <v>282</v>
      </c>
      <c r="E1203" s="27" t="s">
        <v>21</v>
      </c>
      <c r="F1203" s="27" t="s">
        <v>144</v>
      </c>
      <c r="G1203" s="27" t="s">
        <v>23</v>
      </c>
      <c r="H1203" s="27" t="s">
        <v>135</v>
      </c>
      <c r="I1203" s="28">
        <v>43252.0</v>
      </c>
      <c r="J1203" s="29"/>
      <c r="K1203" s="30">
        <v>44348.0</v>
      </c>
      <c r="L1203" s="31">
        <v>1.0</v>
      </c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ht="14.25" customHeight="1">
      <c r="A1204" s="9"/>
      <c r="B1204" s="8"/>
      <c r="C1204" s="8"/>
      <c r="D1204" s="8"/>
      <c r="E1204" s="8"/>
      <c r="F1204" s="8"/>
      <c r="G1204" s="8"/>
      <c r="H1204" s="8"/>
      <c r="I1204" s="10"/>
      <c r="J1204" s="10"/>
      <c r="K1204" s="18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ht="14.25" customHeight="1">
      <c r="A1205" s="9"/>
      <c r="B1205" s="8"/>
      <c r="C1205" s="8"/>
      <c r="D1205" s="8"/>
      <c r="E1205" s="8"/>
      <c r="F1205" s="8"/>
      <c r="G1205" s="8"/>
      <c r="H1205" s="8"/>
      <c r="I1205" s="10"/>
      <c r="J1205" s="10"/>
      <c r="K1205" s="18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ht="14.25" customHeight="1">
      <c r="A1206" s="9"/>
      <c r="B1206" s="8"/>
      <c r="C1206" s="8"/>
      <c r="D1206" s="8"/>
      <c r="E1206" s="8"/>
      <c r="F1206" s="8"/>
      <c r="G1206" s="8"/>
      <c r="H1206" s="8"/>
      <c r="I1206" s="10"/>
      <c r="J1206" s="10"/>
      <c r="K1206" s="18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ht="14.25" customHeight="1">
      <c r="A1207" s="9"/>
      <c r="B1207" s="8"/>
      <c r="C1207" s="8"/>
      <c r="D1207" s="8"/>
      <c r="E1207" s="8"/>
      <c r="F1207" s="8"/>
      <c r="G1207" s="8"/>
      <c r="H1207" s="8"/>
      <c r="I1207" s="10"/>
      <c r="J1207" s="10"/>
      <c r="K1207" s="18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ht="14.25" customHeight="1">
      <c r="A1208" s="9"/>
      <c r="B1208" s="8"/>
      <c r="C1208" s="8"/>
      <c r="D1208" s="8"/>
      <c r="E1208" s="8"/>
      <c r="F1208" s="8"/>
      <c r="G1208" s="8"/>
      <c r="H1208" s="8"/>
      <c r="I1208" s="10"/>
      <c r="J1208" s="10"/>
      <c r="K1208" s="18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ht="14.25" customHeight="1">
      <c r="A1209" s="9"/>
      <c r="B1209" s="8"/>
      <c r="C1209" s="8"/>
      <c r="D1209" s="8"/>
      <c r="E1209" s="8"/>
      <c r="F1209" s="8"/>
      <c r="G1209" s="8"/>
      <c r="H1209" s="8"/>
      <c r="I1209" s="10"/>
      <c r="J1209" s="10"/>
      <c r="K1209" s="18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ht="14.25" customHeight="1">
      <c r="A1210" s="9"/>
      <c r="B1210" s="8"/>
      <c r="C1210" s="8"/>
      <c r="D1210" s="8"/>
      <c r="E1210" s="8"/>
      <c r="F1210" s="8"/>
      <c r="G1210" s="8"/>
      <c r="H1210" s="8"/>
      <c r="I1210" s="10"/>
      <c r="J1210" s="10"/>
      <c r="K1210" s="18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ht="14.25" customHeight="1">
      <c r="A1211" s="9"/>
      <c r="B1211" s="8"/>
      <c r="C1211" s="8"/>
      <c r="D1211" s="8"/>
      <c r="E1211" s="8"/>
      <c r="F1211" s="8"/>
      <c r="G1211" s="8"/>
      <c r="H1211" s="8"/>
      <c r="I1211" s="10"/>
      <c r="J1211" s="10"/>
      <c r="K1211" s="18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ht="14.25" customHeight="1">
      <c r="A1212" s="9"/>
      <c r="B1212" s="8"/>
      <c r="C1212" s="8"/>
      <c r="D1212" s="8"/>
      <c r="E1212" s="8"/>
      <c r="F1212" s="8"/>
      <c r="G1212" s="8"/>
      <c r="H1212" s="8"/>
      <c r="I1212" s="10"/>
      <c r="J1212" s="10"/>
      <c r="K1212" s="18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ht="14.25" customHeight="1">
      <c r="A1213" s="9"/>
      <c r="B1213" s="8"/>
      <c r="C1213" s="8"/>
      <c r="D1213" s="8"/>
      <c r="E1213" s="8"/>
      <c r="F1213" s="8"/>
      <c r="G1213" s="8"/>
      <c r="H1213" s="8"/>
      <c r="I1213" s="10"/>
      <c r="J1213" s="10"/>
      <c r="K1213" s="18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ht="14.25" customHeight="1">
      <c r="A1214" s="9"/>
      <c r="B1214" s="8"/>
      <c r="C1214" s="8"/>
      <c r="D1214" s="8"/>
      <c r="E1214" s="8"/>
      <c r="F1214" s="8"/>
      <c r="G1214" s="8"/>
      <c r="H1214" s="8"/>
      <c r="I1214" s="10"/>
      <c r="J1214" s="10"/>
      <c r="K1214" s="18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ht="14.25" customHeight="1">
      <c r="A1215" s="9"/>
      <c r="B1215" s="8"/>
      <c r="C1215" s="8"/>
      <c r="D1215" s="8"/>
      <c r="E1215" s="8"/>
      <c r="F1215" s="8"/>
      <c r="G1215" s="8"/>
      <c r="H1215" s="8"/>
      <c r="I1215" s="10"/>
      <c r="J1215" s="10"/>
      <c r="K1215" s="18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ht="14.25" customHeight="1">
      <c r="A1216" s="9"/>
      <c r="B1216" s="8"/>
      <c r="C1216" s="8"/>
      <c r="D1216" s="8"/>
      <c r="E1216" s="8"/>
      <c r="F1216" s="8"/>
      <c r="G1216" s="8"/>
      <c r="H1216" s="8"/>
      <c r="I1216" s="10"/>
      <c r="J1216" s="10"/>
      <c r="K1216" s="18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ht="14.25" customHeight="1">
      <c r="A1217" s="9"/>
      <c r="B1217" s="8"/>
      <c r="C1217" s="8"/>
      <c r="D1217" s="8"/>
      <c r="E1217" s="8"/>
      <c r="F1217" s="8"/>
      <c r="G1217" s="8"/>
      <c r="H1217" s="8"/>
      <c r="I1217" s="10"/>
      <c r="J1217" s="10"/>
      <c r="K1217" s="18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ht="14.25" customHeight="1">
      <c r="A1218" s="9"/>
      <c r="B1218" s="8"/>
      <c r="C1218" s="8"/>
      <c r="D1218" s="8"/>
      <c r="E1218" s="8"/>
      <c r="F1218" s="8"/>
      <c r="G1218" s="8"/>
      <c r="H1218" s="8"/>
      <c r="I1218" s="10"/>
      <c r="J1218" s="10"/>
      <c r="K1218" s="18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ht="14.25" customHeight="1">
      <c r="A1219" s="9"/>
      <c r="B1219" s="8"/>
      <c r="C1219" s="8"/>
      <c r="D1219" s="8"/>
      <c r="E1219" s="8"/>
      <c r="F1219" s="8"/>
      <c r="G1219" s="8"/>
      <c r="H1219" s="8"/>
      <c r="I1219" s="10"/>
      <c r="J1219" s="10"/>
      <c r="K1219" s="18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ht="14.25" customHeight="1">
      <c r="A1220" s="9"/>
      <c r="B1220" s="8"/>
      <c r="C1220" s="8"/>
      <c r="D1220" s="8"/>
      <c r="E1220" s="8"/>
      <c r="F1220" s="8"/>
      <c r="G1220" s="8"/>
      <c r="H1220" s="8"/>
      <c r="I1220" s="10"/>
      <c r="J1220" s="10"/>
      <c r="K1220" s="18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ht="14.25" customHeight="1">
      <c r="A1221" s="9"/>
      <c r="B1221" s="8"/>
      <c r="C1221" s="8"/>
      <c r="D1221" s="8"/>
      <c r="E1221" s="8"/>
      <c r="F1221" s="8"/>
      <c r="G1221" s="8"/>
      <c r="H1221" s="8"/>
      <c r="I1221" s="10"/>
      <c r="J1221" s="10"/>
      <c r="K1221" s="18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ht="14.25" customHeight="1">
      <c r="A1222" s="9"/>
      <c r="B1222" s="8"/>
      <c r="C1222" s="8"/>
      <c r="D1222" s="8"/>
      <c r="E1222" s="8"/>
      <c r="F1222" s="8"/>
      <c r="G1222" s="8"/>
      <c r="H1222" s="8"/>
      <c r="I1222" s="10"/>
      <c r="J1222" s="10"/>
      <c r="K1222" s="18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ht="14.25" customHeight="1">
      <c r="A1223" s="9"/>
      <c r="B1223" s="8"/>
      <c r="C1223" s="8"/>
      <c r="D1223" s="8"/>
      <c r="E1223" s="8"/>
      <c r="F1223" s="8"/>
      <c r="G1223" s="8"/>
      <c r="H1223" s="8"/>
      <c r="I1223" s="10"/>
      <c r="J1223" s="10"/>
      <c r="K1223" s="18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ht="14.25" customHeight="1">
      <c r="A1224" s="9"/>
      <c r="B1224" s="8"/>
      <c r="C1224" s="8"/>
      <c r="D1224" s="8"/>
      <c r="E1224" s="8"/>
      <c r="F1224" s="8"/>
      <c r="G1224" s="8"/>
      <c r="H1224" s="8"/>
      <c r="I1224" s="10"/>
      <c r="J1224" s="10"/>
      <c r="K1224" s="18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ht="14.25" customHeight="1">
      <c r="A1225" s="9"/>
      <c r="B1225" s="8"/>
      <c r="C1225" s="8"/>
      <c r="D1225" s="8"/>
      <c r="E1225" s="8"/>
      <c r="F1225" s="8"/>
      <c r="G1225" s="8"/>
      <c r="H1225" s="8"/>
      <c r="I1225" s="10"/>
      <c r="J1225" s="10"/>
      <c r="K1225" s="18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ht="14.25" customHeight="1">
      <c r="A1226" s="9"/>
      <c r="B1226" s="8"/>
      <c r="C1226" s="8"/>
      <c r="D1226" s="8"/>
      <c r="E1226" s="8"/>
      <c r="F1226" s="8"/>
      <c r="G1226" s="8"/>
      <c r="H1226" s="8"/>
      <c r="I1226" s="10"/>
      <c r="J1226" s="10"/>
      <c r="K1226" s="18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ht="14.25" customHeight="1">
      <c r="A1227" s="9"/>
      <c r="B1227" s="8"/>
      <c r="C1227" s="8"/>
      <c r="D1227" s="8"/>
      <c r="E1227" s="8"/>
      <c r="F1227" s="8"/>
      <c r="G1227" s="8"/>
      <c r="H1227" s="8"/>
      <c r="I1227" s="10"/>
      <c r="J1227" s="10"/>
      <c r="K1227" s="18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ht="14.25" customHeight="1">
      <c r="A1228" s="9"/>
      <c r="B1228" s="8"/>
      <c r="C1228" s="8"/>
      <c r="D1228" s="8"/>
      <c r="E1228" s="8"/>
      <c r="F1228" s="8"/>
      <c r="G1228" s="8"/>
      <c r="H1228" s="8"/>
      <c r="I1228" s="10"/>
      <c r="J1228" s="10"/>
      <c r="K1228" s="18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ht="14.25" customHeight="1">
      <c r="A1229" s="9"/>
      <c r="B1229" s="8"/>
      <c r="C1229" s="8"/>
      <c r="D1229" s="8"/>
      <c r="E1229" s="8"/>
      <c r="F1229" s="8"/>
      <c r="G1229" s="8"/>
      <c r="H1229" s="8"/>
      <c r="I1229" s="10"/>
      <c r="J1229" s="10"/>
      <c r="K1229" s="18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ht="14.25" customHeight="1">
      <c r="A1230" s="9"/>
      <c r="B1230" s="8"/>
      <c r="C1230" s="8"/>
      <c r="D1230" s="8"/>
      <c r="E1230" s="8"/>
      <c r="F1230" s="8"/>
      <c r="G1230" s="8"/>
      <c r="H1230" s="8"/>
      <c r="I1230" s="10"/>
      <c r="J1230" s="10"/>
      <c r="K1230" s="18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ht="14.25" customHeight="1">
      <c r="A1231" s="9"/>
      <c r="B1231" s="8"/>
      <c r="C1231" s="8"/>
      <c r="D1231" s="8"/>
      <c r="E1231" s="8"/>
      <c r="F1231" s="8"/>
      <c r="G1231" s="8"/>
      <c r="H1231" s="8"/>
      <c r="I1231" s="10"/>
      <c r="J1231" s="10"/>
      <c r="K1231" s="18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ht="14.25" customHeight="1">
      <c r="A1232" s="9"/>
      <c r="B1232" s="8"/>
      <c r="C1232" s="8"/>
      <c r="D1232" s="8"/>
      <c r="E1232" s="8"/>
      <c r="F1232" s="8"/>
      <c r="G1232" s="8"/>
      <c r="H1232" s="8"/>
      <c r="I1232" s="10"/>
      <c r="J1232" s="10"/>
      <c r="K1232" s="18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ht="14.25" customHeight="1">
      <c r="A1233" s="9"/>
      <c r="B1233" s="8"/>
      <c r="C1233" s="8"/>
      <c r="D1233" s="8"/>
      <c r="E1233" s="8"/>
      <c r="F1233" s="8"/>
      <c r="G1233" s="8"/>
      <c r="H1233" s="8"/>
      <c r="I1233" s="10"/>
      <c r="J1233" s="10"/>
      <c r="K1233" s="18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ht="14.25" customHeight="1">
      <c r="A1234" s="9"/>
      <c r="B1234" s="8"/>
      <c r="C1234" s="8"/>
      <c r="D1234" s="8"/>
      <c r="E1234" s="8"/>
      <c r="F1234" s="8"/>
      <c r="G1234" s="8"/>
      <c r="H1234" s="8"/>
      <c r="I1234" s="10"/>
      <c r="J1234" s="10"/>
      <c r="K1234" s="18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ht="14.25" customHeight="1">
      <c r="A1235" s="9"/>
      <c r="B1235" s="8"/>
      <c r="C1235" s="8"/>
      <c r="D1235" s="8"/>
      <c r="E1235" s="8"/>
      <c r="F1235" s="8"/>
      <c r="G1235" s="8"/>
      <c r="H1235" s="8"/>
      <c r="I1235" s="10"/>
      <c r="J1235" s="10"/>
      <c r="K1235" s="18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ht="14.25" customHeight="1">
      <c r="A1236" s="9"/>
      <c r="B1236" s="8"/>
      <c r="C1236" s="8"/>
      <c r="D1236" s="8"/>
      <c r="E1236" s="8"/>
      <c r="F1236" s="8"/>
      <c r="G1236" s="8"/>
      <c r="H1236" s="8"/>
      <c r="I1236" s="10"/>
      <c r="J1236" s="10"/>
      <c r="K1236" s="18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ht="14.25" customHeight="1">
      <c r="A1237" s="9"/>
      <c r="B1237" s="8"/>
      <c r="C1237" s="8"/>
      <c r="D1237" s="8"/>
      <c r="E1237" s="8"/>
      <c r="F1237" s="8"/>
      <c r="G1237" s="8"/>
      <c r="H1237" s="8"/>
      <c r="I1237" s="10"/>
      <c r="J1237" s="10"/>
      <c r="K1237" s="18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ht="14.25" customHeight="1">
      <c r="A1238" s="9"/>
      <c r="B1238" s="8"/>
      <c r="C1238" s="8"/>
      <c r="D1238" s="8"/>
      <c r="E1238" s="8"/>
      <c r="F1238" s="8"/>
      <c r="G1238" s="8"/>
      <c r="H1238" s="8"/>
      <c r="I1238" s="10"/>
      <c r="J1238" s="10"/>
      <c r="K1238" s="18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ht="14.25" customHeight="1">
      <c r="A1239" s="9"/>
      <c r="B1239" s="8"/>
      <c r="C1239" s="8"/>
      <c r="D1239" s="8"/>
      <c r="E1239" s="8"/>
      <c r="F1239" s="8"/>
      <c r="G1239" s="8"/>
      <c r="H1239" s="8"/>
      <c r="I1239" s="10"/>
      <c r="J1239" s="10"/>
      <c r="K1239" s="18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ht="14.25" customHeight="1">
      <c r="A1240" s="9"/>
      <c r="B1240" s="8"/>
      <c r="C1240" s="8"/>
      <c r="D1240" s="8"/>
      <c r="E1240" s="8"/>
      <c r="F1240" s="8"/>
      <c r="G1240" s="8"/>
      <c r="H1240" s="8"/>
      <c r="I1240" s="10"/>
      <c r="J1240" s="10"/>
      <c r="K1240" s="18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ht="14.25" customHeight="1">
      <c r="A1241" s="9"/>
      <c r="B1241" s="8"/>
      <c r="C1241" s="8"/>
      <c r="D1241" s="8"/>
      <c r="E1241" s="8"/>
      <c r="F1241" s="8"/>
      <c r="G1241" s="8"/>
      <c r="H1241" s="8"/>
      <c r="I1241" s="10"/>
      <c r="J1241" s="10"/>
      <c r="K1241" s="18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ht="14.25" customHeight="1">
      <c r="A1242" s="9"/>
      <c r="B1242" s="8"/>
      <c r="C1242" s="8"/>
      <c r="D1242" s="8"/>
      <c r="E1242" s="8"/>
      <c r="F1242" s="8"/>
      <c r="G1242" s="8"/>
      <c r="H1242" s="8"/>
      <c r="I1242" s="10"/>
      <c r="J1242" s="10"/>
      <c r="K1242" s="18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ht="14.25" customHeight="1">
      <c r="A1243" s="9"/>
      <c r="B1243" s="8"/>
      <c r="C1243" s="8"/>
      <c r="D1243" s="8"/>
      <c r="E1243" s="8"/>
      <c r="F1243" s="8"/>
      <c r="G1243" s="8"/>
      <c r="H1243" s="8"/>
      <c r="I1243" s="10"/>
      <c r="J1243" s="10"/>
      <c r="K1243" s="18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ht="14.25" customHeight="1">
      <c r="A1244" s="9"/>
      <c r="B1244" s="8"/>
      <c r="C1244" s="8"/>
      <c r="D1244" s="8"/>
      <c r="E1244" s="8"/>
      <c r="F1244" s="8"/>
      <c r="G1244" s="8"/>
      <c r="H1244" s="8"/>
      <c r="I1244" s="10"/>
      <c r="J1244" s="10"/>
      <c r="K1244" s="18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ht="14.25" customHeight="1">
      <c r="A1245" s="9"/>
      <c r="B1245" s="8"/>
      <c r="C1245" s="8"/>
      <c r="D1245" s="8"/>
      <c r="E1245" s="8"/>
      <c r="F1245" s="8"/>
      <c r="G1245" s="8"/>
      <c r="H1245" s="8"/>
      <c r="I1245" s="10"/>
      <c r="J1245" s="10"/>
      <c r="K1245" s="18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ht="14.25" customHeight="1">
      <c r="A1246" s="9"/>
      <c r="B1246" s="8"/>
      <c r="C1246" s="8"/>
      <c r="D1246" s="8"/>
      <c r="E1246" s="8"/>
      <c r="F1246" s="8"/>
      <c r="G1246" s="8"/>
      <c r="H1246" s="8"/>
      <c r="I1246" s="10"/>
      <c r="J1246" s="10"/>
      <c r="K1246" s="18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ht="14.25" customHeight="1">
      <c r="A1247" s="9"/>
      <c r="B1247" s="8"/>
      <c r="C1247" s="8"/>
      <c r="D1247" s="8"/>
      <c r="E1247" s="8"/>
      <c r="F1247" s="8"/>
      <c r="G1247" s="8"/>
      <c r="H1247" s="8"/>
      <c r="I1247" s="10"/>
      <c r="J1247" s="10"/>
      <c r="K1247" s="18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ht="14.25" customHeight="1">
      <c r="A1248" s="9"/>
      <c r="B1248" s="8"/>
      <c r="C1248" s="8"/>
      <c r="D1248" s="8"/>
      <c r="E1248" s="8"/>
      <c r="F1248" s="8"/>
      <c r="G1248" s="8"/>
      <c r="H1248" s="8"/>
      <c r="I1248" s="10"/>
      <c r="J1248" s="10"/>
      <c r="K1248" s="18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ht="14.25" customHeight="1">
      <c r="A1249" s="9"/>
      <c r="B1249" s="8"/>
      <c r="C1249" s="8"/>
      <c r="D1249" s="8"/>
      <c r="E1249" s="8"/>
      <c r="F1249" s="8"/>
      <c r="G1249" s="8"/>
      <c r="H1249" s="8"/>
      <c r="I1249" s="10"/>
      <c r="J1249" s="10"/>
      <c r="K1249" s="18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ht="14.25" customHeight="1">
      <c r="A1250" s="9"/>
      <c r="B1250" s="8"/>
      <c r="C1250" s="8"/>
      <c r="D1250" s="8"/>
      <c r="E1250" s="8"/>
      <c r="F1250" s="8"/>
      <c r="G1250" s="8"/>
      <c r="H1250" s="8"/>
      <c r="I1250" s="10"/>
      <c r="J1250" s="10"/>
      <c r="K1250" s="18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ht="14.25" customHeight="1">
      <c r="A1251" s="9"/>
      <c r="B1251" s="8"/>
      <c r="C1251" s="8"/>
      <c r="D1251" s="8"/>
      <c r="E1251" s="8"/>
      <c r="F1251" s="8"/>
      <c r="G1251" s="8"/>
      <c r="H1251" s="8"/>
      <c r="I1251" s="10"/>
      <c r="J1251" s="10"/>
      <c r="K1251" s="18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ht="14.25" customHeight="1">
      <c r="A1252" s="9"/>
      <c r="B1252" s="8"/>
      <c r="C1252" s="8"/>
      <c r="D1252" s="8"/>
      <c r="E1252" s="8"/>
      <c r="F1252" s="8"/>
      <c r="G1252" s="8"/>
      <c r="H1252" s="8"/>
      <c r="I1252" s="10"/>
      <c r="J1252" s="10"/>
      <c r="K1252" s="18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ht="14.25" customHeight="1">
      <c r="A1253" s="9"/>
      <c r="B1253" s="8"/>
      <c r="C1253" s="8"/>
      <c r="D1253" s="8"/>
      <c r="E1253" s="8"/>
      <c r="F1253" s="8"/>
      <c r="G1253" s="8"/>
      <c r="H1253" s="8"/>
      <c r="I1253" s="10"/>
      <c r="J1253" s="10"/>
      <c r="K1253" s="18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ht="14.25" customHeight="1">
      <c r="A1254" s="9"/>
      <c r="B1254" s="8"/>
      <c r="C1254" s="8"/>
      <c r="D1254" s="8"/>
      <c r="E1254" s="8"/>
      <c r="F1254" s="8"/>
      <c r="G1254" s="8"/>
      <c r="H1254" s="8"/>
      <c r="I1254" s="10"/>
      <c r="J1254" s="10"/>
      <c r="K1254" s="18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ht="14.25" customHeight="1">
      <c r="A1255" s="9"/>
      <c r="B1255" s="8"/>
      <c r="C1255" s="8"/>
      <c r="D1255" s="8"/>
      <c r="E1255" s="8"/>
      <c r="F1255" s="8"/>
      <c r="G1255" s="8"/>
      <c r="H1255" s="8"/>
      <c r="I1255" s="10"/>
      <c r="J1255" s="10"/>
      <c r="K1255" s="18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ht="14.25" customHeight="1">
      <c r="A1256" s="9"/>
      <c r="B1256" s="8"/>
      <c r="C1256" s="8"/>
      <c r="D1256" s="8"/>
      <c r="E1256" s="8"/>
      <c r="F1256" s="8"/>
      <c r="G1256" s="8"/>
      <c r="H1256" s="8"/>
      <c r="I1256" s="10"/>
      <c r="J1256" s="10"/>
      <c r="K1256" s="18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ht="14.25" customHeight="1">
      <c r="A1257" s="9"/>
      <c r="B1257" s="8"/>
      <c r="C1257" s="8"/>
      <c r="D1257" s="8"/>
      <c r="E1257" s="8"/>
      <c r="F1257" s="8"/>
      <c r="G1257" s="8"/>
      <c r="H1257" s="8"/>
      <c r="I1257" s="10"/>
      <c r="J1257" s="10"/>
      <c r="K1257" s="18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ht="14.25" customHeight="1">
      <c r="A1258" s="9"/>
      <c r="B1258" s="8"/>
      <c r="C1258" s="8"/>
      <c r="D1258" s="8"/>
      <c r="E1258" s="8"/>
      <c r="F1258" s="8"/>
      <c r="G1258" s="8"/>
      <c r="H1258" s="8"/>
      <c r="I1258" s="10"/>
      <c r="J1258" s="10"/>
      <c r="K1258" s="18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ht="14.25" customHeight="1">
      <c r="A1259" s="9"/>
      <c r="B1259" s="8"/>
      <c r="C1259" s="8"/>
      <c r="D1259" s="8"/>
      <c r="E1259" s="8"/>
      <c r="F1259" s="8"/>
      <c r="G1259" s="8"/>
      <c r="H1259" s="8"/>
      <c r="I1259" s="10"/>
      <c r="J1259" s="10"/>
      <c r="K1259" s="18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ht="14.25" customHeight="1">
      <c r="A1260" s="9"/>
      <c r="B1260" s="8"/>
      <c r="C1260" s="8"/>
      <c r="D1260" s="8"/>
      <c r="E1260" s="8"/>
      <c r="F1260" s="8"/>
      <c r="G1260" s="8"/>
      <c r="H1260" s="8"/>
      <c r="I1260" s="10"/>
      <c r="J1260" s="10"/>
      <c r="K1260" s="18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ht="14.25" customHeight="1">
      <c r="A1261" s="9"/>
      <c r="B1261" s="8"/>
      <c r="C1261" s="8"/>
      <c r="D1261" s="8"/>
      <c r="E1261" s="8"/>
      <c r="F1261" s="8"/>
      <c r="G1261" s="8"/>
      <c r="H1261" s="8"/>
      <c r="I1261" s="10"/>
      <c r="J1261" s="10"/>
      <c r="K1261" s="18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ht="14.25" customHeight="1">
      <c r="A1262" s="9"/>
      <c r="B1262" s="8"/>
      <c r="C1262" s="8"/>
      <c r="D1262" s="8"/>
      <c r="E1262" s="8"/>
      <c r="F1262" s="8"/>
      <c r="G1262" s="8"/>
      <c r="H1262" s="8"/>
      <c r="I1262" s="10"/>
      <c r="J1262" s="10"/>
      <c r="K1262" s="18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ht="14.25" customHeight="1">
      <c r="A1263" s="9"/>
      <c r="B1263" s="8"/>
      <c r="C1263" s="8"/>
      <c r="D1263" s="8"/>
      <c r="E1263" s="8"/>
      <c r="F1263" s="8"/>
      <c r="G1263" s="8"/>
      <c r="H1263" s="8"/>
      <c r="I1263" s="10"/>
      <c r="J1263" s="10"/>
      <c r="K1263" s="18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ht="14.25" customHeight="1">
      <c r="A1264" s="9"/>
      <c r="B1264" s="8"/>
      <c r="C1264" s="8"/>
      <c r="D1264" s="8"/>
      <c r="E1264" s="8"/>
      <c r="F1264" s="8"/>
      <c r="G1264" s="8"/>
      <c r="H1264" s="8"/>
      <c r="I1264" s="10"/>
      <c r="J1264" s="10"/>
      <c r="K1264" s="18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ht="14.25" customHeight="1">
      <c r="A1265" s="9"/>
      <c r="B1265" s="8"/>
      <c r="C1265" s="8"/>
      <c r="D1265" s="8"/>
      <c r="E1265" s="8"/>
      <c r="F1265" s="8"/>
      <c r="G1265" s="8"/>
      <c r="H1265" s="8"/>
      <c r="I1265" s="10"/>
      <c r="J1265" s="10"/>
      <c r="K1265" s="18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ht="14.25" customHeight="1">
      <c r="A1266" s="9"/>
      <c r="B1266" s="8"/>
      <c r="C1266" s="8"/>
      <c r="D1266" s="8"/>
      <c r="E1266" s="8"/>
      <c r="F1266" s="8"/>
      <c r="G1266" s="8"/>
      <c r="H1266" s="8"/>
      <c r="I1266" s="10"/>
      <c r="J1266" s="10"/>
      <c r="K1266" s="18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ht="14.25" customHeight="1">
      <c r="A1267" s="9"/>
      <c r="B1267" s="8"/>
      <c r="C1267" s="8"/>
      <c r="D1267" s="8"/>
      <c r="E1267" s="8"/>
      <c r="F1267" s="8"/>
      <c r="G1267" s="8"/>
      <c r="H1267" s="8"/>
      <c r="I1267" s="10"/>
      <c r="J1267" s="10"/>
      <c r="K1267" s="18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ht="14.25" customHeight="1">
      <c r="A1268" s="9"/>
      <c r="B1268" s="8"/>
      <c r="C1268" s="8"/>
      <c r="D1268" s="8"/>
      <c r="E1268" s="8"/>
      <c r="F1268" s="8"/>
      <c r="G1268" s="8"/>
      <c r="H1268" s="8"/>
      <c r="I1268" s="10"/>
      <c r="J1268" s="10"/>
      <c r="K1268" s="18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ht="14.25" customHeight="1">
      <c r="A1269" s="9"/>
      <c r="B1269" s="8"/>
      <c r="C1269" s="8"/>
      <c r="D1269" s="8"/>
      <c r="E1269" s="8"/>
      <c r="F1269" s="8"/>
      <c r="G1269" s="8"/>
      <c r="H1269" s="8"/>
      <c r="I1269" s="10"/>
      <c r="J1269" s="10"/>
      <c r="K1269" s="18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ht="14.25" customHeight="1">
      <c r="A1270" s="9"/>
      <c r="B1270" s="8"/>
      <c r="C1270" s="8"/>
      <c r="D1270" s="8"/>
      <c r="E1270" s="8"/>
      <c r="F1270" s="8"/>
      <c r="G1270" s="8"/>
      <c r="H1270" s="8"/>
      <c r="I1270" s="10"/>
      <c r="J1270" s="10"/>
      <c r="K1270" s="18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ht="14.25" customHeight="1">
      <c r="A1271" s="9"/>
      <c r="B1271" s="8"/>
      <c r="C1271" s="8"/>
      <c r="D1271" s="8"/>
      <c r="E1271" s="8"/>
      <c r="F1271" s="8"/>
      <c r="G1271" s="8"/>
      <c r="H1271" s="8"/>
      <c r="I1271" s="10"/>
      <c r="J1271" s="10"/>
      <c r="K1271" s="18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ht="14.25" customHeight="1">
      <c r="A1272" s="9"/>
      <c r="B1272" s="8"/>
      <c r="C1272" s="8"/>
      <c r="D1272" s="8"/>
      <c r="E1272" s="8"/>
      <c r="F1272" s="8"/>
      <c r="G1272" s="8"/>
      <c r="H1272" s="8"/>
      <c r="I1272" s="10"/>
      <c r="J1272" s="10"/>
      <c r="K1272" s="18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ht="14.25" customHeight="1">
      <c r="A1273" s="9"/>
      <c r="B1273" s="8"/>
      <c r="C1273" s="8"/>
      <c r="D1273" s="8"/>
      <c r="E1273" s="8"/>
      <c r="F1273" s="8"/>
      <c r="G1273" s="8"/>
      <c r="H1273" s="8"/>
      <c r="I1273" s="10"/>
      <c r="J1273" s="10"/>
      <c r="K1273" s="18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ht="14.25" customHeight="1">
      <c r="A1274" s="9"/>
      <c r="B1274" s="8"/>
      <c r="C1274" s="8"/>
      <c r="D1274" s="8"/>
      <c r="E1274" s="8"/>
      <c r="F1274" s="8"/>
      <c r="G1274" s="8"/>
      <c r="H1274" s="8"/>
      <c r="I1274" s="10"/>
      <c r="J1274" s="10"/>
      <c r="K1274" s="18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ht="14.25" customHeight="1">
      <c r="A1275" s="9"/>
      <c r="B1275" s="8"/>
      <c r="C1275" s="8"/>
      <c r="D1275" s="8"/>
      <c r="E1275" s="8"/>
      <c r="F1275" s="8"/>
      <c r="G1275" s="8"/>
      <c r="H1275" s="8"/>
      <c r="I1275" s="10"/>
      <c r="J1275" s="10"/>
      <c r="K1275" s="18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ht="14.25" customHeight="1">
      <c r="A1276" s="9"/>
      <c r="B1276" s="8"/>
      <c r="C1276" s="8"/>
      <c r="D1276" s="8"/>
      <c r="E1276" s="8"/>
      <c r="F1276" s="8"/>
      <c r="G1276" s="8"/>
      <c r="H1276" s="8"/>
      <c r="I1276" s="10"/>
      <c r="J1276" s="10"/>
      <c r="K1276" s="18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ht="14.25" customHeight="1">
      <c r="A1277" s="9"/>
      <c r="B1277" s="8"/>
      <c r="C1277" s="8"/>
      <c r="D1277" s="8"/>
      <c r="E1277" s="8"/>
      <c r="F1277" s="8"/>
      <c r="G1277" s="8"/>
      <c r="H1277" s="8"/>
      <c r="I1277" s="10"/>
      <c r="J1277" s="10"/>
      <c r="K1277" s="18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ht="14.25" customHeight="1">
      <c r="A1278" s="9"/>
      <c r="B1278" s="8"/>
      <c r="C1278" s="8"/>
      <c r="D1278" s="8"/>
      <c r="E1278" s="8"/>
      <c r="F1278" s="8"/>
      <c r="G1278" s="8"/>
      <c r="H1278" s="8"/>
      <c r="I1278" s="10"/>
      <c r="J1278" s="10"/>
      <c r="K1278" s="18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ht="14.25" customHeight="1">
      <c r="A1279" s="9"/>
      <c r="B1279" s="8"/>
      <c r="C1279" s="8"/>
      <c r="D1279" s="8"/>
      <c r="E1279" s="8"/>
      <c r="F1279" s="8"/>
      <c r="G1279" s="8"/>
      <c r="H1279" s="8"/>
      <c r="I1279" s="10"/>
      <c r="J1279" s="10"/>
      <c r="K1279" s="18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ht="14.25" customHeight="1">
      <c r="A1280" s="9"/>
      <c r="B1280" s="8"/>
      <c r="C1280" s="8"/>
      <c r="D1280" s="8"/>
      <c r="E1280" s="8"/>
      <c r="F1280" s="8"/>
      <c r="G1280" s="8"/>
      <c r="H1280" s="8"/>
      <c r="I1280" s="10"/>
      <c r="J1280" s="10"/>
      <c r="K1280" s="18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ht="14.25" customHeight="1">
      <c r="A1281" s="9"/>
      <c r="B1281" s="8"/>
      <c r="C1281" s="8"/>
      <c r="D1281" s="8"/>
      <c r="E1281" s="8"/>
      <c r="F1281" s="8"/>
      <c r="G1281" s="8"/>
      <c r="H1281" s="8"/>
      <c r="I1281" s="10"/>
      <c r="J1281" s="10"/>
      <c r="K1281" s="18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ht="14.25" customHeight="1">
      <c r="A1282" s="9"/>
      <c r="B1282" s="8"/>
      <c r="C1282" s="8"/>
      <c r="D1282" s="8"/>
      <c r="E1282" s="8"/>
      <c r="F1282" s="8"/>
      <c r="G1282" s="8"/>
      <c r="H1282" s="8"/>
      <c r="I1282" s="10"/>
      <c r="J1282" s="10"/>
      <c r="K1282" s="18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ht="14.25" customHeight="1">
      <c r="A1283" s="9"/>
      <c r="B1283" s="8"/>
      <c r="C1283" s="8"/>
      <c r="D1283" s="8"/>
      <c r="E1283" s="8"/>
      <c r="F1283" s="8"/>
      <c r="G1283" s="8"/>
      <c r="H1283" s="8"/>
      <c r="I1283" s="10"/>
      <c r="J1283" s="10"/>
      <c r="K1283" s="18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ht="14.25" customHeight="1">
      <c r="A1284" s="9"/>
      <c r="B1284" s="8"/>
      <c r="C1284" s="8"/>
      <c r="D1284" s="8"/>
      <c r="E1284" s="8"/>
      <c r="F1284" s="8"/>
      <c r="G1284" s="8"/>
      <c r="H1284" s="8"/>
      <c r="I1284" s="10"/>
      <c r="J1284" s="10"/>
      <c r="K1284" s="18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ht="14.25" customHeight="1">
      <c r="A1285" s="9"/>
      <c r="B1285" s="8"/>
      <c r="C1285" s="8"/>
      <c r="D1285" s="8"/>
      <c r="E1285" s="8"/>
      <c r="F1285" s="8"/>
      <c r="G1285" s="8"/>
      <c r="H1285" s="8"/>
      <c r="I1285" s="10"/>
      <c r="J1285" s="10"/>
      <c r="K1285" s="18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ht="14.25" customHeight="1">
      <c r="A1286" s="9"/>
      <c r="B1286" s="8"/>
      <c r="C1286" s="8"/>
      <c r="D1286" s="8"/>
      <c r="E1286" s="8"/>
      <c r="F1286" s="8"/>
      <c r="G1286" s="8"/>
      <c r="H1286" s="8"/>
      <c r="I1286" s="10"/>
      <c r="J1286" s="10"/>
      <c r="K1286" s="18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ht="14.25" customHeight="1">
      <c r="A1287" s="9"/>
      <c r="B1287" s="8"/>
      <c r="C1287" s="8"/>
      <c r="D1287" s="8"/>
      <c r="E1287" s="8"/>
      <c r="F1287" s="8"/>
      <c r="G1287" s="8"/>
      <c r="H1287" s="8"/>
      <c r="I1287" s="10"/>
      <c r="J1287" s="10"/>
      <c r="K1287" s="18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ht="14.25" customHeight="1">
      <c r="A1288" s="9"/>
      <c r="B1288" s="8"/>
      <c r="C1288" s="8"/>
      <c r="D1288" s="8"/>
      <c r="E1288" s="8"/>
      <c r="F1288" s="8"/>
      <c r="G1288" s="8"/>
      <c r="H1288" s="8"/>
      <c r="I1288" s="10"/>
      <c r="J1288" s="10"/>
      <c r="K1288" s="18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 ht="14.25" customHeight="1">
      <c r="A1289" s="9"/>
      <c r="B1289" s="8"/>
      <c r="C1289" s="8"/>
      <c r="D1289" s="8"/>
      <c r="E1289" s="8"/>
      <c r="F1289" s="8"/>
      <c r="G1289" s="8"/>
      <c r="H1289" s="8"/>
      <c r="I1289" s="10"/>
      <c r="J1289" s="10"/>
      <c r="K1289" s="18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 ht="14.25" customHeight="1">
      <c r="A1290" s="9"/>
      <c r="B1290" s="8"/>
      <c r="C1290" s="8"/>
      <c r="D1290" s="8"/>
      <c r="E1290" s="8"/>
      <c r="F1290" s="8"/>
      <c r="G1290" s="8"/>
      <c r="H1290" s="8"/>
      <c r="I1290" s="10"/>
      <c r="J1290" s="10"/>
      <c r="K1290" s="18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</row>
    <row r="1291" ht="14.25" customHeight="1">
      <c r="A1291" s="9"/>
      <c r="B1291" s="8"/>
      <c r="C1291" s="8"/>
      <c r="D1291" s="8"/>
      <c r="E1291" s="8"/>
      <c r="F1291" s="8"/>
      <c r="G1291" s="8"/>
      <c r="H1291" s="8"/>
      <c r="I1291" s="10"/>
      <c r="J1291" s="10"/>
      <c r="K1291" s="18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 ht="14.25" customHeight="1">
      <c r="A1292" s="9"/>
      <c r="B1292" s="8"/>
      <c r="C1292" s="8"/>
      <c r="D1292" s="8"/>
      <c r="E1292" s="8"/>
      <c r="F1292" s="8"/>
      <c r="G1292" s="8"/>
      <c r="H1292" s="8"/>
      <c r="I1292" s="10"/>
      <c r="J1292" s="10"/>
      <c r="K1292" s="18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</row>
    <row r="1293" ht="14.25" customHeight="1">
      <c r="A1293" s="9"/>
      <c r="B1293" s="8"/>
      <c r="C1293" s="8"/>
      <c r="D1293" s="8"/>
      <c r="E1293" s="8"/>
      <c r="F1293" s="8"/>
      <c r="G1293" s="8"/>
      <c r="H1293" s="8"/>
      <c r="I1293" s="10"/>
      <c r="J1293" s="10"/>
      <c r="K1293" s="18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ht="14.25" customHeight="1">
      <c r="A1294" s="9"/>
      <c r="B1294" s="8"/>
      <c r="C1294" s="8"/>
      <c r="D1294" s="8"/>
      <c r="E1294" s="8"/>
      <c r="F1294" s="8"/>
      <c r="G1294" s="8"/>
      <c r="H1294" s="8"/>
      <c r="I1294" s="10"/>
      <c r="J1294" s="10"/>
      <c r="K1294" s="18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 ht="14.25" customHeight="1">
      <c r="A1295" s="9"/>
      <c r="B1295" s="8"/>
      <c r="C1295" s="8"/>
      <c r="D1295" s="8"/>
      <c r="E1295" s="8"/>
      <c r="F1295" s="8"/>
      <c r="G1295" s="8"/>
      <c r="H1295" s="8"/>
      <c r="I1295" s="10"/>
      <c r="J1295" s="10"/>
      <c r="K1295" s="18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 ht="14.25" customHeight="1">
      <c r="A1296" s="9"/>
      <c r="B1296" s="8"/>
      <c r="C1296" s="8"/>
      <c r="D1296" s="8"/>
      <c r="E1296" s="8"/>
      <c r="F1296" s="8"/>
      <c r="G1296" s="8"/>
      <c r="H1296" s="8"/>
      <c r="I1296" s="10"/>
      <c r="J1296" s="10"/>
      <c r="K1296" s="18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 ht="14.25" customHeight="1">
      <c r="A1297" s="9"/>
      <c r="B1297" s="8"/>
      <c r="C1297" s="8"/>
      <c r="D1297" s="8"/>
      <c r="E1297" s="8"/>
      <c r="F1297" s="8"/>
      <c r="G1297" s="8"/>
      <c r="H1297" s="8"/>
      <c r="I1297" s="10"/>
      <c r="J1297" s="10"/>
      <c r="K1297" s="18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</row>
    <row r="1298" ht="14.25" customHeight="1">
      <c r="A1298" s="9"/>
      <c r="B1298" s="8"/>
      <c r="C1298" s="8"/>
      <c r="D1298" s="8"/>
      <c r="E1298" s="8"/>
      <c r="F1298" s="8"/>
      <c r="G1298" s="8"/>
      <c r="H1298" s="8"/>
      <c r="I1298" s="10"/>
      <c r="J1298" s="10"/>
      <c r="K1298" s="18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ht="14.25" customHeight="1">
      <c r="A1299" s="9"/>
      <c r="B1299" s="8"/>
      <c r="C1299" s="8"/>
      <c r="D1299" s="8"/>
      <c r="E1299" s="8"/>
      <c r="F1299" s="8"/>
      <c r="G1299" s="8"/>
      <c r="H1299" s="8"/>
      <c r="I1299" s="10"/>
      <c r="J1299" s="10"/>
      <c r="K1299" s="18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</row>
    <row r="1300" ht="14.25" customHeight="1">
      <c r="A1300" s="9"/>
      <c r="B1300" s="8"/>
      <c r="C1300" s="8"/>
      <c r="D1300" s="8"/>
      <c r="E1300" s="8"/>
      <c r="F1300" s="8"/>
      <c r="G1300" s="8"/>
      <c r="H1300" s="8"/>
      <c r="I1300" s="10"/>
      <c r="J1300" s="10"/>
      <c r="K1300" s="18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 ht="14.25" customHeight="1">
      <c r="A1301" s="9"/>
      <c r="B1301" s="8"/>
      <c r="C1301" s="8"/>
      <c r="D1301" s="8"/>
      <c r="E1301" s="8"/>
      <c r="F1301" s="8"/>
      <c r="G1301" s="8"/>
      <c r="H1301" s="8"/>
      <c r="I1301" s="10"/>
      <c r="J1301" s="10"/>
      <c r="K1301" s="18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 ht="14.25" customHeight="1">
      <c r="A1302" s="9"/>
      <c r="B1302" s="8"/>
      <c r="C1302" s="8"/>
      <c r="D1302" s="8"/>
      <c r="E1302" s="8"/>
      <c r="F1302" s="8"/>
      <c r="G1302" s="8"/>
      <c r="H1302" s="8"/>
      <c r="I1302" s="10"/>
      <c r="J1302" s="10"/>
      <c r="K1302" s="18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</row>
    <row r="1303" ht="14.25" customHeight="1">
      <c r="A1303" s="9"/>
      <c r="B1303" s="8"/>
      <c r="C1303" s="8"/>
      <c r="D1303" s="8"/>
      <c r="E1303" s="8"/>
      <c r="F1303" s="8"/>
      <c r="G1303" s="8"/>
      <c r="H1303" s="8"/>
      <c r="I1303" s="10"/>
      <c r="J1303" s="10"/>
      <c r="K1303" s="18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</row>
    <row r="1304" ht="14.25" customHeight="1">
      <c r="A1304" s="9"/>
      <c r="B1304" s="8"/>
      <c r="C1304" s="8"/>
      <c r="D1304" s="8"/>
      <c r="E1304" s="8"/>
      <c r="F1304" s="8"/>
      <c r="G1304" s="8"/>
      <c r="H1304" s="8"/>
      <c r="I1304" s="10"/>
      <c r="J1304" s="10"/>
      <c r="K1304" s="18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</row>
    <row r="1305" ht="14.25" customHeight="1">
      <c r="A1305" s="9"/>
      <c r="B1305" s="8"/>
      <c r="C1305" s="8"/>
      <c r="D1305" s="8"/>
      <c r="E1305" s="8"/>
      <c r="F1305" s="8"/>
      <c r="G1305" s="8"/>
      <c r="H1305" s="8"/>
      <c r="I1305" s="10"/>
      <c r="J1305" s="10"/>
      <c r="K1305" s="18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 ht="14.25" customHeight="1">
      <c r="A1306" s="9"/>
      <c r="B1306" s="8"/>
      <c r="C1306" s="8"/>
      <c r="D1306" s="8"/>
      <c r="E1306" s="8"/>
      <c r="F1306" s="8"/>
      <c r="G1306" s="8"/>
      <c r="H1306" s="8"/>
      <c r="I1306" s="10"/>
      <c r="J1306" s="10"/>
      <c r="K1306" s="18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 ht="14.25" customHeight="1">
      <c r="A1307" s="9"/>
      <c r="B1307" s="8"/>
      <c r="C1307" s="8"/>
      <c r="D1307" s="8"/>
      <c r="E1307" s="8"/>
      <c r="F1307" s="8"/>
      <c r="G1307" s="8"/>
      <c r="H1307" s="8"/>
      <c r="I1307" s="10"/>
      <c r="J1307" s="10"/>
      <c r="K1307" s="18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 ht="14.25" customHeight="1">
      <c r="A1308" s="9"/>
      <c r="B1308" s="8"/>
      <c r="C1308" s="8"/>
      <c r="D1308" s="8"/>
      <c r="E1308" s="8"/>
      <c r="F1308" s="8"/>
      <c r="G1308" s="8"/>
      <c r="H1308" s="8"/>
      <c r="I1308" s="10"/>
      <c r="J1308" s="10"/>
      <c r="K1308" s="18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</row>
    <row r="1309" ht="14.25" customHeight="1">
      <c r="A1309" s="9"/>
      <c r="B1309" s="8"/>
      <c r="C1309" s="8"/>
      <c r="D1309" s="8"/>
      <c r="E1309" s="8"/>
      <c r="F1309" s="8"/>
      <c r="G1309" s="8"/>
      <c r="H1309" s="8"/>
      <c r="I1309" s="10"/>
      <c r="J1309" s="10"/>
      <c r="K1309" s="18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</row>
    <row r="1310" ht="14.25" customHeight="1">
      <c r="A1310" s="9"/>
      <c r="B1310" s="8"/>
      <c r="C1310" s="8"/>
      <c r="D1310" s="8"/>
      <c r="E1310" s="8"/>
      <c r="F1310" s="8"/>
      <c r="G1310" s="8"/>
      <c r="H1310" s="8"/>
      <c r="I1310" s="10"/>
      <c r="J1310" s="10"/>
      <c r="K1310" s="18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 ht="14.25" customHeight="1">
      <c r="A1311" s="9"/>
      <c r="B1311" s="8"/>
      <c r="C1311" s="8"/>
      <c r="D1311" s="8"/>
      <c r="E1311" s="8"/>
      <c r="F1311" s="8"/>
      <c r="G1311" s="8"/>
      <c r="H1311" s="8"/>
      <c r="I1311" s="10"/>
      <c r="J1311" s="10"/>
      <c r="K1311" s="18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</row>
    <row r="1312" ht="14.25" customHeight="1">
      <c r="A1312" s="9"/>
      <c r="B1312" s="8"/>
      <c r="C1312" s="8"/>
      <c r="D1312" s="8"/>
      <c r="E1312" s="8"/>
      <c r="F1312" s="8"/>
      <c r="G1312" s="8"/>
      <c r="H1312" s="8"/>
      <c r="I1312" s="10"/>
      <c r="J1312" s="10"/>
      <c r="K1312" s="18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</row>
    <row r="1313" ht="14.25" customHeight="1">
      <c r="A1313" s="9"/>
      <c r="B1313" s="8"/>
      <c r="C1313" s="8"/>
      <c r="D1313" s="8"/>
      <c r="E1313" s="8"/>
      <c r="F1313" s="8"/>
      <c r="G1313" s="8"/>
      <c r="H1313" s="8"/>
      <c r="I1313" s="10"/>
      <c r="J1313" s="10"/>
      <c r="K1313" s="18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 ht="14.25" customHeight="1">
      <c r="A1314" s="9"/>
      <c r="B1314" s="8"/>
      <c r="C1314" s="8"/>
      <c r="D1314" s="8"/>
      <c r="E1314" s="8"/>
      <c r="F1314" s="8"/>
      <c r="G1314" s="8"/>
      <c r="H1314" s="8"/>
      <c r="I1314" s="10"/>
      <c r="J1314" s="10"/>
      <c r="K1314" s="18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</row>
    <row r="1315" ht="14.25" customHeight="1">
      <c r="A1315" s="9"/>
      <c r="B1315" s="8"/>
      <c r="C1315" s="8"/>
      <c r="D1315" s="8"/>
      <c r="E1315" s="8"/>
      <c r="F1315" s="8"/>
      <c r="G1315" s="8"/>
      <c r="H1315" s="8"/>
      <c r="I1315" s="10"/>
      <c r="J1315" s="10"/>
      <c r="K1315" s="18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</row>
    <row r="1316" ht="14.25" customHeight="1">
      <c r="A1316" s="9"/>
      <c r="B1316" s="8"/>
      <c r="C1316" s="8"/>
      <c r="D1316" s="8"/>
      <c r="E1316" s="8"/>
      <c r="F1316" s="8"/>
      <c r="G1316" s="8"/>
      <c r="H1316" s="8"/>
      <c r="I1316" s="10"/>
      <c r="J1316" s="10"/>
      <c r="K1316" s="18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</row>
    <row r="1317" ht="14.25" customHeight="1">
      <c r="A1317" s="9"/>
      <c r="B1317" s="8"/>
      <c r="C1317" s="8"/>
      <c r="D1317" s="8"/>
      <c r="E1317" s="8"/>
      <c r="F1317" s="8"/>
      <c r="G1317" s="8"/>
      <c r="H1317" s="8"/>
      <c r="I1317" s="10"/>
      <c r="J1317" s="10"/>
      <c r="K1317" s="18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</row>
    <row r="1318" ht="14.25" customHeight="1">
      <c r="A1318" s="9"/>
      <c r="B1318" s="8"/>
      <c r="C1318" s="8"/>
      <c r="D1318" s="8"/>
      <c r="E1318" s="8"/>
      <c r="F1318" s="8"/>
      <c r="G1318" s="8"/>
      <c r="H1318" s="8"/>
      <c r="I1318" s="10"/>
      <c r="J1318" s="10"/>
      <c r="K1318" s="18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</row>
    <row r="1319" ht="14.25" customHeight="1">
      <c r="A1319" s="9"/>
      <c r="B1319" s="8"/>
      <c r="C1319" s="8"/>
      <c r="D1319" s="8"/>
      <c r="E1319" s="8"/>
      <c r="F1319" s="8"/>
      <c r="G1319" s="8"/>
      <c r="H1319" s="8"/>
      <c r="I1319" s="10"/>
      <c r="J1319" s="10"/>
      <c r="K1319" s="18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</row>
    <row r="1320" ht="14.25" customHeight="1">
      <c r="A1320" s="9"/>
      <c r="B1320" s="8"/>
      <c r="C1320" s="8"/>
      <c r="D1320" s="8"/>
      <c r="E1320" s="8"/>
      <c r="F1320" s="8"/>
      <c r="G1320" s="8"/>
      <c r="H1320" s="8"/>
      <c r="I1320" s="10"/>
      <c r="J1320" s="10"/>
      <c r="K1320" s="18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</row>
    <row r="1321" ht="14.25" customHeight="1">
      <c r="A1321" s="9"/>
      <c r="B1321" s="8"/>
      <c r="C1321" s="8"/>
      <c r="D1321" s="8"/>
      <c r="E1321" s="8"/>
      <c r="F1321" s="8"/>
      <c r="G1321" s="8"/>
      <c r="H1321" s="8"/>
      <c r="I1321" s="10"/>
      <c r="J1321" s="10"/>
      <c r="K1321" s="18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</row>
    <row r="1322" ht="14.25" customHeight="1">
      <c r="A1322" s="9"/>
      <c r="B1322" s="8"/>
      <c r="C1322" s="8"/>
      <c r="D1322" s="8"/>
      <c r="E1322" s="8"/>
      <c r="F1322" s="8"/>
      <c r="G1322" s="8"/>
      <c r="H1322" s="8"/>
      <c r="I1322" s="10"/>
      <c r="J1322" s="10"/>
      <c r="K1322" s="18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</row>
    <row r="1323" ht="14.25" customHeight="1">
      <c r="A1323" s="9"/>
      <c r="B1323" s="8"/>
      <c r="C1323" s="8"/>
      <c r="D1323" s="8"/>
      <c r="E1323" s="8"/>
      <c r="F1323" s="8"/>
      <c r="G1323" s="8"/>
      <c r="H1323" s="8"/>
      <c r="I1323" s="10"/>
      <c r="J1323" s="10"/>
      <c r="K1323" s="18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</row>
    <row r="1324" ht="14.25" customHeight="1">
      <c r="A1324" s="9"/>
      <c r="B1324" s="8"/>
      <c r="C1324" s="8"/>
      <c r="D1324" s="8"/>
      <c r="E1324" s="8"/>
      <c r="F1324" s="8"/>
      <c r="G1324" s="8"/>
      <c r="H1324" s="8"/>
      <c r="I1324" s="10"/>
      <c r="J1324" s="10"/>
      <c r="K1324" s="18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</row>
    <row r="1325" ht="14.25" customHeight="1">
      <c r="A1325" s="9"/>
      <c r="B1325" s="8"/>
      <c r="C1325" s="8"/>
      <c r="D1325" s="8"/>
      <c r="E1325" s="8"/>
      <c r="F1325" s="8"/>
      <c r="G1325" s="8"/>
      <c r="H1325" s="8"/>
      <c r="I1325" s="10"/>
      <c r="J1325" s="10"/>
      <c r="K1325" s="18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</row>
    <row r="1326" ht="14.25" customHeight="1">
      <c r="A1326" s="9"/>
      <c r="B1326" s="8"/>
      <c r="C1326" s="8"/>
      <c r="D1326" s="8"/>
      <c r="E1326" s="8"/>
      <c r="F1326" s="8"/>
      <c r="G1326" s="8"/>
      <c r="H1326" s="8"/>
      <c r="I1326" s="10"/>
      <c r="J1326" s="10"/>
      <c r="K1326" s="18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</row>
    <row r="1327" ht="14.25" customHeight="1">
      <c r="A1327" s="9"/>
      <c r="B1327" s="8"/>
      <c r="C1327" s="8"/>
      <c r="D1327" s="8"/>
      <c r="E1327" s="8"/>
      <c r="F1327" s="8"/>
      <c r="G1327" s="8"/>
      <c r="H1327" s="8"/>
      <c r="I1327" s="10"/>
      <c r="J1327" s="10"/>
      <c r="K1327" s="18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</row>
    <row r="1328" ht="14.25" customHeight="1">
      <c r="A1328" s="9"/>
      <c r="B1328" s="8"/>
      <c r="C1328" s="8"/>
      <c r="D1328" s="8"/>
      <c r="E1328" s="8"/>
      <c r="F1328" s="8"/>
      <c r="G1328" s="8"/>
      <c r="H1328" s="8"/>
      <c r="I1328" s="10"/>
      <c r="J1328" s="10"/>
      <c r="K1328" s="18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</row>
    <row r="1329" ht="14.25" customHeight="1">
      <c r="A1329" s="9"/>
      <c r="B1329" s="8"/>
      <c r="C1329" s="8"/>
      <c r="D1329" s="8"/>
      <c r="E1329" s="8"/>
      <c r="F1329" s="8"/>
      <c r="G1329" s="8"/>
      <c r="H1329" s="8"/>
      <c r="I1329" s="10"/>
      <c r="J1329" s="10"/>
      <c r="K1329" s="18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</row>
    <row r="1330" ht="14.25" customHeight="1">
      <c r="A1330" s="9"/>
      <c r="B1330" s="8"/>
      <c r="C1330" s="8"/>
      <c r="D1330" s="8"/>
      <c r="E1330" s="8"/>
      <c r="F1330" s="8"/>
      <c r="G1330" s="8"/>
      <c r="H1330" s="8"/>
      <c r="I1330" s="10"/>
      <c r="J1330" s="10"/>
      <c r="K1330" s="18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</row>
    <row r="1331" ht="14.25" customHeight="1">
      <c r="A1331" s="9"/>
      <c r="B1331" s="8"/>
      <c r="C1331" s="8"/>
      <c r="D1331" s="8"/>
      <c r="E1331" s="8"/>
      <c r="F1331" s="8"/>
      <c r="G1331" s="8"/>
      <c r="H1331" s="8"/>
      <c r="I1331" s="10"/>
      <c r="J1331" s="10"/>
      <c r="K1331" s="18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</row>
    <row r="1332" ht="14.25" customHeight="1">
      <c r="A1332" s="9"/>
      <c r="B1332" s="8"/>
      <c r="C1332" s="8"/>
      <c r="D1332" s="8"/>
      <c r="E1332" s="8"/>
      <c r="F1332" s="8"/>
      <c r="G1332" s="8"/>
      <c r="H1332" s="8"/>
      <c r="I1332" s="10"/>
      <c r="J1332" s="10"/>
      <c r="K1332" s="18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</row>
    <row r="1333" ht="14.25" customHeight="1">
      <c r="A1333" s="9"/>
      <c r="B1333" s="8"/>
      <c r="C1333" s="8"/>
      <c r="D1333" s="8"/>
      <c r="E1333" s="8"/>
      <c r="F1333" s="8"/>
      <c r="G1333" s="8"/>
      <c r="H1333" s="8"/>
      <c r="I1333" s="10"/>
      <c r="J1333" s="10"/>
      <c r="K1333" s="18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</row>
    <row r="1334" ht="14.25" customHeight="1">
      <c r="A1334" s="9"/>
      <c r="B1334" s="8"/>
      <c r="C1334" s="8"/>
      <c r="D1334" s="8"/>
      <c r="E1334" s="8"/>
      <c r="F1334" s="8"/>
      <c r="G1334" s="8"/>
      <c r="H1334" s="8"/>
      <c r="I1334" s="10"/>
      <c r="J1334" s="10"/>
      <c r="K1334" s="18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</row>
    <row r="1335" ht="14.25" customHeight="1">
      <c r="A1335" s="9"/>
      <c r="B1335" s="8"/>
      <c r="C1335" s="8"/>
      <c r="D1335" s="8"/>
      <c r="E1335" s="8"/>
      <c r="F1335" s="8"/>
      <c r="G1335" s="8"/>
      <c r="H1335" s="8"/>
      <c r="I1335" s="10"/>
      <c r="J1335" s="10"/>
      <c r="K1335" s="18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</row>
    <row r="1336" ht="14.25" customHeight="1">
      <c r="A1336" s="9"/>
      <c r="B1336" s="8"/>
      <c r="C1336" s="8"/>
      <c r="D1336" s="8"/>
      <c r="E1336" s="8"/>
      <c r="F1336" s="8"/>
      <c r="G1336" s="8"/>
      <c r="H1336" s="8"/>
      <c r="I1336" s="10"/>
      <c r="J1336" s="10"/>
      <c r="K1336" s="18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</row>
    <row r="1337" ht="14.25" customHeight="1">
      <c r="A1337" s="9"/>
      <c r="B1337" s="8"/>
      <c r="C1337" s="8"/>
      <c r="D1337" s="8"/>
      <c r="E1337" s="8"/>
      <c r="F1337" s="8"/>
      <c r="G1337" s="8"/>
      <c r="H1337" s="8"/>
      <c r="I1337" s="10"/>
      <c r="J1337" s="10"/>
      <c r="K1337" s="18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</row>
    <row r="1338" ht="14.25" customHeight="1">
      <c r="A1338" s="9"/>
      <c r="B1338" s="8"/>
      <c r="C1338" s="8"/>
      <c r="D1338" s="8"/>
      <c r="E1338" s="8"/>
      <c r="F1338" s="8"/>
      <c r="G1338" s="8"/>
      <c r="H1338" s="8"/>
      <c r="I1338" s="10"/>
      <c r="J1338" s="10"/>
      <c r="K1338" s="18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</row>
    <row r="1339" ht="14.25" customHeight="1">
      <c r="A1339" s="9"/>
      <c r="B1339" s="8"/>
      <c r="C1339" s="8"/>
      <c r="D1339" s="8"/>
      <c r="E1339" s="8"/>
      <c r="F1339" s="8"/>
      <c r="G1339" s="8"/>
      <c r="H1339" s="8"/>
      <c r="I1339" s="10"/>
      <c r="J1339" s="10"/>
      <c r="K1339" s="18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</row>
    <row r="1340" ht="14.25" customHeight="1">
      <c r="A1340" s="9"/>
      <c r="B1340" s="8"/>
      <c r="C1340" s="8"/>
      <c r="D1340" s="8"/>
      <c r="E1340" s="8"/>
      <c r="F1340" s="8"/>
      <c r="G1340" s="8"/>
      <c r="H1340" s="8"/>
      <c r="I1340" s="10"/>
      <c r="J1340" s="10"/>
      <c r="K1340" s="18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</row>
    <row r="1341" ht="14.25" customHeight="1">
      <c r="A1341" s="9"/>
      <c r="B1341" s="8"/>
      <c r="C1341" s="8"/>
      <c r="D1341" s="8"/>
      <c r="E1341" s="8"/>
      <c r="F1341" s="8"/>
      <c r="G1341" s="8"/>
      <c r="H1341" s="8"/>
      <c r="I1341" s="10"/>
      <c r="J1341" s="10"/>
      <c r="K1341" s="18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</row>
    <row r="1342" ht="14.25" customHeight="1">
      <c r="A1342" s="9"/>
      <c r="B1342" s="8"/>
      <c r="C1342" s="8"/>
      <c r="D1342" s="8"/>
      <c r="E1342" s="8"/>
      <c r="F1342" s="8"/>
      <c r="G1342" s="8"/>
      <c r="H1342" s="8"/>
      <c r="I1342" s="10"/>
      <c r="J1342" s="10"/>
      <c r="K1342" s="18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</row>
    <row r="1343" ht="14.25" customHeight="1">
      <c r="A1343" s="9"/>
      <c r="B1343" s="8"/>
      <c r="C1343" s="8"/>
      <c r="D1343" s="8"/>
      <c r="E1343" s="8"/>
      <c r="F1343" s="8"/>
      <c r="G1343" s="8"/>
      <c r="H1343" s="8"/>
      <c r="I1343" s="10"/>
      <c r="J1343" s="10"/>
      <c r="K1343" s="18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</row>
    <row r="1344" ht="14.25" customHeight="1">
      <c r="A1344" s="9"/>
      <c r="B1344" s="8"/>
      <c r="C1344" s="8"/>
      <c r="D1344" s="8"/>
      <c r="E1344" s="8"/>
      <c r="F1344" s="8"/>
      <c r="G1344" s="8"/>
      <c r="H1344" s="8"/>
      <c r="I1344" s="10"/>
      <c r="J1344" s="10"/>
      <c r="K1344" s="18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</row>
    <row r="1345" ht="14.25" customHeight="1">
      <c r="A1345" s="9"/>
      <c r="B1345" s="8"/>
      <c r="C1345" s="8"/>
      <c r="D1345" s="8"/>
      <c r="E1345" s="8"/>
      <c r="F1345" s="8"/>
      <c r="G1345" s="8"/>
      <c r="H1345" s="8"/>
      <c r="I1345" s="10"/>
      <c r="J1345" s="10"/>
      <c r="K1345" s="18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</row>
    <row r="1346" ht="14.25" customHeight="1">
      <c r="A1346" s="9"/>
      <c r="B1346" s="8"/>
      <c r="C1346" s="8"/>
      <c r="D1346" s="8"/>
      <c r="E1346" s="8"/>
      <c r="F1346" s="8"/>
      <c r="G1346" s="8"/>
      <c r="H1346" s="8"/>
      <c r="I1346" s="10"/>
      <c r="J1346" s="10"/>
      <c r="K1346" s="18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</row>
    <row r="1347" ht="14.25" customHeight="1">
      <c r="A1347" s="9"/>
      <c r="B1347" s="8"/>
      <c r="C1347" s="8"/>
      <c r="D1347" s="8"/>
      <c r="E1347" s="8"/>
      <c r="F1347" s="8"/>
      <c r="G1347" s="8"/>
      <c r="H1347" s="8"/>
      <c r="I1347" s="10"/>
      <c r="J1347" s="10"/>
      <c r="K1347" s="18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</row>
    <row r="1348" ht="14.25" customHeight="1">
      <c r="A1348" s="9"/>
      <c r="B1348" s="8"/>
      <c r="C1348" s="8"/>
      <c r="D1348" s="8"/>
      <c r="E1348" s="8"/>
      <c r="F1348" s="8"/>
      <c r="G1348" s="8"/>
      <c r="H1348" s="8"/>
      <c r="I1348" s="10"/>
      <c r="J1348" s="10"/>
      <c r="K1348" s="18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</row>
    <row r="1349" ht="14.25" customHeight="1">
      <c r="A1349" s="9"/>
      <c r="B1349" s="8"/>
      <c r="C1349" s="8"/>
      <c r="D1349" s="8"/>
      <c r="E1349" s="8"/>
      <c r="F1349" s="8"/>
      <c r="G1349" s="8"/>
      <c r="H1349" s="8"/>
      <c r="I1349" s="10"/>
      <c r="J1349" s="10"/>
      <c r="K1349" s="18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</row>
    <row r="1350" ht="14.25" customHeight="1">
      <c r="A1350" s="9"/>
      <c r="B1350" s="8"/>
      <c r="C1350" s="8"/>
      <c r="D1350" s="8"/>
      <c r="E1350" s="8"/>
      <c r="F1350" s="8"/>
      <c r="G1350" s="8"/>
      <c r="H1350" s="8"/>
      <c r="I1350" s="10"/>
      <c r="J1350" s="10"/>
      <c r="K1350" s="18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</row>
    <row r="1351" ht="14.25" customHeight="1">
      <c r="A1351" s="9"/>
      <c r="B1351" s="8"/>
      <c r="C1351" s="8"/>
      <c r="D1351" s="8"/>
      <c r="E1351" s="8"/>
      <c r="F1351" s="8"/>
      <c r="G1351" s="8"/>
      <c r="H1351" s="8"/>
      <c r="I1351" s="10"/>
      <c r="J1351" s="10"/>
      <c r="K1351" s="18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</row>
    <row r="1352" ht="14.25" customHeight="1">
      <c r="A1352" s="9"/>
      <c r="B1352" s="8"/>
      <c r="C1352" s="8"/>
      <c r="D1352" s="8"/>
      <c r="E1352" s="8"/>
      <c r="F1352" s="8"/>
      <c r="G1352" s="8"/>
      <c r="H1352" s="8"/>
      <c r="I1352" s="10"/>
      <c r="J1352" s="10"/>
      <c r="K1352" s="18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</row>
    <row r="1353" ht="14.25" customHeight="1">
      <c r="A1353" s="9"/>
      <c r="B1353" s="8"/>
      <c r="C1353" s="8"/>
      <c r="D1353" s="8"/>
      <c r="E1353" s="8"/>
      <c r="F1353" s="8"/>
      <c r="G1353" s="8"/>
      <c r="H1353" s="8"/>
      <c r="I1353" s="10"/>
      <c r="J1353" s="10"/>
      <c r="K1353" s="18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</row>
    <row r="1354" ht="14.25" customHeight="1">
      <c r="A1354" s="9"/>
      <c r="B1354" s="8"/>
      <c r="C1354" s="8"/>
      <c r="D1354" s="8"/>
      <c r="E1354" s="8"/>
      <c r="F1354" s="8"/>
      <c r="G1354" s="8"/>
      <c r="H1354" s="8"/>
      <c r="I1354" s="10"/>
      <c r="J1354" s="10"/>
      <c r="K1354" s="18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</row>
    <row r="1355" ht="14.25" customHeight="1">
      <c r="A1355" s="9"/>
      <c r="B1355" s="8"/>
      <c r="C1355" s="8"/>
      <c r="D1355" s="8"/>
      <c r="E1355" s="8"/>
      <c r="F1355" s="8"/>
      <c r="G1355" s="8"/>
      <c r="H1355" s="8"/>
      <c r="I1355" s="10"/>
      <c r="J1355" s="10"/>
      <c r="K1355" s="18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</row>
    <row r="1356" ht="14.25" customHeight="1">
      <c r="A1356" s="9"/>
      <c r="B1356" s="8"/>
      <c r="C1356" s="8"/>
      <c r="D1356" s="8"/>
      <c r="E1356" s="8"/>
      <c r="F1356" s="8"/>
      <c r="G1356" s="8"/>
      <c r="H1356" s="8"/>
      <c r="I1356" s="10"/>
      <c r="J1356" s="10"/>
      <c r="K1356" s="18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</row>
    <row r="1357" ht="14.25" customHeight="1">
      <c r="A1357" s="9"/>
      <c r="B1357" s="8"/>
      <c r="C1357" s="8"/>
      <c r="D1357" s="8"/>
      <c r="E1357" s="8"/>
      <c r="F1357" s="8"/>
      <c r="G1357" s="8"/>
      <c r="H1357" s="8"/>
      <c r="I1357" s="10"/>
      <c r="J1357" s="10"/>
      <c r="K1357" s="18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</row>
    <row r="1358" ht="14.25" customHeight="1">
      <c r="A1358" s="9"/>
      <c r="B1358" s="8"/>
      <c r="C1358" s="8"/>
      <c r="D1358" s="8"/>
      <c r="E1358" s="8"/>
      <c r="F1358" s="8"/>
      <c r="G1358" s="8"/>
      <c r="H1358" s="8"/>
      <c r="I1358" s="10"/>
      <c r="J1358" s="10"/>
      <c r="K1358" s="18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</row>
    <row r="1359" ht="14.25" customHeight="1">
      <c r="A1359" s="9"/>
      <c r="B1359" s="8"/>
      <c r="C1359" s="8"/>
      <c r="D1359" s="8"/>
      <c r="E1359" s="8"/>
      <c r="F1359" s="8"/>
      <c r="G1359" s="8"/>
      <c r="H1359" s="8"/>
      <c r="I1359" s="10"/>
      <c r="J1359" s="10"/>
      <c r="K1359" s="18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</row>
    <row r="1360" ht="14.25" customHeight="1">
      <c r="A1360" s="9"/>
      <c r="B1360" s="8"/>
      <c r="C1360" s="8"/>
      <c r="D1360" s="8"/>
      <c r="E1360" s="8"/>
      <c r="F1360" s="8"/>
      <c r="G1360" s="8"/>
      <c r="H1360" s="8"/>
      <c r="I1360" s="10"/>
      <c r="J1360" s="10"/>
      <c r="K1360" s="18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</row>
    <row r="1361" ht="14.25" customHeight="1">
      <c r="A1361" s="9"/>
      <c r="B1361" s="8"/>
      <c r="C1361" s="8"/>
      <c r="D1361" s="8"/>
      <c r="E1361" s="8"/>
      <c r="F1361" s="8"/>
      <c r="G1361" s="8"/>
      <c r="H1361" s="8"/>
      <c r="I1361" s="10"/>
      <c r="J1361" s="10"/>
      <c r="K1361" s="18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</row>
    <row r="1362" ht="14.25" customHeight="1">
      <c r="A1362" s="9"/>
      <c r="B1362" s="8"/>
      <c r="C1362" s="8"/>
      <c r="D1362" s="8"/>
      <c r="E1362" s="8"/>
      <c r="F1362" s="8"/>
      <c r="G1362" s="8"/>
      <c r="H1362" s="8"/>
      <c r="I1362" s="10"/>
      <c r="J1362" s="10"/>
      <c r="K1362" s="18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</row>
    <row r="1363" ht="14.25" customHeight="1">
      <c r="A1363" s="9"/>
      <c r="B1363" s="8"/>
      <c r="C1363" s="8"/>
      <c r="D1363" s="8"/>
      <c r="E1363" s="8"/>
      <c r="F1363" s="8"/>
      <c r="G1363" s="8"/>
      <c r="H1363" s="8"/>
      <c r="I1363" s="10"/>
      <c r="J1363" s="10"/>
      <c r="K1363" s="18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</row>
    <row r="1364" ht="14.25" customHeight="1">
      <c r="A1364" s="9"/>
      <c r="B1364" s="8"/>
      <c r="C1364" s="8"/>
      <c r="D1364" s="8"/>
      <c r="E1364" s="8"/>
      <c r="F1364" s="8"/>
      <c r="G1364" s="8"/>
      <c r="H1364" s="8"/>
      <c r="I1364" s="10"/>
      <c r="J1364" s="10"/>
      <c r="K1364" s="18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</row>
    <row r="1365" ht="14.25" customHeight="1">
      <c r="A1365" s="9"/>
      <c r="B1365" s="8"/>
      <c r="C1365" s="8"/>
      <c r="D1365" s="8"/>
      <c r="E1365" s="8"/>
      <c r="F1365" s="8"/>
      <c r="G1365" s="8"/>
      <c r="H1365" s="8"/>
      <c r="I1365" s="10"/>
      <c r="J1365" s="10"/>
      <c r="K1365" s="18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</row>
    <row r="1366" ht="14.25" customHeight="1">
      <c r="A1366" s="9"/>
      <c r="B1366" s="8"/>
      <c r="C1366" s="8"/>
      <c r="D1366" s="8"/>
      <c r="E1366" s="8"/>
      <c r="F1366" s="8"/>
      <c r="G1366" s="8"/>
      <c r="H1366" s="8"/>
      <c r="I1366" s="10"/>
      <c r="J1366" s="10"/>
      <c r="K1366" s="18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</row>
    <row r="1367" ht="14.25" customHeight="1">
      <c r="A1367" s="9"/>
      <c r="B1367" s="8"/>
      <c r="C1367" s="8"/>
      <c r="D1367" s="8"/>
      <c r="E1367" s="8"/>
      <c r="F1367" s="8"/>
      <c r="G1367" s="8"/>
      <c r="H1367" s="8"/>
      <c r="I1367" s="10"/>
      <c r="J1367" s="10"/>
      <c r="K1367" s="18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</row>
    <row r="1368" ht="14.25" customHeight="1">
      <c r="A1368" s="9"/>
      <c r="B1368" s="8"/>
      <c r="C1368" s="8"/>
      <c r="D1368" s="8"/>
      <c r="E1368" s="8"/>
      <c r="F1368" s="8"/>
      <c r="G1368" s="8"/>
      <c r="H1368" s="8"/>
      <c r="I1368" s="10"/>
      <c r="J1368" s="10"/>
      <c r="K1368" s="18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</row>
    <row r="1369" ht="14.25" customHeight="1">
      <c r="A1369" s="9"/>
      <c r="B1369" s="8"/>
      <c r="C1369" s="8"/>
      <c r="D1369" s="8"/>
      <c r="E1369" s="8"/>
      <c r="F1369" s="8"/>
      <c r="G1369" s="8"/>
      <c r="H1369" s="8"/>
      <c r="I1369" s="10"/>
      <c r="J1369" s="10"/>
      <c r="K1369" s="18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</row>
    <row r="1370" ht="14.25" customHeight="1">
      <c r="A1370" s="9"/>
      <c r="B1370" s="8"/>
      <c r="C1370" s="8"/>
      <c r="D1370" s="8"/>
      <c r="E1370" s="8"/>
      <c r="F1370" s="8"/>
      <c r="G1370" s="8"/>
      <c r="H1370" s="8"/>
      <c r="I1370" s="10"/>
      <c r="J1370" s="10"/>
      <c r="K1370" s="18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</row>
    <row r="1371" ht="14.25" customHeight="1">
      <c r="A1371" s="9"/>
      <c r="B1371" s="8"/>
      <c r="C1371" s="8"/>
      <c r="D1371" s="8"/>
      <c r="E1371" s="8"/>
      <c r="F1371" s="8"/>
      <c r="G1371" s="8"/>
      <c r="H1371" s="8"/>
      <c r="I1371" s="10"/>
      <c r="J1371" s="10"/>
      <c r="K1371" s="18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</row>
    <row r="1372" ht="14.25" customHeight="1">
      <c r="A1372" s="9"/>
      <c r="B1372" s="8"/>
      <c r="C1372" s="8"/>
      <c r="D1372" s="8"/>
      <c r="E1372" s="8"/>
      <c r="F1372" s="8"/>
      <c r="G1372" s="8"/>
      <c r="H1372" s="8"/>
      <c r="I1372" s="10"/>
      <c r="J1372" s="10"/>
      <c r="K1372" s="18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</row>
    <row r="1373" ht="14.25" customHeight="1">
      <c r="A1373" s="9"/>
      <c r="B1373" s="8"/>
      <c r="C1373" s="8"/>
      <c r="D1373" s="8"/>
      <c r="E1373" s="8"/>
      <c r="F1373" s="8"/>
      <c r="G1373" s="8"/>
      <c r="H1373" s="8"/>
      <c r="I1373" s="10"/>
      <c r="J1373" s="10"/>
      <c r="K1373" s="18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</row>
    <row r="1374" ht="14.25" customHeight="1">
      <c r="A1374" s="9"/>
      <c r="B1374" s="8"/>
      <c r="C1374" s="8"/>
      <c r="D1374" s="8"/>
      <c r="E1374" s="8"/>
      <c r="F1374" s="8"/>
      <c r="G1374" s="8"/>
      <c r="H1374" s="8"/>
      <c r="I1374" s="10"/>
      <c r="J1374" s="10"/>
      <c r="K1374" s="18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</row>
    <row r="1375" ht="14.25" customHeight="1">
      <c r="A1375" s="9"/>
      <c r="B1375" s="8"/>
      <c r="C1375" s="8"/>
      <c r="D1375" s="8"/>
      <c r="E1375" s="8"/>
      <c r="F1375" s="8"/>
      <c r="G1375" s="8"/>
      <c r="H1375" s="8"/>
      <c r="I1375" s="10"/>
      <c r="J1375" s="10"/>
      <c r="K1375" s="18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</row>
    <row r="1376" ht="14.25" customHeight="1">
      <c r="A1376" s="9"/>
      <c r="B1376" s="8"/>
      <c r="C1376" s="8"/>
      <c r="D1376" s="8"/>
      <c r="E1376" s="8"/>
      <c r="F1376" s="8"/>
      <c r="G1376" s="8"/>
      <c r="H1376" s="8"/>
      <c r="I1376" s="10"/>
      <c r="J1376" s="10"/>
      <c r="K1376" s="18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</row>
    <row r="1377" ht="14.25" customHeight="1">
      <c r="A1377" s="9"/>
      <c r="B1377" s="8"/>
      <c r="C1377" s="8"/>
      <c r="D1377" s="8"/>
      <c r="E1377" s="8"/>
      <c r="F1377" s="8"/>
      <c r="G1377" s="8"/>
      <c r="H1377" s="8"/>
      <c r="I1377" s="10"/>
      <c r="J1377" s="10"/>
      <c r="K1377" s="18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</row>
    <row r="1378" ht="14.25" customHeight="1">
      <c r="A1378" s="9"/>
      <c r="B1378" s="8"/>
      <c r="C1378" s="8"/>
      <c r="D1378" s="8"/>
      <c r="E1378" s="8"/>
      <c r="F1378" s="8"/>
      <c r="G1378" s="8"/>
      <c r="H1378" s="8"/>
      <c r="I1378" s="10"/>
      <c r="J1378" s="10"/>
      <c r="K1378" s="18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</row>
    <row r="1379" ht="14.25" customHeight="1">
      <c r="A1379" s="9"/>
      <c r="B1379" s="8"/>
      <c r="C1379" s="8"/>
      <c r="D1379" s="8"/>
      <c r="E1379" s="8"/>
      <c r="F1379" s="8"/>
      <c r="G1379" s="8"/>
      <c r="H1379" s="8"/>
      <c r="I1379" s="10"/>
      <c r="J1379" s="10"/>
      <c r="K1379" s="18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</row>
    <row r="1380" ht="14.25" customHeight="1">
      <c r="A1380" s="9"/>
      <c r="B1380" s="8"/>
      <c r="C1380" s="8"/>
      <c r="D1380" s="8"/>
      <c r="E1380" s="8"/>
      <c r="F1380" s="8"/>
      <c r="G1380" s="8"/>
      <c r="H1380" s="8"/>
      <c r="I1380" s="10"/>
      <c r="J1380" s="10"/>
      <c r="K1380" s="18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</row>
    <row r="1381" ht="14.25" customHeight="1">
      <c r="A1381" s="9"/>
      <c r="B1381" s="8"/>
      <c r="C1381" s="8"/>
      <c r="D1381" s="8"/>
      <c r="E1381" s="8"/>
      <c r="F1381" s="8"/>
      <c r="G1381" s="8"/>
      <c r="H1381" s="8"/>
      <c r="I1381" s="10"/>
      <c r="J1381" s="10"/>
      <c r="K1381" s="18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</row>
    <row r="1382" ht="14.25" customHeight="1">
      <c r="A1382" s="9"/>
      <c r="B1382" s="8"/>
      <c r="C1382" s="8"/>
      <c r="D1382" s="8"/>
      <c r="E1382" s="8"/>
      <c r="F1382" s="8"/>
      <c r="G1382" s="8"/>
      <c r="H1382" s="8"/>
      <c r="I1382" s="10"/>
      <c r="J1382" s="10"/>
      <c r="K1382" s="18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</row>
    <row r="1383" ht="14.25" customHeight="1">
      <c r="A1383" s="9"/>
      <c r="B1383" s="8"/>
      <c r="C1383" s="8"/>
      <c r="D1383" s="8"/>
      <c r="E1383" s="8"/>
      <c r="F1383" s="8"/>
      <c r="G1383" s="8"/>
      <c r="H1383" s="8"/>
      <c r="I1383" s="10"/>
      <c r="J1383" s="10"/>
      <c r="K1383" s="18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</row>
    <row r="1384" ht="14.25" customHeight="1">
      <c r="A1384" s="9"/>
      <c r="B1384" s="8"/>
      <c r="C1384" s="8"/>
      <c r="D1384" s="8"/>
      <c r="E1384" s="8"/>
      <c r="F1384" s="8"/>
      <c r="G1384" s="8"/>
      <c r="H1384" s="8"/>
      <c r="I1384" s="10"/>
      <c r="J1384" s="10"/>
      <c r="K1384" s="18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</row>
    <row r="1385" ht="14.25" customHeight="1">
      <c r="A1385" s="9"/>
      <c r="B1385" s="8"/>
      <c r="C1385" s="8"/>
      <c r="D1385" s="8"/>
      <c r="E1385" s="8"/>
      <c r="F1385" s="8"/>
      <c r="G1385" s="8"/>
      <c r="H1385" s="8"/>
      <c r="I1385" s="10"/>
      <c r="J1385" s="10"/>
      <c r="K1385" s="18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</row>
    <row r="1386" ht="14.25" customHeight="1">
      <c r="A1386" s="9"/>
      <c r="B1386" s="8"/>
      <c r="C1386" s="8"/>
      <c r="D1386" s="8"/>
      <c r="E1386" s="8"/>
      <c r="F1386" s="8"/>
      <c r="G1386" s="8"/>
      <c r="H1386" s="8"/>
      <c r="I1386" s="10"/>
      <c r="J1386" s="10"/>
      <c r="K1386" s="18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</row>
    <row r="1387" ht="14.25" customHeight="1">
      <c r="A1387" s="9"/>
      <c r="B1387" s="8"/>
      <c r="C1387" s="8"/>
      <c r="D1387" s="8"/>
      <c r="E1387" s="8"/>
      <c r="F1387" s="8"/>
      <c r="G1387" s="8"/>
      <c r="H1387" s="8"/>
      <c r="I1387" s="10"/>
      <c r="J1387" s="10"/>
      <c r="K1387" s="18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</row>
    <row r="1388" ht="14.25" customHeight="1">
      <c r="A1388" s="9"/>
      <c r="B1388" s="8"/>
      <c r="C1388" s="8"/>
      <c r="D1388" s="8"/>
      <c r="E1388" s="8"/>
      <c r="F1388" s="8"/>
      <c r="G1388" s="8"/>
      <c r="H1388" s="8"/>
      <c r="I1388" s="10"/>
      <c r="J1388" s="10"/>
      <c r="K1388" s="18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</row>
    <row r="1389" ht="14.25" customHeight="1">
      <c r="A1389" s="9"/>
      <c r="B1389" s="8"/>
      <c r="C1389" s="8"/>
      <c r="D1389" s="8"/>
      <c r="E1389" s="8"/>
      <c r="F1389" s="8"/>
      <c r="G1389" s="8"/>
      <c r="H1389" s="8"/>
      <c r="I1389" s="10"/>
      <c r="J1389" s="10"/>
      <c r="K1389" s="18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</row>
    <row r="1390" ht="14.25" customHeight="1">
      <c r="A1390" s="9"/>
      <c r="B1390" s="8"/>
      <c r="C1390" s="8"/>
      <c r="D1390" s="8"/>
      <c r="E1390" s="8"/>
      <c r="F1390" s="8"/>
      <c r="G1390" s="8"/>
      <c r="H1390" s="8"/>
      <c r="I1390" s="10"/>
      <c r="J1390" s="10"/>
      <c r="K1390" s="18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</row>
    <row r="1391" ht="14.25" customHeight="1">
      <c r="A1391" s="9"/>
      <c r="B1391" s="8"/>
      <c r="C1391" s="8"/>
      <c r="D1391" s="8"/>
      <c r="E1391" s="8"/>
      <c r="F1391" s="8"/>
      <c r="G1391" s="8"/>
      <c r="H1391" s="8"/>
      <c r="I1391" s="10"/>
      <c r="J1391" s="10"/>
      <c r="K1391" s="18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</row>
    <row r="1392" ht="14.25" customHeight="1">
      <c r="A1392" s="9"/>
      <c r="B1392" s="8"/>
      <c r="C1392" s="8"/>
      <c r="D1392" s="8"/>
      <c r="E1392" s="8"/>
      <c r="F1392" s="8"/>
      <c r="G1392" s="8"/>
      <c r="H1392" s="8"/>
      <c r="I1392" s="10"/>
      <c r="J1392" s="10"/>
      <c r="K1392" s="18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</row>
    <row r="1393" ht="14.25" customHeight="1">
      <c r="A1393" s="9"/>
      <c r="B1393" s="8"/>
      <c r="C1393" s="8"/>
      <c r="D1393" s="8"/>
      <c r="E1393" s="8"/>
      <c r="F1393" s="8"/>
      <c r="G1393" s="8"/>
      <c r="H1393" s="8"/>
      <c r="I1393" s="10"/>
      <c r="J1393" s="10"/>
      <c r="K1393" s="18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</row>
    <row r="1394" ht="14.25" customHeight="1">
      <c r="A1394" s="9"/>
      <c r="B1394" s="8"/>
      <c r="C1394" s="8"/>
      <c r="D1394" s="8"/>
      <c r="E1394" s="8"/>
      <c r="F1394" s="8"/>
      <c r="G1394" s="8"/>
      <c r="H1394" s="8"/>
      <c r="I1394" s="10"/>
      <c r="J1394" s="10"/>
      <c r="K1394" s="18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</row>
    <row r="1395" ht="14.25" customHeight="1">
      <c r="A1395" s="9"/>
      <c r="B1395" s="8"/>
      <c r="C1395" s="8"/>
      <c r="D1395" s="8"/>
      <c r="E1395" s="8"/>
      <c r="F1395" s="8"/>
      <c r="G1395" s="8"/>
      <c r="H1395" s="8"/>
      <c r="I1395" s="10"/>
      <c r="J1395" s="10"/>
      <c r="K1395" s="18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</row>
    <row r="1396" ht="14.25" customHeight="1">
      <c r="A1396" s="9"/>
      <c r="B1396" s="8"/>
      <c r="C1396" s="8"/>
      <c r="D1396" s="8"/>
      <c r="E1396" s="8"/>
      <c r="F1396" s="8"/>
      <c r="G1396" s="8"/>
      <c r="H1396" s="8"/>
      <c r="I1396" s="10"/>
      <c r="J1396" s="10"/>
      <c r="K1396" s="18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</row>
    <row r="1397" ht="14.25" customHeight="1">
      <c r="A1397" s="9"/>
      <c r="B1397" s="8"/>
      <c r="C1397" s="8"/>
      <c r="D1397" s="8"/>
      <c r="E1397" s="8"/>
      <c r="F1397" s="8"/>
      <c r="G1397" s="8"/>
      <c r="H1397" s="8"/>
      <c r="I1397" s="10"/>
      <c r="J1397" s="10"/>
      <c r="K1397" s="18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</row>
    <row r="1398" ht="14.25" customHeight="1">
      <c r="A1398" s="9"/>
      <c r="B1398" s="8"/>
      <c r="C1398" s="8"/>
      <c r="D1398" s="8"/>
      <c r="E1398" s="8"/>
      <c r="F1398" s="8"/>
      <c r="G1398" s="8"/>
      <c r="H1398" s="8"/>
      <c r="I1398" s="10"/>
      <c r="J1398" s="10"/>
      <c r="K1398" s="18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</row>
    <row r="1399" ht="14.25" customHeight="1">
      <c r="A1399" s="9"/>
      <c r="B1399" s="8"/>
      <c r="C1399" s="8"/>
      <c r="D1399" s="8"/>
      <c r="E1399" s="8"/>
      <c r="F1399" s="8"/>
      <c r="G1399" s="8"/>
      <c r="H1399" s="8"/>
      <c r="I1399" s="10"/>
      <c r="J1399" s="10"/>
      <c r="K1399" s="18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</row>
    <row r="1400" ht="14.25" customHeight="1">
      <c r="A1400" s="9"/>
      <c r="B1400" s="8"/>
      <c r="C1400" s="8"/>
      <c r="D1400" s="8"/>
      <c r="E1400" s="8"/>
      <c r="F1400" s="8"/>
      <c r="G1400" s="8"/>
      <c r="H1400" s="8"/>
      <c r="I1400" s="10"/>
      <c r="J1400" s="10"/>
      <c r="K1400" s="18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</row>
    <row r="1401" ht="14.25" customHeight="1">
      <c r="A1401" s="9"/>
      <c r="B1401" s="8"/>
      <c r="C1401" s="8"/>
      <c r="D1401" s="8"/>
      <c r="E1401" s="8"/>
      <c r="F1401" s="8"/>
      <c r="G1401" s="8"/>
      <c r="H1401" s="8"/>
      <c r="I1401" s="10"/>
      <c r="J1401" s="10"/>
      <c r="K1401" s="18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</row>
    <row r="1402" ht="14.25" customHeight="1">
      <c r="A1402" s="9"/>
      <c r="B1402" s="8"/>
      <c r="C1402" s="8"/>
      <c r="D1402" s="8"/>
      <c r="E1402" s="8"/>
      <c r="F1402" s="8"/>
      <c r="G1402" s="8"/>
      <c r="H1402" s="8"/>
      <c r="I1402" s="10"/>
      <c r="J1402" s="10"/>
      <c r="K1402" s="18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</row>
    <row r="1403" ht="14.25" customHeight="1">
      <c r="A1403" s="9"/>
      <c r="B1403" s="8"/>
      <c r="C1403" s="8"/>
      <c r="D1403" s="8"/>
      <c r="E1403" s="8"/>
      <c r="F1403" s="8"/>
      <c r="G1403" s="8"/>
      <c r="H1403" s="8"/>
      <c r="I1403" s="10"/>
      <c r="J1403" s="10"/>
      <c r="K1403" s="18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</row>
    <row r="1404" ht="14.25" customHeight="1">
      <c r="A1404" s="9"/>
      <c r="B1404" s="8"/>
      <c r="C1404" s="8"/>
      <c r="D1404" s="8"/>
      <c r="E1404" s="8"/>
      <c r="F1404" s="8"/>
      <c r="G1404" s="8"/>
      <c r="H1404" s="8"/>
      <c r="I1404" s="10"/>
      <c r="J1404" s="10"/>
      <c r="K1404" s="18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</row>
    <row r="1405" ht="14.25" customHeight="1">
      <c r="A1405" s="9"/>
      <c r="B1405" s="8"/>
      <c r="C1405" s="8"/>
      <c r="D1405" s="8"/>
      <c r="E1405" s="8"/>
      <c r="F1405" s="8"/>
      <c r="G1405" s="8"/>
      <c r="H1405" s="8"/>
      <c r="I1405" s="10"/>
      <c r="J1405" s="10"/>
      <c r="K1405" s="18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</row>
    <row r="1406" ht="14.25" customHeight="1">
      <c r="A1406" s="9"/>
      <c r="B1406" s="8"/>
      <c r="C1406" s="8"/>
      <c r="D1406" s="8"/>
      <c r="E1406" s="8"/>
      <c r="F1406" s="8"/>
      <c r="G1406" s="8"/>
      <c r="H1406" s="8"/>
      <c r="I1406" s="10"/>
      <c r="J1406" s="10"/>
      <c r="K1406" s="18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</row>
    <row r="1407" ht="14.25" customHeight="1">
      <c r="A1407" s="9"/>
      <c r="B1407" s="8"/>
      <c r="C1407" s="8"/>
      <c r="D1407" s="8"/>
      <c r="E1407" s="8"/>
      <c r="F1407" s="8"/>
      <c r="G1407" s="8"/>
      <c r="H1407" s="8"/>
      <c r="I1407" s="10"/>
      <c r="J1407" s="10"/>
      <c r="K1407" s="18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</row>
    <row r="1408" ht="14.25" customHeight="1">
      <c r="A1408" s="9"/>
      <c r="B1408" s="8"/>
      <c r="C1408" s="8"/>
      <c r="D1408" s="8"/>
      <c r="E1408" s="8"/>
      <c r="F1408" s="8"/>
      <c r="G1408" s="8"/>
      <c r="H1408" s="8"/>
      <c r="I1408" s="10"/>
      <c r="J1408" s="10"/>
      <c r="K1408" s="18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</row>
    <row r="1409" ht="14.25" customHeight="1">
      <c r="A1409" s="9"/>
      <c r="B1409" s="8"/>
      <c r="C1409" s="8"/>
      <c r="D1409" s="8"/>
      <c r="E1409" s="8"/>
      <c r="F1409" s="8"/>
      <c r="G1409" s="8"/>
      <c r="H1409" s="8"/>
      <c r="I1409" s="10"/>
      <c r="J1409" s="10"/>
      <c r="K1409" s="18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</row>
    <row r="1410" ht="14.25" customHeight="1">
      <c r="A1410" s="9"/>
      <c r="B1410" s="8"/>
      <c r="C1410" s="8"/>
      <c r="D1410" s="8"/>
      <c r="E1410" s="8"/>
      <c r="F1410" s="8"/>
      <c r="G1410" s="8"/>
      <c r="H1410" s="8"/>
      <c r="I1410" s="10"/>
      <c r="J1410" s="10"/>
      <c r="K1410" s="18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</row>
    <row r="1411" ht="14.25" customHeight="1">
      <c r="A1411" s="9"/>
      <c r="B1411" s="8"/>
      <c r="C1411" s="8"/>
      <c r="D1411" s="8"/>
      <c r="E1411" s="8"/>
      <c r="F1411" s="8"/>
      <c r="G1411" s="8"/>
      <c r="H1411" s="8"/>
      <c r="I1411" s="10"/>
      <c r="J1411" s="10"/>
      <c r="K1411" s="18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</row>
    <row r="1412" ht="14.25" customHeight="1">
      <c r="A1412" s="9"/>
      <c r="B1412" s="8"/>
      <c r="C1412" s="8"/>
      <c r="D1412" s="8"/>
      <c r="E1412" s="8"/>
      <c r="F1412" s="8"/>
      <c r="G1412" s="8"/>
      <c r="H1412" s="8"/>
      <c r="I1412" s="10"/>
      <c r="J1412" s="10"/>
      <c r="K1412" s="18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</row>
    <row r="1413" ht="14.25" customHeight="1">
      <c r="A1413" s="9"/>
      <c r="B1413" s="8"/>
      <c r="C1413" s="8"/>
      <c r="D1413" s="8"/>
      <c r="E1413" s="8"/>
      <c r="F1413" s="8"/>
      <c r="G1413" s="8"/>
      <c r="H1413" s="8"/>
      <c r="I1413" s="10"/>
      <c r="J1413" s="10"/>
      <c r="K1413" s="18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</row>
    <row r="1414" ht="14.25" customHeight="1">
      <c r="A1414" s="9"/>
      <c r="B1414" s="8"/>
      <c r="C1414" s="8"/>
      <c r="D1414" s="8"/>
      <c r="E1414" s="8"/>
      <c r="F1414" s="8"/>
      <c r="G1414" s="8"/>
      <c r="H1414" s="8"/>
      <c r="I1414" s="10"/>
      <c r="J1414" s="10"/>
      <c r="K1414" s="18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</row>
    <row r="1415" ht="14.25" customHeight="1">
      <c r="A1415" s="9"/>
      <c r="B1415" s="8"/>
      <c r="C1415" s="8"/>
      <c r="D1415" s="8"/>
      <c r="E1415" s="8"/>
      <c r="F1415" s="8"/>
      <c r="G1415" s="8"/>
      <c r="H1415" s="8"/>
      <c r="I1415" s="10"/>
      <c r="J1415" s="10"/>
      <c r="K1415" s="18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</row>
    <row r="1416" ht="14.25" customHeight="1">
      <c r="A1416" s="9"/>
      <c r="B1416" s="8"/>
      <c r="C1416" s="8"/>
      <c r="D1416" s="8"/>
      <c r="E1416" s="8"/>
      <c r="F1416" s="8"/>
      <c r="G1416" s="8"/>
      <c r="H1416" s="8"/>
      <c r="I1416" s="10"/>
      <c r="J1416" s="10"/>
      <c r="K1416" s="18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</row>
    <row r="1417" ht="14.25" customHeight="1">
      <c r="A1417" s="9"/>
      <c r="B1417" s="8"/>
      <c r="C1417" s="8"/>
      <c r="D1417" s="8"/>
      <c r="E1417" s="8"/>
      <c r="F1417" s="8"/>
      <c r="G1417" s="8"/>
      <c r="H1417" s="8"/>
      <c r="I1417" s="10"/>
      <c r="J1417" s="10"/>
      <c r="K1417" s="18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</row>
    <row r="1418" ht="14.25" customHeight="1">
      <c r="A1418" s="9"/>
      <c r="B1418" s="8"/>
      <c r="C1418" s="8"/>
      <c r="D1418" s="8"/>
      <c r="E1418" s="8"/>
      <c r="F1418" s="8"/>
      <c r="G1418" s="8"/>
      <c r="H1418" s="8"/>
      <c r="I1418" s="10"/>
      <c r="J1418" s="10"/>
      <c r="K1418" s="18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</row>
    <row r="1419" ht="14.25" customHeight="1">
      <c r="A1419" s="9"/>
      <c r="B1419" s="8"/>
      <c r="C1419" s="8"/>
      <c r="D1419" s="8"/>
      <c r="E1419" s="8"/>
      <c r="F1419" s="8"/>
      <c r="G1419" s="8"/>
      <c r="H1419" s="8"/>
      <c r="I1419" s="10"/>
      <c r="J1419" s="10"/>
      <c r="K1419" s="18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</row>
    <row r="1420" ht="14.25" customHeight="1">
      <c r="A1420" s="9"/>
      <c r="B1420" s="8"/>
      <c r="C1420" s="8"/>
      <c r="D1420" s="8"/>
      <c r="E1420" s="8"/>
      <c r="F1420" s="8"/>
      <c r="G1420" s="8"/>
      <c r="H1420" s="8"/>
      <c r="I1420" s="10"/>
      <c r="J1420" s="10"/>
      <c r="K1420" s="18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</row>
    <row r="1421" ht="14.25" customHeight="1">
      <c r="A1421" s="9"/>
      <c r="B1421" s="8"/>
      <c r="C1421" s="8"/>
      <c r="D1421" s="8"/>
      <c r="E1421" s="8"/>
      <c r="F1421" s="8"/>
      <c r="G1421" s="8"/>
      <c r="H1421" s="8"/>
      <c r="I1421" s="10"/>
      <c r="J1421" s="10"/>
      <c r="K1421" s="18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</row>
    <row r="1422" ht="14.25" customHeight="1">
      <c r="A1422" s="9"/>
      <c r="B1422" s="8"/>
      <c r="C1422" s="8"/>
      <c r="D1422" s="8"/>
      <c r="E1422" s="8"/>
      <c r="F1422" s="8"/>
      <c r="G1422" s="8"/>
      <c r="H1422" s="8"/>
      <c r="I1422" s="10"/>
      <c r="J1422" s="10"/>
      <c r="K1422" s="18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</row>
    <row r="1423" ht="14.25" customHeight="1">
      <c r="A1423" s="9"/>
      <c r="B1423" s="8"/>
      <c r="C1423" s="8"/>
      <c r="D1423" s="8"/>
      <c r="E1423" s="8"/>
      <c r="F1423" s="8"/>
      <c r="G1423" s="8"/>
      <c r="H1423" s="8"/>
      <c r="I1423" s="10"/>
      <c r="J1423" s="10"/>
      <c r="K1423" s="18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</row>
    <row r="1424" ht="14.25" customHeight="1">
      <c r="A1424" s="9"/>
      <c r="B1424" s="8"/>
      <c r="C1424" s="8"/>
      <c r="D1424" s="8"/>
      <c r="E1424" s="8"/>
      <c r="F1424" s="8"/>
      <c r="G1424" s="8"/>
      <c r="H1424" s="8"/>
      <c r="I1424" s="10"/>
      <c r="J1424" s="10"/>
      <c r="K1424" s="18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</row>
    <row r="1425" ht="14.25" customHeight="1">
      <c r="A1425" s="9"/>
      <c r="B1425" s="8"/>
      <c r="C1425" s="8"/>
      <c r="D1425" s="8"/>
      <c r="E1425" s="8"/>
      <c r="F1425" s="8"/>
      <c r="G1425" s="8"/>
      <c r="H1425" s="8"/>
      <c r="I1425" s="10"/>
      <c r="J1425" s="10"/>
      <c r="K1425" s="18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</row>
    <row r="1426" ht="14.25" customHeight="1">
      <c r="A1426" s="9"/>
      <c r="B1426" s="8"/>
      <c r="C1426" s="8"/>
      <c r="D1426" s="8"/>
      <c r="E1426" s="8"/>
      <c r="F1426" s="8"/>
      <c r="G1426" s="8"/>
      <c r="H1426" s="8"/>
      <c r="I1426" s="10"/>
      <c r="J1426" s="10"/>
      <c r="K1426" s="18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</row>
    <row r="1427" ht="14.25" customHeight="1">
      <c r="A1427" s="9"/>
      <c r="B1427" s="8"/>
      <c r="C1427" s="8"/>
      <c r="D1427" s="8"/>
      <c r="E1427" s="8"/>
      <c r="F1427" s="8"/>
      <c r="G1427" s="8"/>
      <c r="H1427" s="8"/>
      <c r="I1427" s="10"/>
      <c r="J1427" s="10"/>
      <c r="K1427" s="18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</row>
    <row r="1428" ht="14.25" customHeight="1">
      <c r="A1428" s="9"/>
      <c r="B1428" s="8"/>
      <c r="C1428" s="8"/>
      <c r="D1428" s="8"/>
      <c r="E1428" s="8"/>
      <c r="F1428" s="8"/>
      <c r="G1428" s="8"/>
      <c r="H1428" s="8"/>
      <c r="I1428" s="10"/>
      <c r="J1428" s="10"/>
      <c r="K1428" s="18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</row>
    <row r="1429" ht="14.25" customHeight="1">
      <c r="A1429" s="9"/>
      <c r="B1429" s="8"/>
      <c r="C1429" s="8"/>
      <c r="D1429" s="8"/>
      <c r="E1429" s="8"/>
      <c r="F1429" s="8"/>
      <c r="G1429" s="8"/>
      <c r="H1429" s="8"/>
      <c r="I1429" s="10"/>
      <c r="J1429" s="10"/>
      <c r="K1429" s="18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</row>
    <row r="1430" ht="14.25" customHeight="1">
      <c r="A1430" s="9"/>
      <c r="B1430" s="8"/>
      <c r="C1430" s="8"/>
      <c r="D1430" s="8"/>
      <c r="E1430" s="8"/>
      <c r="F1430" s="8"/>
      <c r="G1430" s="8"/>
      <c r="H1430" s="8"/>
      <c r="I1430" s="10"/>
      <c r="J1430" s="10"/>
      <c r="K1430" s="18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</row>
    <row r="1431" ht="14.25" customHeight="1">
      <c r="A1431" s="9"/>
      <c r="B1431" s="8"/>
      <c r="C1431" s="8"/>
      <c r="D1431" s="8"/>
      <c r="E1431" s="8"/>
      <c r="F1431" s="8"/>
      <c r="G1431" s="8"/>
      <c r="H1431" s="8"/>
      <c r="I1431" s="10"/>
      <c r="J1431" s="10"/>
      <c r="K1431" s="18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</row>
    <row r="1432" ht="14.25" customHeight="1">
      <c r="A1432" s="9"/>
      <c r="B1432" s="8"/>
      <c r="C1432" s="8"/>
      <c r="D1432" s="8"/>
      <c r="E1432" s="8"/>
      <c r="F1432" s="8"/>
      <c r="G1432" s="8"/>
      <c r="H1432" s="8"/>
      <c r="I1432" s="10"/>
      <c r="J1432" s="10"/>
      <c r="K1432" s="18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</row>
    <row r="1433" ht="14.25" customHeight="1">
      <c r="A1433" s="9"/>
      <c r="B1433" s="8"/>
      <c r="C1433" s="8"/>
      <c r="D1433" s="8"/>
      <c r="E1433" s="8"/>
      <c r="F1433" s="8"/>
      <c r="G1433" s="8"/>
      <c r="H1433" s="8"/>
      <c r="I1433" s="10"/>
      <c r="J1433" s="10"/>
      <c r="K1433" s="18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</row>
    <row r="1434" ht="14.25" customHeight="1">
      <c r="A1434" s="9"/>
      <c r="B1434" s="8"/>
      <c r="C1434" s="8"/>
      <c r="D1434" s="8"/>
      <c r="E1434" s="8"/>
      <c r="F1434" s="8"/>
      <c r="G1434" s="8"/>
      <c r="H1434" s="8"/>
      <c r="I1434" s="10"/>
      <c r="J1434" s="10"/>
      <c r="K1434" s="18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</row>
    <row r="1435" ht="14.25" customHeight="1">
      <c r="A1435" s="9"/>
      <c r="B1435" s="8"/>
      <c r="C1435" s="8"/>
      <c r="D1435" s="8"/>
      <c r="E1435" s="8"/>
      <c r="F1435" s="8"/>
      <c r="G1435" s="8"/>
      <c r="H1435" s="8"/>
      <c r="I1435" s="10"/>
      <c r="J1435" s="10"/>
      <c r="K1435" s="18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</row>
    <row r="1436" ht="14.25" customHeight="1">
      <c r="A1436" s="9"/>
      <c r="B1436" s="8"/>
      <c r="C1436" s="8"/>
      <c r="D1436" s="8"/>
      <c r="E1436" s="8"/>
      <c r="F1436" s="8"/>
      <c r="G1436" s="8"/>
      <c r="H1436" s="8"/>
      <c r="I1436" s="10"/>
      <c r="J1436" s="10"/>
      <c r="K1436" s="18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</row>
    <row r="1437" ht="14.25" customHeight="1">
      <c r="A1437" s="9"/>
      <c r="B1437" s="8"/>
      <c r="C1437" s="8"/>
      <c r="D1437" s="8"/>
      <c r="E1437" s="8"/>
      <c r="F1437" s="8"/>
      <c r="G1437" s="8"/>
      <c r="H1437" s="8"/>
      <c r="I1437" s="10"/>
      <c r="J1437" s="10"/>
      <c r="K1437" s="18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</row>
    <row r="1438" ht="14.25" customHeight="1">
      <c r="A1438" s="9"/>
      <c r="B1438" s="8"/>
      <c r="C1438" s="8"/>
      <c r="D1438" s="8"/>
      <c r="E1438" s="8"/>
      <c r="F1438" s="8"/>
      <c r="G1438" s="8"/>
      <c r="H1438" s="8"/>
      <c r="I1438" s="10"/>
      <c r="J1438" s="10"/>
      <c r="K1438" s="18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</row>
    <row r="1439" ht="14.25" customHeight="1">
      <c r="A1439" s="9"/>
      <c r="B1439" s="8"/>
      <c r="C1439" s="8"/>
      <c r="D1439" s="8"/>
      <c r="E1439" s="8"/>
      <c r="F1439" s="8"/>
      <c r="G1439" s="8"/>
      <c r="H1439" s="8"/>
      <c r="I1439" s="10"/>
      <c r="J1439" s="10"/>
      <c r="K1439" s="18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</row>
    <row r="1440" ht="14.25" customHeight="1">
      <c r="A1440" s="9"/>
      <c r="B1440" s="8"/>
      <c r="C1440" s="8"/>
      <c r="D1440" s="8"/>
      <c r="E1440" s="8"/>
      <c r="F1440" s="8"/>
      <c r="G1440" s="8"/>
      <c r="H1440" s="8"/>
      <c r="I1440" s="10"/>
      <c r="J1440" s="10"/>
      <c r="K1440" s="18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</row>
    <row r="1441" ht="14.25" customHeight="1">
      <c r="A1441" s="9"/>
      <c r="B1441" s="8"/>
      <c r="C1441" s="8"/>
      <c r="D1441" s="8"/>
      <c r="E1441" s="8"/>
      <c r="F1441" s="8"/>
      <c r="G1441" s="8"/>
      <c r="H1441" s="8"/>
      <c r="I1441" s="10"/>
      <c r="J1441" s="10"/>
      <c r="K1441" s="18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</row>
    <row r="1442" ht="14.25" customHeight="1">
      <c r="A1442" s="9"/>
      <c r="B1442" s="8"/>
      <c r="C1442" s="8"/>
      <c r="D1442" s="8"/>
      <c r="E1442" s="8"/>
      <c r="F1442" s="8"/>
      <c r="G1442" s="8"/>
      <c r="H1442" s="8"/>
      <c r="I1442" s="10"/>
      <c r="J1442" s="10"/>
      <c r="K1442" s="18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</row>
    <row r="1443" ht="14.25" customHeight="1">
      <c r="A1443" s="9"/>
      <c r="B1443" s="8"/>
      <c r="C1443" s="8"/>
      <c r="D1443" s="8"/>
      <c r="E1443" s="8"/>
      <c r="F1443" s="8"/>
      <c r="G1443" s="8"/>
      <c r="H1443" s="8"/>
      <c r="I1443" s="10"/>
      <c r="J1443" s="10"/>
      <c r="K1443" s="18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</row>
    <row r="1444" ht="14.25" customHeight="1">
      <c r="A1444" s="9"/>
      <c r="B1444" s="8"/>
      <c r="C1444" s="8"/>
      <c r="D1444" s="8"/>
      <c r="E1444" s="8"/>
      <c r="F1444" s="8"/>
      <c r="G1444" s="8"/>
      <c r="H1444" s="8"/>
      <c r="I1444" s="10"/>
      <c r="J1444" s="10"/>
      <c r="K1444" s="18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</row>
    <row r="1445" ht="14.25" customHeight="1">
      <c r="A1445" s="9"/>
      <c r="B1445" s="8"/>
      <c r="C1445" s="8"/>
      <c r="D1445" s="8"/>
      <c r="E1445" s="8"/>
      <c r="F1445" s="8"/>
      <c r="G1445" s="8"/>
      <c r="H1445" s="8"/>
      <c r="I1445" s="10"/>
      <c r="J1445" s="10"/>
      <c r="K1445" s="18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</row>
    <row r="1446" ht="14.25" customHeight="1">
      <c r="A1446" s="9"/>
      <c r="B1446" s="8"/>
      <c r="C1446" s="8"/>
      <c r="D1446" s="8"/>
      <c r="E1446" s="8"/>
      <c r="F1446" s="8"/>
      <c r="G1446" s="8"/>
      <c r="H1446" s="8"/>
      <c r="I1446" s="10"/>
      <c r="J1446" s="10"/>
      <c r="K1446" s="18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</row>
    <row r="1447" ht="14.25" customHeight="1">
      <c r="A1447" s="9"/>
      <c r="B1447" s="8"/>
      <c r="C1447" s="8"/>
      <c r="D1447" s="8"/>
      <c r="E1447" s="8"/>
      <c r="F1447" s="8"/>
      <c r="G1447" s="8"/>
      <c r="H1447" s="8"/>
      <c r="I1447" s="10"/>
      <c r="J1447" s="10"/>
      <c r="K1447" s="18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</row>
    <row r="1448" ht="14.25" customHeight="1">
      <c r="A1448" s="9"/>
      <c r="B1448" s="8"/>
      <c r="C1448" s="8"/>
      <c r="D1448" s="8"/>
      <c r="E1448" s="8"/>
      <c r="F1448" s="8"/>
      <c r="G1448" s="8"/>
      <c r="H1448" s="8"/>
      <c r="I1448" s="10"/>
      <c r="J1448" s="10"/>
      <c r="K1448" s="18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</row>
    <row r="1449" ht="14.25" customHeight="1">
      <c r="A1449" s="9"/>
      <c r="B1449" s="8"/>
      <c r="C1449" s="8"/>
      <c r="D1449" s="8"/>
      <c r="E1449" s="8"/>
      <c r="F1449" s="8"/>
      <c r="G1449" s="8"/>
      <c r="H1449" s="8"/>
      <c r="I1449" s="10"/>
      <c r="J1449" s="10"/>
      <c r="K1449" s="18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</row>
    <row r="1450" ht="14.25" customHeight="1">
      <c r="A1450" s="9"/>
      <c r="B1450" s="8"/>
      <c r="C1450" s="8"/>
      <c r="D1450" s="8"/>
      <c r="E1450" s="8"/>
      <c r="F1450" s="8"/>
      <c r="G1450" s="8"/>
      <c r="H1450" s="8"/>
      <c r="I1450" s="10"/>
      <c r="J1450" s="10"/>
      <c r="K1450" s="18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</row>
    <row r="1451" ht="14.25" customHeight="1">
      <c r="A1451" s="9"/>
      <c r="B1451" s="8"/>
      <c r="C1451" s="8"/>
      <c r="D1451" s="8"/>
      <c r="E1451" s="8"/>
      <c r="F1451" s="8"/>
      <c r="G1451" s="8"/>
      <c r="H1451" s="8"/>
      <c r="I1451" s="10"/>
      <c r="J1451" s="10"/>
      <c r="K1451" s="18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</row>
    <row r="1452" ht="14.25" customHeight="1">
      <c r="A1452" s="9"/>
      <c r="B1452" s="8"/>
      <c r="C1452" s="8"/>
      <c r="D1452" s="8"/>
      <c r="E1452" s="8"/>
      <c r="F1452" s="8"/>
      <c r="G1452" s="8"/>
      <c r="H1452" s="8"/>
      <c r="I1452" s="10"/>
      <c r="J1452" s="10"/>
      <c r="K1452" s="18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</row>
    <row r="1453" ht="14.25" customHeight="1">
      <c r="A1453" s="9"/>
      <c r="B1453" s="8"/>
      <c r="C1453" s="8"/>
      <c r="D1453" s="8"/>
      <c r="E1453" s="8"/>
      <c r="F1453" s="8"/>
      <c r="G1453" s="8"/>
      <c r="H1453" s="8"/>
      <c r="I1453" s="10"/>
      <c r="J1453" s="10"/>
      <c r="K1453" s="18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</row>
    <row r="1454" ht="14.25" customHeight="1">
      <c r="A1454" s="9"/>
      <c r="B1454" s="8"/>
      <c r="C1454" s="8"/>
      <c r="D1454" s="8"/>
      <c r="E1454" s="8"/>
      <c r="F1454" s="8"/>
      <c r="G1454" s="8"/>
      <c r="H1454" s="8"/>
      <c r="I1454" s="10"/>
      <c r="J1454" s="10"/>
      <c r="K1454" s="18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</row>
    <row r="1455" ht="14.25" customHeight="1">
      <c r="A1455" s="9"/>
      <c r="B1455" s="8"/>
      <c r="C1455" s="8"/>
      <c r="D1455" s="8"/>
      <c r="E1455" s="8"/>
      <c r="F1455" s="8"/>
      <c r="G1455" s="8"/>
      <c r="H1455" s="8"/>
      <c r="I1455" s="10"/>
      <c r="J1455" s="10"/>
      <c r="K1455" s="18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</row>
    <row r="1456" ht="14.25" customHeight="1">
      <c r="A1456" s="9"/>
      <c r="B1456" s="8"/>
      <c r="C1456" s="8"/>
      <c r="D1456" s="8"/>
      <c r="E1456" s="8"/>
      <c r="F1456" s="8"/>
      <c r="G1456" s="8"/>
      <c r="H1456" s="8"/>
      <c r="I1456" s="10"/>
      <c r="J1456" s="10"/>
      <c r="K1456" s="18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</row>
    <row r="1457" ht="14.25" customHeight="1">
      <c r="A1457" s="9"/>
      <c r="B1457" s="8"/>
      <c r="C1457" s="8"/>
      <c r="D1457" s="8"/>
      <c r="E1457" s="8"/>
      <c r="F1457" s="8"/>
      <c r="G1457" s="8"/>
      <c r="H1457" s="8"/>
      <c r="I1457" s="10"/>
      <c r="J1457" s="10"/>
      <c r="K1457" s="18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</row>
    <row r="1458" ht="14.25" customHeight="1">
      <c r="A1458" s="9"/>
      <c r="B1458" s="8"/>
      <c r="C1458" s="8"/>
      <c r="D1458" s="8"/>
      <c r="E1458" s="8"/>
      <c r="F1458" s="8"/>
      <c r="G1458" s="8"/>
      <c r="H1458" s="8"/>
      <c r="I1458" s="10"/>
      <c r="J1458" s="10"/>
      <c r="K1458" s="18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</row>
    <row r="1459" ht="14.25" customHeight="1">
      <c r="A1459" s="9"/>
      <c r="B1459" s="8"/>
      <c r="C1459" s="8"/>
      <c r="D1459" s="8"/>
      <c r="E1459" s="8"/>
      <c r="F1459" s="8"/>
      <c r="G1459" s="8"/>
      <c r="H1459" s="8"/>
      <c r="I1459" s="10"/>
      <c r="J1459" s="10"/>
      <c r="K1459" s="18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</row>
    <row r="1460" ht="14.25" customHeight="1">
      <c r="A1460" s="9"/>
      <c r="B1460" s="8"/>
      <c r="C1460" s="8"/>
      <c r="D1460" s="8"/>
      <c r="E1460" s="8"/>
      <c r="F1460" s="8"/>
      <c r="G1460" s="8"/>
      <c r="H1460" s="8"/>
      <c r="I1460" s="10"/>
      <c r="J1460" s="10"/>
      <c r="K1460" s="18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</row>
    <row r="1461" ht="14.25" customHeight="1">
      <c r="A1461" s="9"/>
      <c r="B1461" s="8"/>
      <c r="C1461" s="8"/>
      <c r="D1461" s="8"/>
      <c r="E1461" s="8"/>
      <c r="F1461" s="8"/>
      <c r="G1461" s="8"/>
      <c r="H1461" s="8"/>
      <c r="I1461" s="10"/>
      <c r="J1461" s="10"/>
      <c r="K1461" s="18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</row>
    <row r="1462" ht="14.25" customHeight="1">
      <c r="A1462" s="9"/>
      <c r="B1462" s="8"/>
      <c r="C1462" s="8"/>
      <c r="D1462" s="8"/>
      <c r="E1462" s="8"/>
      <c r="F1462" s="8"/>
      <c r="G1462" s="8"/>
      <c r="H1462" s="8"/>
      <c r="I1462" s="10"/>
      <c r="J1462" s="10"/>
      <c r="K1462" s="18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</row>
    <row r="1463" ht="14.25" customHeight="1">
      <c r="A1463" s="9"/>
      <c r="B1463" s="8"/>
      <c r="C1463" s="8"/>
      <c r="D1463" s="8"/>
      <c r="E1463" s="8"/>
      <c r="F1463" s="8"/>
      <c r="G1463" s="8"/>
      <c r="H1463" s="8"/>
      <c r="I1463" s="10"/>
      <c r="J1463" s="10"/>
      <c r="K1463" s="18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</row>
    <row r="1464" ht="14.25" customHeight="1">
      <c r="A1464" s="9"/>
      <c r="B1464" s="8"/>
      <c r="C1464" s="8"/>
      <c r="D1464" s="8"/>
      <c r="E1464" s="8"/>
      <c r="F1464" s="8"/>
      <c r="G1464" s="8"/>
      <c r="H1464" s="8"/>
      <c r="I1464" s="10"/>
      <c r="J1464" s="10"/>
      <c r="K1464" s="18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</row>
    <row r="1465" ht="14.25" customHeight="1">
      <c r="A1465" s="9"/>
      <c r="B1465" s="8"/>
      <c r="C1465" s="8"/>
      <c r="D1465" s="8"/>
      <c r="E1465" s="8"/>
      <c r="F1465" s="8"/>
      <c r="G1465" s="8"/>
      <c r="H1465" s="8"/>
      <c r="I1465" s="10"/>
      <c r="J1465" s="10"/>
      <c r="K1465" s="18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</row>
    <row r="1466" ht="14.25" customHeight="1">
      <c r="A1466" s="9"/>
      <c r="B1466" s="8"/>
      <c r="C1466" s="8"/>
      <c r="D1466" s="8"/>
      <c r="E1466" s="8"/>
      <c r="F1466" s="8"/>
      <c r="G1466" s="8"/>
      <c r="H1466" s="8"/>
      <c r="I1466" s="10"/>
      <c r="J1466" s="10"/>
      <c r="K1466" s="18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</row>
    <row r="1467" ht="14.25" customHeight="1">
      <c r="A1467" s="9"/>
      <c r="B1467" s="8"/>
      <c r="C1467" s="8"/>
      <c r="D1467" s="8"/>
      <c r="E1467" s="8"/>
      <c r="F1467" s="8"/>
      <c r="G1467" s="8"/>
      <c r="H1467" s="8"/>
      <c r="I1467" s="10"/>
      <c r="J1467" s="10"/>
      <c r="K1467" s="18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</row>
    <row r="1468" ht="14.25" customHeight="1">
      <c r="A1468" s="9"/>
      <c r="B1468" s="8"/>
      <c r="C1468" s="8"/>
      <c r="D1468" s="8"/>
      <c r="E1468" s="8"/>
      <c r="F1468" s="8"/>
      <c r="G1468" s="8"/>
      <c r="H1468" s="8"/>
      <c r="I1468" s="10"/>
      <c r="J1468" s="10"/>
      <c r="K1468" s="18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</row>
    <row r="1469" ht="14.25" customHeight="1">
      <c r="A1469" s="9"/>
      <c r="B1469" s="8"/>
      <c r="C1469" s="8"/>
      <c r="D1469" s="8"/>
      <c r="E1469" s="8"/>
      <c r="F1469" s="8"/>
      <c r="G1469" s="8"/>
      <c r="H1469" s="8"/>
      <c r="I1469" s="10"/>
      <c r="J1469" s="10"/>
      <c r="K1469" s="18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</row>
    <row r="1470" ht="14.25" customHeight="1">
      <c r="A1470" s="9"/>
      <c r="B1470" s="8"/>
      <c r="C1470" s="8"/>
      <c r="D1470" s="8"/>
      <c r="E1470" s="8"/>
      <c r="F1470" s="8"/>
      <c r="G1470" s="8"/>
      <c r="H1470" s="8"/>
      <c r="I1470" s="10"/>
      <c r="J1470" s="10"/>
      <c r="K1470" s="18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</row>
    <row r="1471" ht="14.25" customHeight="1">
      <c r="A1471" s="9"/>
      <c r="B1471" s="8"/>
      <c r="C1471" s="8"/>
      <c r="D1471" s="8"/>
      <c r="E1471" s="8"/>
      <c r="F1471" s="8"/>
      <c r="G1471" s="8"/>
      <c r="H1471" s="8"/>
      <c r="I1471" s="10"/>
      <c r="J1471" s="10"/>
      <c r="K1471" s="18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</row>
    <row r="1472" ht="14.25" customHeight="1">
      <c r="A1472" s="9"/>
      <c r="B1472" s="8"/>
      <c r="C1472" s="8"/>
      <c r="D1472" s="8"/>
      <c r="E1472" s="8"/>
      <c r="F1472" s="8"/>
      <c r="G1472" s="8"/>
      <c r="H1472" s="8"/>
      <c r="I1472" s="10"/>
      <c r="J1472" s="10"/>
      <c r="K1472" s="18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</row>
    <row r="1473" ht="14.25" customHeight="1">
      <c r="A1473" s="9"/>
      <c r="B1473" s="8"/>
      <c r="C1473" s="8"/>
      <c r="D1473" s="8"/>
      <c r="E1473" s="8"/>
      <c r="F1473" s="8"/>
      <c r="G1473" s="8"/>
      <c r="H1473" s="8"/>
      <c r="I1473" s="10"/>
      <c r="J1473" s="10"/>
      <c r="K1473" s="18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</row>
    <row r="1474" ht="14.25" customHeight="1">
      <c r="A1474" s="9"/>
      <c r="B1474" s="8"/>
      <c r="C1474" s="8"/>
      <c r="D1474" s="8"/>
      <c r="E1474" s="8"/>
      <c r="F1474" s="8"/>
      <c r="G1474" s="8"/>
      <c r="H1474" s="8"/>
      <c r="I1474" s="10"/>
      <c r="J1474" s="10"/>
      <c r="K1474" s="18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</row>
    <row r="1475" ht="14.25" customHeight="1">
      <c r="A1475" s="9"/>
      <c r="B1475" s="8"/>
      <c r="C1475" s="8"/>
      <c r="D1475" s="8"/>
      <c r="E1475" s="8"/>
      <c r="F1475" s="8"/>
      <c r="G1475" s="8"/>
      <c r="H1475" s="8"/>
      <c r="I1475" s="10"/>
      <c r="J1475" s="10"/>
      <c r="K1475" s="18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</row>
    <row r="1476" ht="14.25" customHeight="1">
      <c r="A1476" s="9"/>
      <c r="B1476" s="8"/>
      <c r="C1476" s="8"/>
      <c r="D1476" s="8"/>
      <c r="E1476" s="8"/>
      <c r="F1476" s="8"/>
      <c r="G1476" s="8"/>
      <c r="H1476" s="8"/>
      <c r="I1476" s="10"/>
      <c r="J1476" s="10"/>
      <c r="K1476" s="18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</row>
    <row r="1477" ht="14.25" customHeight="1">
      <c r="A1477" s="9"/>
      <c r="B1477" s="8"/>
      <c r="C1477" s="8"/>
      <c r="D1477" s="8"/>
      <c r="E1477" s="8"/>
      <c r="F1477" s="8"/>
      <c r="G1477" s="8"/>
      <c r="H1477" s="8"/>
      <c r="I1477" s="10"/>
      <c r="J1477" s="10"/>
      <c r="K1477" s="18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</row>
    <row r="1478" ht="14.25" customHeight="1">
      <c r="A1478" s="9"/>
      <c r="B1478" s="8"/>
      <c r="C1478" s="8"/>
      <c r="D1478" s="8"/>
      <c r="E1478" s="8"/>
      <c r="F1478" s="8"/>
      <c r="G1478" s="8"/>
      <c r="H1478" s="8"/>
      <c r="I1478" s="10"/>
      <c r="J1478" s="10"/>
      <c r="K1478" s="18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</row>
    <row r="1479" ht="14.25" customHeight="1">
      <c r="A1479" s="9"/>
      <c r="B1479" s="8"/>
      <c r="C1479" s="8"/>
      <c r="D1479" s="8"/>
      <c r="E1479" s="8"/>
      <c r="F1479" s="8"/>
      <c r="G1479" s="8"/>
      <c r="H1479" s="8"/>
      <c r="I1479" s="10"/>
      <c r="J1479" s="10"/>
      <c r="K1479" s="18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</row>
    <row r="1480" ht="14.25" customHeight="1">
      <c r="A1480" s="9"/>
      <c r="B1480" s="8"/>
      <c r="C1480" s="8"/>
      <c r="D1480" s="8"/>
      <c r="E1480" s="8"/>
      <c r="F1480" s="8"/>
      <c r="G1480" s="8"/>
      <c r="H1480" s="8"/>
      <c r="I1480" s="10"/>
      <c r="J1480" s="10"/>
      <c r="K1480" s="18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</row>
    <row r="1481" ht="14.25" customHeight="1">
      <c r="A1481" s="9"/>
      <c r="B1481" s="8"/>
      <c r="C1481" s="8"/>
      <c r="D1481" s="8"/>
      <c r="E1481" s="8"/>
      <c r="F1481" s="8"/>
      <c r="G1481" s="8"/>
      <c r="H1481" s="8"/>
      <c r="I1481" s="10"/>
      <c r="J1481" s="10"/>
      <c r="K1481" s="18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</row>
    <row r="1482" ht="14.25" customHeight="1">
      <c r="A1482" s="9"/>
      <c r="B1482" s="8"/>
      <c r="C1482" s="8"/>
      <c r="D1482" s="8"/>
      <c r="E1482" s="8"/>
      <c r="F1482" s="8"/>
      <c r="G1482" s="8"/>
      <c r="H1482" s="8"/>
      <c r="I1482" s="10"/>
      <c r="J1482" s="10"/>
      <c r="K1482" s="18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</row>
    <row r="1483" ht="14.25" customHeight="1">
      <c r="A1483" s="9"/>
      <c r="B1483" s="8"/>
      <c r="C1483" s="8"/>
      <c r="D1483" s="8"/>
      <c r="E1483" s="8"/>
      <c r="F1483" s="8"/>
      <c r="G1483" s="8"/>
      <c r="H1483" s="8"/>
      <c r="I1483" s="10"/>
      <c r="J1483" s="10"/>
      <c r="K1483" s="18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</row>
    <row r="1484" ht="14.25" customHeight="1">
      <c r="A1484" s="9"/>
      <c r="B1484" s="8"/>
      <c r="C1484" s="8"/>
      <c r="D1484" s="8"/>
      <c r="E1484" s="8"/>
      <c r="F1484" s="8"/>
      <c r="G1484" s="8"/>
      <c r="H1484" s="8"/>
      <c r="I1484" s="10"/>
      <c r="J1484" s="10"/>
      <c r="K1484" s="18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</row>
    <row r="1485" ht="14.25" customHeight="1">
      <c r="A1485" s="9"/>
      <c r="B1485" s="8"/>
      <c r="C1485" s="8"/>
      <c r="D1485" s="8"/>
      <c r="E1485" s="8"/>
      <c r="F1485" s="8"/>
      <c r="G1485" s="8"/>
      <c r="H1485" s="8"/>
      <c r="I1485" s="10"/>
      <c r="J1485" s="10"/>
      <c r="K1485" s="18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</row>
    <row r="1486" ht="14.25" customHeight="1">
      <c r="A1486" s="9"/>
      <c r="B1486" s="8"/>
      <c r="C1486" s="8"/>
      <c r="D1486" s="8"/>
      <c r="E1486" s="8"/>
      <c r="F1486" s="8"/>
      <c r="G1486" s="8"/>
      <c r="H1486" s="8"/>
      <c r="I1486" s="10"/>
      <c r="J1486" s="10"/>
      <c r="K1486" s="18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</row>
    <row r="1487" ht="14.25" customHeight="1">
      <c r="A1487" s="9"/>
      <c r="B1487" s="8"/>
      <c r="C1487" s="8"/>
      <c r="D1487" s="8"/>
      <c r="E1487" s="8"/>
      <c r="F1487" s="8"/>
      <c r="G1487" s="8"/>
      <c r="H1487" s="8"/>
      <c r="I1487" s="10"/>
      <c r="J1487" s="10"/>
      <c r="K1487" s="18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</row>
    <row r="1488" ht="14.25" customHeight="1">
      <c r="A1488" s="9"/>
      <c r="B1488" s="8"/>
      <c r="C1488" s="8"/>
      <c r="D1488" s="8"/>
      <c r="E1488" s="8"/>
      <c r="F1488" s="8"/>
      <c r="G1488" s="8"/>
      <c r="H1488" s="8"/>
      <c r="I1488" s="10"/>
      <c r="J1488" s="10"/>
      <c r="K1488" s="18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</row>
    <row r="1489" ht="14.25" customHeight="1">
      <c r="A1489" s="9"/>
      <c r="B1489" s="8"/>
      <c r="C1489" s="8"/>
      <c r="D1489" s="8"/>
      <c r="E1489" s="8"/>
      <c r="F1489" s="8"/>
      <c r="G1489" s="8"/>
      <c r="H1489" s="8"/>
      <c r="I1489" s="10"/>
      <c r="J1489" s="10"/>
      <c r="K1489" s="18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</row>
    <row r="1490" ht="14.25" customHeight="1">
      <c r="A1490" s="9"/>
      <c r="B1490" s="8"/>
      <c r="C1490" s="8"/>
      <c r="D1490" s="8"/>
      <c r="E1490" s="8"/>
      <c r="F1490" s="8"/>
      <c r="G1490" s="8"/>
      <c r="H1490" s="8"/>
      <c r="I1490" s="10"/>
      <c r="J1490" s="10"/>
      <c r="K1490" s="18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</row>
    <row r="1491" ht="14.25" customHeight="1">
      <c r="A1491" s="9"/>
      <c r="B1491" s="8"/>
      <c r="C1491" s="8"/>
      <c r="D1491" s="8"/>
      <c r="E1491" s="8"/>
      <c r="F1491" s="8"/>
      <c r="G1491" s="8"/>
      <c r="H1491" s="8"/>
      <c r="I1491" s="10"/>
      <c r="J1491" s="10"/>
      <c r="K1491" s="18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</row>
    <row r="1492" ht="14.25" customHeight="1">
      <c r="A1492" s="9"/>
      <c r="B1492" s="8"/>
      <c r="C1492" s="8"/>
      <c r="D1492" s="8"/>
      <c r="E1492" s="8"/>
      <c r="F1492" s="8"/>
      <c r="G1492" s="8"/>
      <c r="H1492" s="8"/>
      <c r="I1492" s="10"/>
      <c r="J1492" s="10"/>
      <c r="K1492" s="18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</row>
    <row r="1493" ht="14.25" customHeight="1">
      <c r="A1493" s="9"/>
      <c r="B1493" s="8"/>
      <c r="C1493" s="8"/>
      <c r="D1493" s="8"/>
      <c r="E1493" s="8"/>
      <c r="F1493" s="8"/>
      <c r="G1493" s="8"/>
      <c r="H1493" s="8"/>
      <c r="I1493" s="10"/>
      <c r="J1493" s="10"/>
      <c r="K1493" s="18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</row>
    <row r="1494" ht="14.25" customHeight="1">
      <c r="A1494" s="9"/>
      <c r="B1494" s="8"/>
      <c r="C1494" s="8"/>
      <c r="D1494" s="8"/>
      <c r="E1494" s="8"/>
      <c r="F1494" s="8"/>
      <c r="G1494" s="8"/>
      <c r="H1494" s="8"/>
      <c r="I1494" s="10"/>
      <c r="J1494" s="10"/>
      <c r="K1494" s="18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</row>
    <row r="1495" ht="14.25" customHeight="1">
      <c r="A1495" s="9"/>
      <c r="B1495" s="8"/>
      <c r="C1495" s="8"/>
      <c r="D1495" s="8"/>
      <c r="E1495" s="8"/>
      <c r="F1495" s="8"/>
      <c r="G1495" s="8"/>
      <c r="H1495" s="8"/>
      <c r="I1495" s="10"/>
      <c r="J1495" s="10"/>
      <c r="K1495" s="18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</row>
    <row r="1496" ht="14.25" customHeight="1">
      <c r="A1496" s="9"/>
      <c r="B1496" s="8"/>
      <c r="C1496" s="8"/>
      <c r="D1496" s="8"/>
      <c r="E1496" s="8"/>
      <c r="F1496" s="8"/>
      <c r="G1496" s="8"/>
      <c r="H1496" s="8"/>
      <c r="I1496" s="10"/>
      <c r="J1496" s="10"/>
      <c r="K1496" s="18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</row>
    <row r="1497" ht="14.25" customHeight="1">
      <c r="A1497" s="9"/>
      <c r="B1497" s="8"/>
      <c r="C1497" s="8"/>
      <c r="D1497" s="8"/>
      <c r="E1497" s="8"/>
      <c r="F1497" s="8"/>
      <c r="G1497" s="8"/>
      <c r="H1497" s="8"/>
      <c r="I1497" s="10"/>
      <c r="J1497" s="10"/>
      <c r="K1497" s="18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</row>
    <row r="1498" ht="14.25" customHeight="1">
      <c r="A1498" s="9"/>
      <c r="B1498" s="8"/>
      <c r="C1498" s="8"/>
      <c r="D1498" s="8"/>
      <c r="E1498" s="8"/>
      <c r="F1498" s="8"/>
      <c r="G1498" s="8"/>
      <c r="H1498" s="8"/>
      <c r="I1498" s="10"/>
      <c r="J1498" s="10"/>
      <c r="K1498" s="18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</row>
    <row r="1499" ht="14.25" customHeight="1">
      <c r="A1499" s="9"/>
      <c r="B1499" s="8"/>
      <c r="C1499" s="8"/>
      <c r="D1499" s="8"/>
      <c r="E1499" s="8"/>
      <c r="F1499" s="8"/>
      <c r="G1499" s="8"/>
      <c r="H1499" s="8"/>
      <c r="I1499" s="10"/>
      <c r="J1499" s="10"/>
      <c r="K1499" s="18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</row>
    <row r="1500" ht="14.25" customHeight="1">
      <c r="A1500" s="9"/>
      <c r="B1500" s="8"/>
      <c r="C1500" s="8"/>
      <c r="D1500" s="8"/>
      <c r="E1500" s="8"/>
      <c r="F1500" s="8"/>
      <c r="G1500" s="8"/>
      <c r="H1500" s="8"/>
      <c r="I1500" s="10"/>
      <c r="J1500" s="10"/>
      <c r="K1500" s="18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</row>
    <row r="1501" ht="14.25" customHeight="1">
      <c r="A1501" s="9"/>
      <c r="B1501" s="8"/>
      <c r="C1501" s="8"/>
      <c r="D1501" s="8"/>
      <c r="E1501" s="8"/>
      <c r="F1501" s="8"/>
      <c r="G1501" s="8"/>
      <c r="H1501" s="8"/>
      <c r="I1501" s="10"/>
      <c r="J1501" s="10"/>
      <c r="K1501" s="18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</row>
    <row r="1502" ht="14.25" customHeight="1">
      <c r="A1502" s="9"/>
      <c r="B1502" s="8"/>
      <c r="C1502" s="8"/>
      <c r="D1502" s="8"/>
      <c r="E1502" s="8"/>
      <c r="F1502" s="8"/>
      <c r="G1502" s="8"/>
      <c r="H1502" s="8"/>
      <c r="I1502" s="10"/>
      <c r="J1502" s="10"/>
      <c r="K1502" s="18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</row>
    <row r="1503" ht="14.25" customHeight="1">
      <c r="A1503" s="9"/>
      <c r="B1503" s="8"/>
      <c r="C1503" s="8"/>
      <c r="D1503" s="8"/>
      <c r="E1503" s="8"/>
      <c r="F1503" s="8"/>
      <c r="G1503" s="8"/>
      <c r="H1503" s="8"/>
      <c r="I1503" s="10"/>
      <c r="J1503" s="10"/>
      <c r="K1503" s="18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</row>
    <row r="1504" ht="14.25" customHeight="1">
      <c r="A1504" s="9"/>
      <c r="B1504" s="8"/>
      <c r="C1504" s="8"/>
      <c r="D1504" s="8"/>
      <c r="E1504" s="8"/>
      <c r="F1504" s="8"/>
      <c r="G1504" s="8"/>
      <c r="H1504" s="8"/>
      <c r="I1504" s="10"/>
      <c r="J1504" s="10"/>
      <c r="K1504" s="18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</row>
    <row r="1505" ht="14.25" customHeight="1">
      <c r="A1505" s="9"/>
      <c r="B1505" s="8"/>
      <c r="C1505" s="8"/>
      <c r="D1505" s="8"/>
      <c r="E1505" s="8"/>
      <c r="F1505" s="8"/>
      <c r="G1505" s="8"/>
      <c r="H1505" s="8"/>
      <c r="I1505" s="10"/>
      <c r="J1505" s="10"/>
      <c r="K1505" s="18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</row>
    <row r="1506" ht="14.25" customHeight="1">
      <c r="A1506" s="9"/>
      <c r="B1506" s="8"/>
      <c r="C1506" s="8"/>
      <c r="D1506" s="8"/>
      <c r="E1506" s="8"/>
      <c r="F1506" s="8"/>
      <c r="G1506" s="8"/>
      <c r="H1506" s="8"/>
      <c r="I1506" s="10"/>
      <c r="J1506" s="10"/>
      <c r="K1506" s="18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</row>
    <row r="1507" ht="14.25" customHeight="1">
      <c r="A1507" s="9"/>
      <c r="B1507" s="8"/>
      <c r="C1507" s="8"/>
      <c r="D1507" s="8"/>
      <c r="E1507" s="8"/>
      <c r="F1507" s="8"/>
      <c r="G1507" s="8"/>
      <c r="H1507" s="8"/>
      <c r="I1507" s="10"/>
      <c r="J1507" s="10"/>
      <c r="K1507" s="18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</row>
    <row r="1508" ht="14.25" customHeight="1">
      <c r="A1508" s="9"/>
      <c r="B1508" s="8"/>
      <c r="C1508" s="8"/>
      <c r="D1508" s="8"/>
      <c r="E1508" s="8"/>
      <c r="F1508" s="8"/>
      <c r="G1508" s="8"/>
      <c r="H1508" s="8"/>
      <c r="I1508" s="10"/>
      <c r="J1508" s="10"/>
      <c r="K1508" s="18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</row>
    <row r="1509" ht="14.25" customHeight="1">
      <c r="A1509" s="9"/>
      <c r="B1509" s="8"/>
      <c r="C1509" s="8"/>
      <c r="D1509" s="8"/>
      <c r="E1509" s="8"/>
      <c r="F1509" s="8"/>
      <c r="G1509" s="8"/>
      <c r="H1509" s="8"/>
      <c r="I1509" s="10"/>
      <c r="J1509" s="10"/>
      <c r="K1509" s="18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</row>
    <row r="1510" ht="14.25" customHeight="1">
      <c r="A1510" s="9"/>
      <c r="B1510" s="8"/>
      <c r="C1510" s="8"/>
      <c r="D1510" s="8"/>
      <c r="E1510" s="8"/>
      <c r="F1510" s="8"/>
      <c r="G1510" s="8"/>
      <c r="H1510" s="8"/>
      <c r="I1510" s="10"/>
      <c r="J1510" s="10"/>
      <c r="K1510" s="18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</row>
    <row r="1511" ht="14.25" customHeight="1">
      <c r="A1511" s="9"/>
      <c r="B1511" s="8"/>
      <c r="C1511" s="8"/>
      <c r="D1511" s="8"/>
      <c r="E1511" s="8"/>
      <c r="F1511" s="8"/>
      <c r="G1511" s="8"/>
      <c r="H1511" s="8"/>
      <c r="I1511" s="10"/>
      <c r="J1511" s="10"/>
      <c r="K1511" s="18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</row>
    <row r="1512" ht="14.25" customHeight="1">
      <c r="A1512" s="9"/>
      <c r="B1512" s="8"/>
      <c r="C1512" s="8"/>
      <c r="D1512" s="8"/>
      <c r="E1512" s="8"/>
      <c r="F1512" s="8"/>
      <c r="G1512" s="8"/>
      <c r="H1512" s="8"/>
      <c r="I1512" s="10"/>
      <c r="J1512" s="10"/>
      <c r="K1512" s="18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</row>
    <row r="1513" ht="14.25" customHeight="1">
      <c r="A1513" s="9"/>
      <c r="B1513" s="8"/>
      <c r="C1513" s="8"/>
      <c r="D1513" s="8"/>
      <c r="E1513" s="8"/>
      <c r="F1513" s="8"/>
      <c r="G1513" s="8"/>
      <c r="H1513" s="8"/>
      <c r="I1513" s="10"/>
      <c r="J1513" s="10"/>
      <c r="K1513" s="18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</row>
    <row r="1514" ht="14.25" customHeight="1">
      <c r="A1514" s="9"/>
      <c r="B1514" s="8"/>
      <c r="C1514" s="8"/>
      <c r="D1514" s="8"/>
      <c r="E1514" s="8"/>
      <c r="F1514" s="8"/>
      <c r="G1514" s="8"/>
      <c r="H1514" s="8"/>
      <c r="I1514" s="10"/>
      <c r="J1514" s="10"/>
      <c r="K1514" s="18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</row>
    <row r="1515" ht="14.25" customHeight="1">
      <c r="A1515" s="9"/>
      <c r="B1515" s="8"/>
      <c r="C1515" s="8"/>
      <c r="D1515" s="8"/>
      <c r="E1515" s="8"/>
      <c r="F1515" s="8"/>
      <c r="G1515" s="8"/>
      <c r="H1515" s="8"/>
      <c r="I1515" s="10"/>
      <c r="J1515" s="10"/>
      <c r="K1515" s="18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</row>
    <row r="1516" ht="14.25" customHeight="1">
      <c r="A1516" s="9"/>
      <c r="B1516" s="8"/>
      <c r="C1516" s="8"/>
      <c r="D1516" s="8"/>
      <c r="E1516" s="8"/>
      <c r="F1516" s="8"/>
      <c r="G1516" s="8"/>
      <c r="H1516" s="8"/>
      <c r="I1516" s="10"/>
      <c r="J1516" s="10"/>
      <c r="K1516" s="18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</row>
    <row r="1517" ht="14.25" customHeight="1">
      <c r="A1517" s="9"/>
      <c r="B1517" s="8"/>
      <c r="C1517" s="8"/>
      <c r="D1517" s="8"/>
      <c r="E1517" s="8"/>
      <c r="F1517" s="8"/>
      <c r="G1517" s="8"/>
      <c r="H1517" s="8"/>
      <c r="I1517" s="10"/>
      <c r="J1517" s="10"/>
      <c r="K1517" s="18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</row>
    <row r="1518" ht="14.25" customHeight="1">
      <c r="A1518" s="9"/>
      <c r="B1518" s="8"/>
      <c r="C1518" s="8"/>
      <c r="D1518" s="8"/>
      <c r="E1518" s="8"/>
      <c r="F1518" s="8"/>
      <c r="G1518" s="8"/>
      <c r="H1518" s="8"/>
      <c r="I1518" s="10"/>
      <c r="J1518" s="10"/>
      <c r="K1518" s="18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</row>
    <row r="1519" ht="14.25" customHeight="1">
      <c r="A1519" s="9"/>
      <c r="B1519" s="8"/>
      <c r="C1519" s="8"/>
      <c r="D1519" s="8"/>
      <c r="E1519" s="8"/>
      <c r="F1519" s="8"/>
      <c r="G1519" s="8"/>
      <c r="H1519" s="8"/>
      <c r="I1519" s="10"/>
      <c r="J1519" s="10"/>
      <c r="K1519" s="18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</row>
    <row r="1520" ht="14.25" customHeight="1">
      <c r="A1520" s="9"/>
      <c r="B1520" s="8"/>
      <c r="C1520" s="8"/>
      <c r="D1520" s="8"/>
      <c r="E1520" s="8"/>
      <c r="F1520" s="8"/>
      <c r="G1520" s="8"/>
      <c r="H1520" s="8"/>
      <c r="I1520" s="10"/>
      <c r="J1520" s="10"/>
      <c r="K1520" s="18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</row>
    <row r="1521" ht="14.25" customHeight="1">
      <c r="A1521" s="9"/>
      <c r="B1521" s="8"/>
      <c r="C1521" s="8"/>
      <c r="D1521" s="8"/>
      <c r="E1521" s="8"/>
      <c r="F1521" s="8"/>
      <c r="G1521" s="8"/>
      <c r="H1521" s="8"/>
      <c r="I1521" s="10"/>
      <c r="J1521" s="10"/>
      <c r="K1521" s="18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</row>
    <row r="1522" ht="14.25" customHeight="1">
      <c r="A1522" s="9"/>
      <c r="B1522" s="8"/>
      <c r="C1522" s="8"/>
      <c r="D1522" s="8"/>
      <c r="E1522" s="8"/>
      <c r="F1522" s="8"/>
      <c r="G1522" s="8"/>
      <c r="H1522" s="8"/>
      <c r="I1522" s="10"/>
      <c r="J1522" s="10"/>
      <c r="K1522" s="18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</row>
    <row r="1523" ht="14.25" customHeight="1">
      <c r="A1523" s="9"/>
      <c r="B1523" s="8"/>
      <c r="C1523" s="8"/>
      <c r="D1523" s="8"/>
      <c r="E1523" s="8"/>
      <c r="F1523" s="8"/>
      <c r="G1523" s="8"/>
      <c r="H1523" s="8"/>
      <c r="I1523" s="10"/>
      <c r="J1523" s="10"/>
      <c r="K1523" s="18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</row>
    <row r="1524" ht="14.25" customHeight="1">
      <c r="A1524" s="9"/>
      <c r="B1524" s="8"/>
      <c r="C1524" s="8"/>
      <c r="D1524" s="8"/>
      <c r="E1524" s="8"/>
      <c r="F1524" s="8"/>
      <c r="G1524" s="8"/>
      <c r="H1524" s="8"/>
      <c r="I1524" s="10"/>
      <c r="J1524" s="10"/>
      <c r="K1524" s="18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</row>
    <row r="1525" ht="14.25" customHeight="1">
      <c r="A1525" s="9"/>
      <c r="B1525" s="8"/>
      <c r="C1525" s="8"/>
      <c r="D1525" s="8"/>
      <c r="E1525" s="8"/>
      <c r="F1525" s="8"/>
      <c r="G1525" s="8"/>
      <c r="H1525" s="8"/>
      <c r="I1525" s="10"/>
      <c r="J1525" s="10"/>
      <c r="K1525" s="18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</row>
    <row r="1526" ht="14.25" customHeight="1">
      <c r="A1526" s="9"/>
      <c r="B1526" s="8"/>
      <c r="C1526" s="8"/>
      <c r="D1526" s="8"/>
      <c r="E1526" s="8"/>
      <c r="F1526" s="8"/>
      <c r="G1526" s="8"/>
      <c r="H1526" s="8"/>
      <c r="I1526" s="10"/>
      <c r="J1526" s="10"/>
      <c r="K1526" s="18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</row>
    <row r="1527" ht="14.25" customHeight="1">
      <c r="A1527" s="9"/>
      <c r="B1527" s="8"/>
      <c r="C1527" s="8"/>
      <c r="D1527" s="8"/>
      <c r="E1527" s="8"/>
      <c r="F1527" s="8"/>
      <c r="G1527" s="8"/>
      <c r="H1527" s="8"/>
      <c r="I1527" s="10"/>
      <c r="J1527" s="10"/>
      <c r="K1527" s="18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</row>
    <row r="1528" ht="14.25" customHeight="1">
      <c r="A1528" s="9"/>
      <c r="B1528" s="8"/>
      <c r="C1528" s="8"/>
      <c r="D1528" s="8"/>
      <c r="E1528" s="8"/>
      <c r="F1528" s="8"/>
      <c r="G1528" s="8"/>
      <c r="H1528" s="8"/>
      <c r="I1528" s="10"/>
      <c r="J1528" s="10"/>
      <c r="K1528" s="18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</row>
    <row r="1529" ht="14.25" customHeight="1">
      <c r="A1529" s="9"/>
      <c r="B1529" s="8"/>
      <c r="C1529" s="8"/>
      <c r="D1529" s="8"/>
      <c r="E1529" s="8"/>
      <c r="F1529" s="8"/>
      <c r="G1529" s="8"/>
      <c r="H1529" s="8"/>
      <c r="I1529" s="10"/>
      <c r="J1529" s="10"/>
      <c r="K1529" s="18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</row>
    <row r="1530" ht="14.25" customHeight="1">
      <c r="A1530" s="9"/>
      <c r="B1530" s="8"/>
      <c r="C1530" s="8"/>
      <c r="D1530" s="8"/>
      <c r="E1530" s="8"/>
      <c r="F1530" s="8"/>
      <c r="G1530" s="8"/>
      <c r="H1530" s="8"/>
      <c r="I1530" s="10"/>
      <c r="J1530" s="10"/>
      <c r="K1530" s="18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</row>
    <row r="1531" ht="14.25" customHeight="1">
      <c r="A1531" s="9"/>
      <c r="B1531" s="8"/>
      <c r="C1531" s="8"/>
      <c r="D1531" s="8"/>
      <c r="E1531" s="8"/>
      <c r="F1531" s="8"/>
      <c r="G1531" s="8"/>
      <c r="H1531" s="8"/>
      <c r="I1531" s="10"/>
      <c r="J1531" s="10"/>
      <c r="K1531" s="18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</row>
    <row r="1532" ht="14.25" customHeight="1">
      <c r="A1532" s="9"/>
      <c r="B1532" s="8"/>
      <c r="C1532" s="8"/>
      <c r="D1532" s="8"/>
      <c r="E1532" s="8"/>
      <c r="F1532" s="8"/>
      <c r="G1532" s="8"/>
      <c r="H1532" s="8"/>
      <c r="I1532" s="10"/>
      <c r="J1532" s="10"/>
      <c r="K1532" s="18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</row>
    <row r="1533" ht="14.25" customHeight="1">
      <c r="A1533" s="9"/>
      <c r="B1533" s="8"/>
      <c r="C1533" s="8"/>
      <c r="D1533" s="8"/>
      <c r="E1533" s="8"/>
      <c r="F1533" s="8"/>
      <c r="G1533" s="8"/>
      <c r="H1533" s="8"/>
      <c r="I1533" s="10"/>
      <c r="J1533" s="10"/>
      <c r="K1533" s="18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</row>
    <row r="1534" ht="14.25" customHeight="1">
      <c r="A1534" s="9"/>
      <c r="B1534" s="8"/>
      <c r="C1534" s="8"/>
      <c r="D1534" s="8"/>
      <c r="E1534" s="8"/>
      <c r="F1534" s="8"/>
      <c r="G1534" s="8"/>
      <c r="H1534" s="8"/>
      <c r="I1534" s="10"/>
      <c r="J1534" s="10"/>
      <c r="K1534" s="18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</row>
    <row r="1535" ht="14.25" customHeight="1">
      <c r="A1535" s="9"/>
      <c r="B1535" s="8"/>
      <c r="C1535" s="8"/>
      <c r="D1535" s="8"/>
      <c r="E1535" s="8"/>
      <c r="F1535" s="8"/>
      <c r="G1535" s="8"/>
      <c r="H1535" s="8"/>
      <c r="I1535" s="10"/>
      <c r="J1535" s="10"/>
      <c r="K1535" s="18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</row>
    <row r="1536" ht="14.25" customHeight="1">
      <c r="A1536" s="9"/>
      <c r="B1536" s="8"/>
      <c r="C1536" s="8"/>
      <c r="D1536" s="8"/>
      <c r="E1536" s="8"/>
      <c r="F1536" s="8"/>
      <c r="G1536" s="8"/>
      <c r="H1536" s="8"/>
      <c r="I1536" s="10"/>
      <c r="J1536" s="10"/>
      <c r="K1536" s="18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</row>
    <row r="1537" ht="14.25" customHeight="1">
      <c r="A1537" s="9"/>
      <c r="B1537" s="8"/>
      <c r="C1537" s="8"/>
      <c r="D1537" s="8"/>
      <c r="E1537" s="8"/>
      <c r="F1537" s="8"/>
      <c r="G1537" s="8"/>
      <c r="H1537" s="8"/>
      <c r="I1537" s="10"/>
      <c r="J1537" s="10"/>
      <c r="K1537" s="18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</row>
    <row r="1538" ht="14.25" customHeight="1">
      <c r="A1538" s="9"/>
      <c r="B1538" s="8"/>
      <c r="C1538" s="8"/>
      <c r="D1538" s="8"/>
      <c r="E1538" s="8"/>
      <c r="F1538" s="8"/>
      <c r="G1538" s="8"/>
      <c r="H1538" s="8"/>
      <c r="I1538" s="10"/>
      <c r="J1538" s="10"/>
      <c r="K1538" s="18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</row>
    <row r="1539" ht="14.25" customHeight="1">
      <c r="A1539" s="9"/>
      <c r="B1539" s="8"/>
      <c r="C1539" s="8"/>
      <c r="D1539" s="8"/>
      <c r="E1539" s="8"/>
      <c r="F1539" s="8"/>
      <c r="G1539" s="8"/>
      <c r="H1539" s="8"/>
      <c r="I1539" s="10"/>
      <c r="J1539" s="10"/>
      <c r="K1539" s="18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</row>
    <row r="1540" ht="14.25" customHeight="1">
      <c r="A1540" s="9"/>
      <c r="B1540" s="8"/>
      <c r="C1540" s="8"/>
      <c r="D1540" s="8"/>
      <c r="E1540" s="8"/>
      <c r="F1540" s="8"/>
      <c r="G1540" s="8"/>
      <c r="H1540" s="8"/>
      <c r="I1540" s="10"/>
      <c r="J1540" s="10"/>
      <c r="K1540" s="18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</row>
    <row r="1541" ht="14.25" customHeight="1">
      <c r="A1541" s="9"/>
      <c r="B1541" s="8"/>
      <c r="C1541" s="8"/>
      <c r="D1541" s="8"/>
      <c r="E1541" s="8"/>
      <c r="F1541" s="8"/>
      <c r="G1541" s="8"/>
      <c r="H1541" s="8"/>
      <c r="I1541" s="10"/>
      <c r="J1541" s="10"/>
      <c r="K1541" s="18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</row>
    <row r="1542" ht="14.25" customHeight="1">
      <c r="A1542" s="9"/>
      <c r="B1542" s="8"/>
      <c r="C1542" s="8"/>
      <c r="D1542" s="8"/>
      <c r="E1542" s="8"/>
      <c r="F1542" s="8"/>
      <c r="G1542" s="8"/>
      <c r="H1542" s="8"/>
      <c r="I1542" s="10"/>
      <c r="J1542" s="10"/>
      <c r="K1542" s="18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</row>
    <row r="1543" ht="14.25" customHeight="1">
      <c r="A1543" s="9"/>
      <c r="B1543" s="8"/>
      <c r="C1543" s="8"/>
      <c r="D1543" s="8"/>
      <c r="E1543" s="8"/>
      <c r="F1543" s="8"/>
      <c r="G1543" s="8"/>
      <c r="H1543" s="8"/>
      <c r="I1543" s="10"/>
      <c r="J1543" s="10"/>
      <c r="K1543" s="18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</row>
    <row r="1544" ht="14.25" customHeight="1">
      <c r="A1544" s="9"/>
      <c r="B1544" s="8"/>
      <c r="C1544" s="8"/>
      <c r="D1544" s="8"/>
      <c r="E1544" s="8"/>
      <c r="F1544" s="8"/>
      <c r="G1544" s="8"/>
      <c r="H1544" s="8"/>
      <c r="I1544" s="10"/>
      <c r="J1544" s="10"/>
      <c r="K1544" s="18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</row>
    <row r="1545" ht="14.25" customHeight="1">
      <c r="A1545" s="9"/>
      <c r="B1545" s="8"/>
      <c r="C1545" s="8"/>
      <c r="D1545" s="8"/>
      <c r="E1545" s="8"/>
      <c r="F1545" s="8"/>
      <c r="G1545" s="8"/>
      <c r="H1545" s="8"/>
      <c r="I1545" s="10"/>
      <c r="J1545" s="10"/>
      <c r="K1545" s="18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</row>
    <row r="1546" ht="14.25" customHeight="1">
      <c r="A1546" s="9"/>
      <c r="B1546" s="8"/>
      <c r="C1546" s="8"/>
      <c r="D1546" s="8"/>
      <c r="E1546" s="8"/>
      <c r="F1546" s="8"/>
      <c r="G1546" s="8"/>
      <c r="H1546" s="8"/>
      <c r="I1546" s="10"/>
      <c r="J1546" s="10"/>
      <c r="K1546" s="18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</row>
    <row r="1547" ht="14.25" customHeight="1">
      <c r="A1547" s="9"/>
      <c r="B1547" s="8"/>
      <c r="C1547" s="8"/>
      <c r="D1547" s="8"/>
      <c r="E1547" s="8"/>
      <c r="F1547" s="8"/>
      <c r="G1547" s="8"/>
      <c r="H1547" s="8"/>
      <c r="I1547" s="10"/>
      <c r="J1547" s="10"/>
      <c r="K1547" s="18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</row>
    <row r="1548" ht="14.25" customHeight="1">
      <c r="A1548" s="9"/>
      <c r="B1548" s="8"/>
      <c r="C1548" s="8"/>
      <c r="D1548" s="8"/>
      <c r="E1548" s="8"/>
      <c r="F1548" s="8"/>
      <c r="G1548" s="8"/>
      <c r="H1548" s="8"/>
      <c r="I1548" s="10"/>
      <c r="J1548" s="10"/>
      <c r="K1548" s="18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</row>
    <row r="1549" ht="14.25" customHeight="1">
      <c r="A1549" s="9"/>
      <c r="B1549" s="8"/>
      <c r="C1549" s="8"/>
      <c r="D1549" s="8"/>
      <c r="E1549" s="8"/>
      <c r="F1549" s="8"/>
      <c r="G1549" s="8"/>
      <c r="H1549" s="8"/>
      <c r="I1549" s="10"/>
      <c r="J1549" s="10"/>
      <c r="K1549" s="18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</row>
    <row r="1550" ht="14.25" customHeight="1">
      <c r="A1550" s="9"/>
      <c r="B1550" s="8"/>
      <c r="C1550" s="8"/>
      <c r="D1550" s="8"/>
      <c r="E1550" s="8"/>
      <c r="F1550" s="8"/>
      <c r="G1550" s="8"/>
      <c r="H1550" s="8"/>
      <c r="I1550" s="10"/>
      <c r="J1550" s="10"/>
      <c r="K1550" s="18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</row>
    <row r="1551" ht="14.25" customHeight="1">
      <c r="A1551" s="9"/>
      <c r="B1551" s="8"/>
      <c r="C1551" s="8"/>
      <c r="D1551" s="8"/>
      <c r="E1551" s="8"/>
      <c r="F1551" s="8"/>
      <c r="G1551" s="8"/>
      <c r="H1551" s="8"/>
      <c r="I1551" s="10"/>
      <c r="J1551" s="10"/>
      <c r="K1551" s="18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</row>
    <row r="1552" ht="14.25" customHeight="1">
      <c r="A1552" s="9"/>
      <c r="B1552" s="8"/>
      <c r="C1552" s="8"/>
      <c r="D1552" s="8"/>
      <c r="E1552" s="8"/>
      <c r="F1552" s="8"/>
      <c r="G1552" s="8"/>
      <c r="H1552" s="8"/>
      <c r="I1552" s="10"/>
      <c r="J1552" s="10"/>
      <c r="K1552" s="18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</row>
    <row r="1553" ht="14.25" customHeight="1">
      <c r="A1553" s="9"/>
      <c r="B1553" s="8"/>
      <c r="C1553" s="8"/>
      <c r="D1553" s="8"/>
      <c r="E1553" s="8"/>
      <c r="F1553" s="8"/>
      <c r="G1553" s="8"/>
      <c r="H1553" s="8"/>
      <c r="I1553" s="10"/>
      <c r="J1553" s="10"/>
      <c r="K1553" s="18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</row>
    <row r="1554" ht="14.25" customHeight="1">
      <c r="A1554" s="9"/>
      <c r="B1554" s="8"/>
      <c r="C1554" s="8"/>
      <c r="D1554" s="8"/>
      <c r="E1554" s="8"/>
      <c r="F1554" s="8"/>
      <c r="G1554" s="8"/>
      <c r="H1554" s="8"/>
      <c r="I1554" s="10"/>
      <c r="J1554" s="10"/>
      <c r="K1554" s="18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</row>
    <row r="1555" ht="14.25" customHeight="1">
      <c r="A1555" s="9"/>
      <c r="B1555" s="8"/>
      <c r="C1555" s="8"/>
      <c r="D1555" s="8"/>
      <c r="E1555" s="8"/>
      <c r="F1555" s="8"/>
      <c r="G1555" s="8"/>
      <c r="H1555" s="8"/>
      <c r="I1555" s="10"/>
      <c r="J1555" s="10"/>
      <c r="K1555" s="18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</row>
    <row r="1556" ht="14.25" customHeight="1">
      <c r="A1556" s="9"/>
      <c r="B1556" s="8"/>
      <c r="C1556" s="8"/>
      <c r="D1556" s="8"/>
      <c r="E1556" s="8"/>
      <c r="F1556" s="8"/>
      <c r="G1556" s="8"/>
      <c r="H1556" s="8"/>
      <c r="I1556" s="10"/>
      <c r="J1556" s="10"/>
      <c r="K1556" s="18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</row>
    <row r="1557" ht="14.25" customHeight="1">
      <c r="A1557" s="9"/>
      <c r="B1557" s="8"/>
      <c r="C1557" s="8"/>
      <c r="D1557" s="8"/>
      <c r="E1557" s="8"/>
      <c r="F1557" s="8"/>
      <c r="G1557" s="8"/>
      <c r="H1557" s="8"/>
      <c r="I1557" s="10"/>
      <c r="J1557" s="10"/>
      <c r="K1557" s="18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</row>
    <row r="1558" ht="14.25" customHeight="1">
      <c r="A1558" s="9"/>
      <c r="B1558" s="8"/>
      <c r="C1558" s="8"/>
      <c r="D1558" s="8"/>
      <c r="E1558" s="8"/>
      <c r="F1558" s="8"/>
      <c r="G1558" s="8"/>
      <c r="H1558" s="8"/>
      <c r="I1558" s="10"/>
      <c r="J1558" s="10"/>
      <c r="K1558" s="18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</row>
    <row r="1559" ht="14.25" customHeight="1">
      <c r="A1559" s="9"/>
      <c r="B1559" s="8"/>
      <c r="C1559" s="8"/>
      <c r="D1559" s="8"/>
      <c r="E1559" s="8"/>
      <c r="F1559" s="8"/>
      <c r="G1559" s="8"/>
      <c r="H1559" s="8"/>
      <c r="I1559" s="10"/>
      <c r="J1559" s="10"/>
      <c r="K1559" s="18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</row>
    <row r="1560" ht="14.25" customHeight="1">
      <c r="A1560" s="9"/>
      <c r="B1560" s="8"/>
      <c r="C1560" s="8"/>
      <c r="D1560" s="8"/>
      <c r="E1560" s="8"/>
      <c r="F1560" s="8"/>
      <c r="G1560" s="8"/>
      <c r="H1560" s="8"/>
      <c r="I1560" s="10"/>
      <c r="J1560" s="10"/>
      <c r="K1560" s="18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</row>
    <row r="1561" ht="14.25" customHeight="1">
      <c r="A1561" s="9"/>
      <c r="B1561" s="8"/>
      <c r="C1561" s="8"/>
      <c r="D1561" s="8"/>
      <c r="E1561" s="8"/>
      <c r="F1561" s="8"/>
      <c r="G1561" s="8"/>
      <c r="H1561" s="8"/>
      <c r="I1561" s="10"/>
      <c r="J1561" s="10"/>
      <c r="K1561" s="18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</row>
    <row r="1562" ht="14.25" customHeight="1">
      <c r="A1562" s="9"/>
      <c r="B1562" s="8"/>
      <c r="C1562" s="8"/>
      <c r="D1562" s="8"/>
      <c r="E1562" s="8"/>
      <c r="F1562" s="8"/>
      <c r="G1562" s="8"/>
      <c r="H1562" s="8"/>
      <c r="I1562" s="10"/>
      <c r="J1562" s="10"/>
      <c r="K1562" s="18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</row>
    <row r="1563" ht="14.25" customHeight="1">
      <c r="A1563" s="9"/>
      <c r="B1563" s="8"/>
      <c r="C1563" s="8"/>
      <c r="D1563" s="8"/>
      <c r="E1563" s="8"/>
      <c r="F1563" s="8"/>
      <c r="G1563" s="8"/>
      <c r="H1563" s="8"/>
      <c r="I1563" s="10"/>
      <c r="J1563" s="10"/>
      <c r="K1563" s="18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</row>
    <row r="1564" ht="14.25" customHeight="1">
      <c r="A1564" s="9"/>
      <c r="B1564" s="8"/>
      <c r="C1564" s="8"/>
      <c r="D1564" s="8"/>
      <c r="E1564" s="8"/>
      <c r="F1564" s="8"/>
      <c r="G1564" s="8"/>
      <c r="H1564" s="8"/>
      <c r="I1564" s="10"/>
      <c r="J1564" s="10"/>
      <c r="K1564" s="18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</row>
    <row r="1565" ht="14.25" customHeight="1">
      <c r="A1565" s="9"/>
      <c r="B1565" s="8"/>
      <c r="C1565" s="8"/>
      <c r="D1565" s="8"/>
      <c r="E1565" s="8"/>
      <c r="F1565" s="8"/>
      <c r="G1565" s="8"/>
      <c r="H1565" s="8"/>
      <c r="I1565" s="10"/>
      <c r="J1565" s="10"/>
      <c r="K1565" s="18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</row>
    <row r="1566" ht="14.25" customHeight="1">
      <c r="A1566" s="9"/>
      <c r="B1566" s="8"/>
      <c r="C1566" s="8"/>
      <c r="D1566" s="8"/>
      <c r="E1566" s="8"/>
      <c r="F1566" s="8"/>
      <c r="G1566" s="8"/>
      <c r="H1566" s="8"/>
      <c r="I1566" s="10"/>
      <c r="J1566" s="10"/>
      <c r="K1566" s="18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</row>
    <row r="1567" ht="14.25" customHeight="1">
      <c r="A1567" s="9"/>
      <c r="B1567" s="8"/>
      <c r="C1567" s="8"/>
      <c r="D1567" s="8"/>
      <c r="E1567" s="8"/>
      <c r="F1567" s="8"/>
      <c r="G1567" s="8"/>
      <c r="H1567" s="8"/>
      <c r="I1567" s="10"/>
      <c r="J1567" s="10"/>
      <c r="K1567" s="18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</row>
    <row r="1568" ht="14.25" customHeight="1">
      <c r="A1568" s="9"/>
      <c r="B1568" s="8"/>
      <c r="C1568" s="8"/>
      <c r="D1568" s="8"/>
      <c r="E1568" s="8"/>
      <c r="F1568" s="8"/>
      <c r="G1568" s="8"/>
      <c r="H1568" s="8"/>
      <c r="I1568" s="10"/>
      <c r="J1568" s="10"/>
      <c r="K1568" s="18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</row>
    <row r="1569" ht="14.25" customHeight="1">
      <c r="A1569" s="9"/>
      <c r="B1569" s="8"/>
      <c r="C1569" s="8"/>
      <c r="D1569" s="8"/>
      <c r="E1569" s="8"/>
      <c r="F1569" s="8"/>
      <c r="G1569" s="8"/>
      <c r="H1569" s="8"/>
      <c r="I1569" s="10"/>
      <c r="J1569" s="10"/>
      <c r="K1569" s="18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</row>
    <row r="1570" ht="14.25" customHeight="1">
      <c r="A1570" s="9"/>
      <c r="B1570" s="8"/>
      <c r="C1570" s="8"/>
      <c r="D1570" s="8"/>
      <c r="E1570" s="8"/>
      <c r="F1570" s="8"/>
      <c r="G1570" s="8"/>
      <c r="H1570" s="8"/>
      <c r="I1570" s="10"/>
      <c r="J1570" s="10"/>
      <c r="K1570" s="18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</row>
    <row r="1571" ht="14.25" customHeight="1">
      <c r="A1571" s="9"/>
      <c r="B1571" s="8"/>
      <c r="C1571" s="8"/>
      <c r="D1571" s="8"/>
      <c r="E1571" s="8"/>
      <c r="F1571" s="8"/>
      <c r="G1571" s="8"/>
      <c r="H1571" s="8"/>
      <c r="I1571" s="10"/>
      <c r="J1571" s="10"/>
      <c r="K1571" s="18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</row>
    <row r="1572" ht="14.25" customHeight="1">
      <c r="A1572" s="9"/>
      <c r="B1572" s="8"/>
      <c r="C1572" s="8"/>
      <c r="D1572" s="8"/>
      <c r="E1572" s="8"/>
      <c r="F1572" s="8"/>
      <c r="G1572" s="8"/>
      <c r="H1572" s="8"/>
      <c r="I1572" s="10"/>
      <c r="J1572" s="10"/>
      <c r="K1572" s="18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</row>
    <row r="1573" ht="14.25" customHeight="1">
      <c r="A1573" s="9"/>
      <c r="B1573" s="8"/>
      <c r="C1573" s="8"/>
      <c r="D1573" s="8"/>
      <c r="E1573" s="8"/>
      <c r="F1573" s="8"/>
      <c r="G1573" s="8"/>
      <c r="H1573" s="8"/>
      <c r="I1573" s="10"/>
      <c r="J1573" s="10"/>
      <c r="K1573" s="18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</row>
    <row r="1574" ht="14.25" customHeight="1">
      <c r="A1574" s="9"/>
      <c r="B1574" s="8"/>
      <c r="C1574" s="8"/>
      <c r="D1574" s="8"/>
      <c r="E1574" s="8"/>
      <c r="F1574" s="8"/>
      <c r="G1574" s="8"/>
      <c r="H1574" s="8"/>
      <c r="I1574" s="10"/>
      <c r="J1574" s="10"/>
      <c r="K1574" s="18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</row>
    <row r="1575" ht="14.25" customHeight="1">
      <c r="A1575" s="9"/>
      <c r="B1575" s="8"/>
      <c r="C1575" s="8"/>
      <c r="D1575" s="8"/>
      <c r="E1575" s="8"/>
      <c r="F1575" s="8"/>
      <c r="G1575" s="8"/>
      <c r="H1575" s="8"/>
      <c r="I1575" s="10"/>
      <c r="J1575" s="10"/>
      <c r="K1575" s="18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</row>
    <row r="1576" ht="14.25" customHeight="1">
      <c r="A1576" s="9"/>
      <c r="B1576" s="8"/>
      <c r="C1576" s="8"/>
      <c r="D1576" s="8"/>
      <c r="E1576" s="8"/>
      <c r="F1576" s="8"/>
      <c r="G1576" s="8"/>
      <c r="H1576" s="8"/>
      <c r="I1576" s="10"/>
      <c r="J1576" s="10"/>
      <c r="K1576" s="18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</row>
    <row r="1577" ht="14.25" customHeight="1">
      <c r="A1577" s="9"/>
      <c r="B1577" s="8"/>
      <c r="C1577" s="8"/>
      <c r="D1577" s="8"/>
      <c r="E1577" s="8"/>
      <c r="F1577" s="8"/>
      <c r="G1577" s="8"/>
      <c r="H1577" s="8"/>
      <c r="I1577" s="10"/>
      <c r="J1577" s="10"/>
      <c r="K1577" s="18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</row>
    <row r="1578" ht="14.25" customHeight="1">
      <c r="A1578" s="9"/>
      <c r="B1578" s="8"/>
      <c r="C1578" s="8"/>
      <c r="D1578" s="8"/>
      <c r="E1578" s="8"/>
      <c r="F1578" s="8"/>
      <c r="G1578" s="8"/>
      <c r="H1578" s="8"/>
      <c r="I1578" s="10"/>
      <c r="J1578" s="10"/>
      <c r="K1578" s="18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</row>
    <row r="1579" ht="14.25" customHeight="1">
      <c r="A1579" s="9"/>
      <c r="B1579" s="8"/>
      <c r="C1579" s="8"/>
      <c r="D1579" s="8"/>
      <c r="E1579" s="8"/>
      <c r="F1579" s="8"/>
      <c r="G1579" s="8"/>
      <c r="H1579" s="8"/>
      <c r="I1579" s="10"/>
      <c r="J1579" s="10"/>
      <c r="K1579" s="18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</row>
    <row r="1580" ht="14.25" customHeight="1">
      <c r="A1580" s="9"/>
      <c r="B1580" s="8"/>
      <c r="C1580" s="8"/>
      <c r="D1580" s="8"/>
      <c r="E1580" s="8"/>
      <c r="F1580" s="8"/>
      <c r="G1580" s="8"/>
      <c r="H1580" s="8"/>
      <c r="I1580" s="10"/>
      <c r="J1580" s="10"/>
      <c r="K1580" s="18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</row>
    <row r="1581" ht="14.25" customHeight="1">
      <c r="A1581" s="9"/>
      <c r="B1581" s="8"/>
      <c r="C1581" s="8"/>
      <c r="D1581" s="8"/>
      <c r="E1581" s="8"/>
      <c r="F1581" s="8"/>
      <c r="G1581" s="8"/>
      <c r="H1581" s="8"/>
      <c r="I1581" s="10"/>
      <c r="J1581" s="10"/>
      <c r="K1581" s="18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</row>
    <row r="1582" ht="14.25" customHeight="1">
      <c r="A1582" s="9"/>
      <c r="B1582" s="8"/>
      <c r="C1582" s="8"/>
      <c r="D1582" s="8"/>
      <c r="E1582" s="8"/>
      <c r="F1582" s="8"/>
      <c r="G1582" s="8"/>
      <c r="H1582" s="8"/>
      <c r="I1582" s="10"/>
      <c r="J1582" s="10"/>
      <c r="K1582" s="18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</row>
    <row r="1583" ht="14.25" customHeight="1">
      <c r="A1583" s="9"/>
      <c r="B1583" s="8"/>
      <c r="C1583" s="8"/>
      <c r="D1583" s="8"/>
      <c r="E1583" s="8"/>
      <c r="F1583" s="8"/>
      <c r="G1583" s="8"/>
      <c r="H1583" s="8"/>
      <c r="I1583" s="10"/>
      <c r="J1583" s="10"/>
      <c r="K1583" s="18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</row>
    <row r="1584" ht="14.25" customHeight="1">
      <c r="A1584" s="9"/>
      <c r="B1584" s="8"/>
      <c r="C1584" s="8"/>
      <c r="D1584" s="8"/>
      <c r="E1584" s="8"/>
      <c r="F1584" s="8"/>
      <c r="G1584" s="8"/>
      <c r="H1584" s="8"/>
      <c r="I1584" s="10"/>
      <c r="J1584" s="10"/>
      <c r="K1584" s="18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</row>
    <row r="1585" ht="14.25" customHeight="1">
      <c r="A1585" s="9"/>
      <c r="B1585" s="8"/>
      <c r="C1585" s="8"/>
      <c r="D1585" s="8"/>
      <c r="E1585" s="8"/>
      <c r="F1585" s="8"/>
      <c r="G1585" s="8"/>
      <c r="H1585" s="8"/>
      <c r="I1585" s="10"/>
      <c r="J1585" s="10"/>
      <c r="K1585" s="18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</row>
    <row r="1586" ht="14.25" customHeight="1">
      <c r="A1586" s="9"/>
      <c r="B1586" s="8"/>
      <c r="C1586" s="8"/>
      <c r="D1586" s="8"/>
      <c r="E1586" s="8"/>
      <c r="F1586" s="8"/>
      <c r="G1586" s="8"/>
      <c r="H1586" s="8"/>
      <c r="I1586" s="10"/>
      <c r="J1586" s="10"/>
      <c r="K1586" s="18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</row>
    <row r="1587" ht="14.25" customHeight="1">
      <c r="A1587" s="9"/>
      <c r="B1587" s="8"/>
      <c r="C1587" s="8"/>
      <c r="D1587" s="8"/>
      <c r="E1587" s="8"/>
      <c r="F1587" s="8"/>
      <c r="G1587" s="8"/>
      <c r="H1587" s="8"/>
      <c r="I1587" s="10"/>
      <c r="J1587" s="10"/>
      <c r="K1587" s="18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</row>
    <row r="1588" ht="14.25" customHeight="1">
      <c r="A1588" s="9"/>
      <c r="B1588" s="8"/>
      <c r="C1588" s="8"/>
      <c r="D1588" s="8"/>
      <c r="E1588" s="8"/>
      <c r="F1588" s="8"/>
      <c r="G1588" s="8"/>
      <c r="H1588" s="8"/>
      <c r="I1588" s="10"/>
      <c r="J1588" s="10"/>
      <c r="K1588" s="18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</row>
    <row r="1589" ht="14.25" customHeight="1">
      <c r="A1589" s="9"/>
      <c r="B1589" s="8"/>
      <c r="C1589" s="8"/>
      <c r="D1589" s="8"/>
      <c r="E1589" s="8"/>
      <c r="F1589" s="8"/>
      <c r="G1589" s="8"/>
      <c r="H1589" s="8"/>
      <c r="I1589" s="10"/>
      <c r="J1589" s="10"/>
      <c r="K1589" s="18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</row>
    <row r="1590" ht="14.25" customHeight="1">
      <c r="A1590" s="9"/>
      <c r="B1590" s="8"/>
      <c r="C1590" s="8"/>
      <c r="D1590" s="8"/>
      <c r="E1590" s="8"/>
      <c r="F1590" s="8"/>
      <c r="G1590" s="8"/>
      <c r="H1590" s="8"/>
      <c r="I1590" s="10"/>
      <c r="J1590" s="10"/>
      <c r="K1590" s="18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</row>
    <row r="1591" ht="14.25" customHeight="1">
      <c r="A1591" s="9"/>
      <c r="B1591" s="8"/>
      <c r="C1591" s="8"/>
      <c r="D1591" s="8"/>
      <c r="E1591" s="8"/>
      <c r="F1591" s="8"/>
      <c r="G1591" s="8"/>
      <c r="H1591" s="8"/>
      <c r="I1591" s="10"/>
      <c r="J1591" s="10"/>
      <c r="K1591" s="18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</row>
    <row r="1592" ht="14.25" customHeight="1">
      <c r="A1592" s="9"/>
      <c r="B1592" s="8"/>
      <c r="C1592" s="8"/>
      <c r="D1592" s="8"/>
      <c r="E1592" s="8"/>
      <c r="F1592" s="8"/>
      <c r="G1592" s="8"/>
      <c r="H1592" s="8"/>
      <c r="I1592" s="10"/>
      <c r="J1592" s="10"/>
      <c r="K1592" s="18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</row>
    <row r="1593" ht="14.25" customHeight="1">
      <c r="A1593" s="9"/>
      <c r="B1593" s="8"/>
      <c r="C1593" s="8"/>
      <c r="D1593" s="8"/>
      <c r="E1593" s="8"/>
      <c r="F1593" s="8"/>
      <c r="G1593" s="8"/>
      <c r="H1593" s="8"/>
      <c r="I1593" s="10"/>
      <c r="J1593" s="10"/>
      <c r="K1593" s="18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</row>
    <row r="1594" ht="14.25" customHeight="1">
      <c r="A1594" s="9"/>
      <c r="B1594" s="8"/>
      <c r="C1594" s="8"/>
      <c r="D1594" s="8"/>
      <c r="E1594" s="8"/>
      <c r="F1594" s="8"/>
      <c r="G1594" s="8"/>
      <c r="H1594" s="8"/>
      <c r="I1594" s="10"/>
      <c r="J1594" s="10"/>
      <c r="K1594" s="18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</row>
    <row r="1595" ht="14.25" customHeight="1">
      <c r="A1595" s="9"/>
      <c r="B1595" s="8"/>
      <c r="C1595" s="8"/>
      <c r="D1595" s="8"/>
      <c r="E1595" s="8"/>
      <c r="F1595" s="8"/>
      <c r="G1595" s="8"/>
      <c r="H1595" s="8"/>
      <c r="I1595" s="10"/>
      <c r="J1595" s="10"/>
      <c r="K1595" s="18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</row>
    <row r="1596" ht="14.25" customHeight="1">
      <c r="A1596" s="9"/>
      <c r="B1596" s="8"/>
      <c r="C1596" s="8"/>
      <c r="D1596" s="8"/>
      <c r="E1596" s="8"/>
      <c r="F1596" s="8"/>
      <c r="G1596" s="8"/>
      <c r="H1596" s="8"/>
      <c r="I1596" s="10"/>
      <c r="J1596" s="10"/>
      <c r="K1596" s="18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</row>
    <row r="1597" ht="14.25" customHeight="1">
      <c r="A1597" s="9"/>
      <c r="B1597" s="8"/>
      <c r="C1597" s="8"/>
      <c r="D1597" s="8"/>
      <c r="E1597" s="8"/>
      <c r="F1597" s="8"/>
      <c r="G1597" s="8"/>
      <c r="H1597" s="8"/>
      <c r="I1597" s="10"/>
      <c r="J1597" s="10"/>
      <c r="K1597" s="18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</row>
    <row r="1598" ht="14.25" customHeight="1">
      <c r="A1598" s="9"/>
      <c r="B1598" s="8"/>
      <c r="C1598" s="8"/>
      <c r="D1598" s="8"/>
      <c r="E1598" s="8"/>
      <c r="F1598" s="8"/>
      <c r="G1598" s="8"/>
      <c r="H1598" s="8"/>
      <c r="I1598" s="10"/>
      <c r="J1598" s="10"/>
      <c r="K1598" s="18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</row>
    <row r="1599" ht="14.25" customHeight="1">
      <c r="A1599" s="9"/>
      <c r="B1599" s="8"/>
      <c r="C1599" s="8"/>
      <c r="D1599" s="8"/>
      <c r="E1599" s="8"/>
      <c r="F1599" s="8"/>
      <c r="G1599" s="8"/>
      <c r="H1599" s="8"/>
      <c r="I1599" s="10"/>
      <c r="J1599" s="10"/>
      <c r="K1599" s="18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</row>
    <row r="1600" ht="14.25" customHeight="1">
      <c r="A1600" s="9"/>
      <c r="B1600" s="8"/>
      <c r="C1600" s="8"/>
      <c r="D1600" s="8"/>
      <c r="E1600" s="8"/>
      <c r="F1600" s="8"/>
      <c r="G1600" s="8"/>
      <c r="H1600" s="8"/>
      <c r="I1600" s="10"/>
      <c r="J1600" s="10"/>
      <c r="K1600" s="18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</row>
    <row r="1601" ht="14.25" customHeight="1">
      <c r="A1601" s="9"/>
      <c r="B1601" s="8"/>
      <c r="C1601" s="8"/>
      <c r="D1601" s="8"/>
      <c r="E1601" s="8"/>
      <c r="F1601" s="8"/>
      <c r="G1601" s="8"/>
      <c r="H1601" s="8"/>
      <c r="I1601" s="10"/>
      <c r="J1601" s="10"/>
      <c r="K1601" s="18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</row>
    <row r="1602" ht="14.25" customHeight="1">
      <c r="A1602" s="9"/>
      <c r="B1602" s="8"/>
      <c r="C1602" s="8"/>
      <c r="D1602" s="8"/>
      <c r="E1602" s="8"/>
      <c r="F1602" s="8"/>
      <c r="G1602" s="8"/>
      <c r="H1602" s="8"/>
      <c r="I1602" s="10"/>
      <c r="J1602" s="10"/>
      <c r="K1602" s="18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</row>
    <row r="1603" ht="14.25" customHeight="1">
      <c r="A1603" s="9"/>
      <c r="B1603" s="8"/>
      <c r="C1603" s="8"/>
      <c r="D1603" s="8"/>
      <c r="E1603" s="8"/>
      <c r="F1603" s="8"/>
      <c r="G1603" s="8"/>
      <c r="H1603" s="8"/>
      <c r="I1603" s="10"/>
      <c r="J1603" s="10"/>
      <c r="K1603" s="18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</row>
    <row r="1604" ht="14.25" customHeight="1">
      <c r="A1604" s="9"/>
      <c r="B1604" s="8"/>
      <c r="C1604" s="8"/>
      <c r="D1604" s="8"/>
      <c r="E1604" s="8"/>
      <c r="F1604" s="8"/>
      <c r="G1604" s="8"/>
      <c r="H1604" s="8"/>
      <c r="I1604" s="10"/>
      <c r="J1604" s="10"/>
      <c r="K1604" s="18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</row>
    <row r="1605" ht="14.25" customHeight="1">
      <c r="A1605" s="9"/>
      <c r="B1605" s="8"/>
      <c r="C1605" s="8"/>
      <c r="D1605" s="8"/>
      <c r="E1605" s="8"/>
      <c r="F1605" s="8"/>
      <c r="G1605" s="8"/>
      <c r="H1605" s="8"/>
      <c r="I1605" s="10"/>
      <c r="J1605" s="10"/>
      <c r="K1605" s="18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</row>
    <row r="1606" ht="14.25" customHeight="1">
      <c r="A1606" s="9"/>
      <c r="B1606" s="8"/>
      <c r="C1606" s="8"/>
      <c r="D1606" s="8"/>
      <c r="E1606" s="8"/>
      <c r="F1606" s="8"/>
      <c r="G1606" s="8"/>
      <c r="H1606" s="8"/>
      <c r="I1606" s="10"/>
      <c r="J1606" s="10"/>
      <c r="K1606" s="18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</row>
    <row r="1607" ht="14.25" customHeight="1">
      <c r="A1607" s="9"/>
      <c r="B1607" s="8"/>
      <c r="C1607" s="8"/>
      <c r="D1607" s="8"/>
      <c r="E1607" s="8"/>
      <c r="F1607" s="8"/>
      <c r="G1607" s="8"/>
      <c r="H1607" s="8"/>
      <c r="I1607" s="10"/>
      <c r="J1607" s="10"/>
      <c r="K1607" s="18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</row>
    <row r="1608" ht="14.25" customHeight="1">
      <c r="A1608" s="9"/>
      <c r="B1608" s="8"/>
      <c r="C1608" s="8"/>
      <c r="D1608" s="8"/>
      <c r="E1608" s="8"/>
      <c r="F1608" s="8"/>
      <c r="G1608" s="8"/>
      <c r="H1608" s="8"/>
      <c r="I1608" s="10"/>
      <c r="J1608" s="10"/>
      <c r="K1608" s="18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</row>
    <row r="1609" ht="14.25" customHeight="1">
      <c r="A1609" s="9"/>
      <c r="B1609" s="8"/>
      <c r="C1609" s="8"/>
      <c r="D1609" s="8"/>
      <c r="E1609" s="8"/>
      <c r="F1609" s="8"/>
      <c r="G1609" s="8"/>
      <c r="H1609" s="8"/>
      <c r="I1609" s="10"/>
      <c r="J1609" s="10"/>
      <c r="K1609" s="18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</row>
    <row r="1610" ht="14.25" customHeight="1">
      <c r="A1610" s="9"/>
      <c r="B1610" s="8"/>
      <c r="C1610" s="8"/>
      <c r="D1610" s="8"/>
      <c r="E1610" s="8"/>
      <c r="F1610" s="8"/>
      <c r="G1610" s="8"/>
      <c r="H1610" s="8"/>
      <c r="I1610" s="10"/>
      <c r="J1610" s="10"/>
      <c r="K1610" s="18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</row>
    <row r="1611" ht="14.25" customHeight="1">
      <c r="A1611" s="9"/>
      <c r="B1611" s="8"/>
      <c r="C1611" s="8"/>
      <c r="D1611" s="8"/>
      <c r="E1611" s="8"/>
      <c r="F1611" s="8"/>
      <c r="G1611" s="8"/>
      <c r="H1611" s="8"/>
      <c r="I1611" s="10"/>
      <c r="J1611" s="10"/>
      <c r="K1611" s="18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</row>
    <row r="1612" ht="14.25" customHeight="1">
      <c r="A1612" s="9"/>
      <c r="B1612" s="8"/>
      <c r="C1612" s="8"/>
      <c r="D1612" s="8"/>
      <c r="E1612" s="8"/>
      <c r="F1612" s="8"/>
      <c r="G1612" s="8"/>
      <c r="H1612" s="8"/>
      <c r="I1612" s="10"/>
      <c r="J1612" s="10"/>
      <c r="K1612" s="18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</row>
    <row r="1613" ht="14.25" customHeight="1">
      <c r="A1613" s="9"/>
      <c r="B1613" s="8"/>
      <c r="C1613" s="8"/>
      <c r="D1613" s="8"/>
      <c r="E1613" s="8"/>
      <c r="F1613" s="8"/>
      <c r="G1613" s="8"/>
      <c r="H1613" s="8"/>
      <c r="I1613" s="10"/>
      <c r="J1613" s="10"/>
      <c r="K1613" s="18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</row>
    <row r="1614" ht="14.25" customHeight="1">
      <c r="A1614" s="9"/>
      <c r="B1614" s="8"/>
      <c r="C1614" s="8"/>
      <c r="D1614" s="8"/>
      <c r="E1614" s="8"/>
      <c r="F1614" s="8"/>
      <c r="G1614" s="8"/>
      <c r="H1614" s="8"/>
      <c r="I1614" s="10"/>
      <c r="J1614" s="10"/>
      <c r="K1614" s="18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</row>
    <row r="1615" ht="14.25" customHeight="1">
      <c r="A1615" s="9"/>
      <c r="B1615" s="8"/>
      <c r="C1615" s="8"/>
      <c r="D1615" s="8"/>
      <c r="E1615" s="8"/>
      <c r="F1615" s="8"/>
      <c r="G1615" s="8"/>
      <c r="H1615" s="8"/>
      <c r="I1615" s="10"/>
      <c r="J1615" s="10"/>
      <c r="K1615" s="18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</row>
    <row r="1616" ht="14.25" customHeight="1">
      <c r="A1616" s="9"/>
      <c r="B1616" s="8"/>
      <c r="C1616" s="8"/>
      <c r="D1616" s="8"/>
      <c r="E1616" s="8"/>
      <c r="F1616" s="8"/>
      <c r="G1616" s="8"/>
      <c r="H1616" s="8"/>
      <c r="I1616" s="10"/>
      <c r="J1616" s="10"/>
      <c r="K1616" s="18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</row>
    <row r="1617" ht="14.25" customHeight="1">
      <c r="A1617" s="9"/>
      <c r="B1617" s="8"/>
      <c r="C1617" s="8"/>
      <c r="D1617" s="8"/>
      <c r="E1617" s="8"/>
      <c r="F1617" s="8"/>
      <c r="G1617" s="8"/>
      <c r="H1617" s="8"/>
      <c r="I1617" s="10"/>
      <c r="J1617" s="10"/>
      <c r="K1617" s="18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</row>
    <row r="1618" ht="14.25" customHeight="1">
      <c r="A1618" s="9"/>
      <c r="B1618" s="8"/>
      <c r="C1618" s="8"/>
      <c r="D1618" s="8"/>
      <c r="E1618" s="8"/>
      <c r="F1618" s="8"/>
      <c r="G1618" s="8"/>
      <c r="H1618" s="8"/>
      <c r="I1618" s="10"/>
      <c r="J1618" s="10"/>
      <c r="K1618" s="18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</row>
    <row r="1619" ht="14.25" customHeight="1">
      <c r="A1619" s="9"/>
      <c r="B1619" s="8"/>
      <c r="C1619" s="8"/>
      <c r="D1619" s="8"/>
      <c r="E1619" s="8"/>
      <c r="F1619" s="8"/>
      <c r="G1619" s="8"/>
      <c r="H1619" s="8"/>
      <c r="I1619" s="10"/>
      <c r="J1619" s="10"/>
      <c r="K1619" s="18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</row>
    <row r="1620" ht="14.25" customHeight="1">
      <c r="A1620" s="9"/>
      <c r="B1620" s="8"/>
      <c r="C1620" s="8"/>
      <c r="D1620" s="8"/>
      <c r="E1620" s="8"/>
      <c r="F1620" s="8"/>
      <c r="G1620" s="8"/>
      <c r="H1620" s="8"/>
      <c r="I1620" s="10"/>
      <c r="J1620" s="10"/>
      <c r="K1620" s="18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</row>
    <row r="1621" ht="14.25" customHeight="1">
      <c r="A1621" s="9"/>
      <c r="B1621" s="8"/>
      <c r="C1621" s="8"/>
      <c r="D1621" s="8"/>
      <c r="E1621" s="8"/>
      <c r="F1621" s="8"/>
      <c r="G1621" s="8"/>
      <c r="H1621" s="8"/>
      <c r="I1621" s="10"/>
      <c r="J1621" s="10"/>
      <c r="K1621" s="18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</row>
    <row r="1622" ht="14.25" customHeight="1">
      <c r="A1622" s="9"/>
      <c r="B1622" s="8"/>
      <c r="C1622" s="8"/>
      <c r="D1622" s="8"/>
      <c r="E1622" s="8"/>
      <c r="F1622" s="8"/>
      <c r="G1622" s="8"/>
      <c r="H1622" s="8"/>
      <c r="I1622" s="10"/>
      <c r="J1622" s="10"/>
      <c r="K1622" s="18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</row>
    <row r="1623" ht="14.25" customHeight="1">
      <c r="A1623" s="9"/>
      <c r="B1623" s="8"/>
      <c r="C1623" s="8"/>
      <c r="D1623" s="8"/>
      <c r="E1623" s="8"/>
      <c r="F1623" s="8"/>
      <c r="G1623" s="8"/>
      <c r="H1623" s="8"/>
      <c r="I1623" s="10"/>
      <c r="J1623" s="10"/>
      <c r="K1623" s="18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</row>
    <row r="1624" ht="14.25" customHeight="1">
      <c r="A1624" s="9"/>
      <c r="B1624" s="8"/>
      <c r="C1624" s="8"/>
      <c r="D1624" s="8"/>
      <c r="E1624" s="8"/>
      <c r="F1624" s="8"/>
      <c r="G1624" s="8"/>
      <c r="H1624" s="8"/>
      <c r="I1624" s="10"/>
      <c r="J1624" s="10"/>
      <c r="K1624" s="18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</row>
    <row r="1625" ht="14.25" customHeight="1">
      <c r="A1625" s="9"/>
      <c r="B1625" s="8"/>
      <c r="C1625" s="8"/>
      <c r="D1625" s="8"/>
      <c r="E1625" s="8"/>
      <c r="F1625" s="8"/>
      <c r="G1625" s="8"/>
      <c r="H1625" s="8"/>
      <c r="I1625" s="10"/>
      <c r="J1625" s="10"/>
      <c r="K1625" s="18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</row>
    <row r="1626" ht="14.25" customHeight="1">
      <c r="A1626" s="9"/>
      <c r="B1626" s="8"/>
      <c r="C1626" s="8"/>
      <c r="D1626" s="8"/>
      <c r="E1626" s="8"/>
      <c r="F1626" s="8"/>
      <c r="G1626" s="8"/>
      <c r="H1626" s="8"/>
      <c r="I1626" s="10"/>
      <c r="J1626" s="10"/>
      <c r="K1626" s="18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</row>
    <row r="1627" ht="14.25" customHeight="1">
      <c r="A1627" s="9"/>
      <c r="B1627" s="8"/>
      <c r="C1627" s="8"/>
      <c r="D1627" s="8"/>
      <c r="E1627" s="8"/>
      <c r="F1627" s="8"/>
      <c r="G1627" s="8"/>
      <c r="H1627" s="8"/>
      <c r="I1627" s="10"/>
      <c r="J1627" s="10"/>
      <c r="K1627" s="18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</row>
    <row r="1628" ht="14.25" customHeight="1">
      <c r="A1628" s="9"/>
      <c r="B1628" s="8"/>
      <c r="C1628" s="8"/>
      <c r="D1628" s="8"/>
      <c r="E1628" s="8"/>
      <c r="F1628" s="8"/>
      <c r="G1628" s="8"/>
      <c r="H1628" s="8"/>
      <c r="I1628" s="10"/>
      <c r="J1628" s="10"/>
      <c r="K1628" s="18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</row>
    <row r="1629" ht="14.25" customHeight="1">
      <c r="A1629" s="9"/>
      <c r="B1629" s="8"/>
      <c r="C1629" s="8"/>
      <c r="D1629" s="8"/>
      <c r="E1629" s="8"/>
      <c r="F1629" s="8"/>
      <c r="G1629" s="8"/>
      <c r="H1629" s="8"/>
      <c r="I1629" s="10"/>
      <c r="J1629" s="10"/>
      <c r="K1629" s="18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</row>
    <row r="1630" ht="14.25" customHeight="1">
      <c r="A1630" s="9"/>
      <c r="B1630" s="8"/>
      <c r="C1630" s="8"/>
      <c r="D1630" s="8"/>
      <c r="E1630" s="8"/>
      <c r="F1630" s="8"/>
      <c r="G1630" s="8"/>
      <c r="H1630" s="8"/>
      <c r="I1630" s="10"/>
      <c r="J1630" s="10"/>
      <c r="K1630" s="18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</row>
    <row r="1631" ht="14.25" customHeight="1">
      <c r="A1631" s="9"/>
      <c r="B1631" s="8"/>
      <c r="C1631" s="8"/>
      <c r="D1631" s="8"/>
      <c r="E1631" s="8"/>
      <c r="F1631" s="8"/>
      <c r="G1631" s="8"/>
      <c r="H1631" s="8"/>
      <c r="I1631" s="10"/>
      <c r="J1631" s="10"/>
      <c r="K1631" s="18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</row>
    <row r="1632" ht="14.25" customHeight="1">
      <c r="A1632" s="9"/>
      <c r="B1632" s="8"/>
      <c r="C1632" s="8"/>
      <c r="D1632" s="8"/>
      <c r="E1632" s="8"/>
      <c r="F1632" s="8"/>
      <c r="G1632" s="8"/>
      <c r="H1632" s="8"/>
      <c r="I1632" s="10"/>
      <c r="J1632" s="10"/>
      <c r="K1632" s="18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</row>
    <row r="1633" ht="14.25" customHeight="1">
      <c r="A1633" s="9"/>
      <c r="B1633" s="8"/>
      <c r="C1633" s="8"/>
      <c r="D1633" s="8"/>
      <c r="E1633" s="8"/>
      <c r="F1633" s="8"/>
      <c r="G1633" s="8"/>
      <c r="H1633" s="8"/>
      <c r="I1633" s="10"/>
      <c r="J1633" s="10"/>
      <c r="K1633" s="18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</row>
    <row r="1634" ht="14.25" customHeight="1">
      <c r="A1634" s="9"/>
      <c r="B1634" s="8"/>
      <c r="C1634" s="8"/>
      <c r="D1634" s="8"/>
      <c r="E1634" s="8"/>
      <c r="F1634" s="8"/>
      <c r="G1634" s="8"/>
      <c r="H1634" s="8"/>
      <c r="I1634" s="10"/>
      <c r="J1634" s="10"/>
      <c r="K1634" s="18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</row>
    <row r="1635" ht="14.25" customHeight="1">
      <c r="A1635" s="9"/>
      <c r="B1635" s="8"/>
      <c r="C1635" s="8"/>
      <c r="D1635" s="8"/>
      <c r="E1635" s="8"/>
      <c r="F1635" s="8"/>
      <c r="G1635" s="8"/>
      <c r="H1635" s="8"/>
      <c r="I1635" s="10"/>
      <c r="J1635" s="10"/>
      <c r="K1635" s="18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</row>
    <row r="1636" ht="14.25" customHeight="1">
      <c r="A1636" s="9"/>
      <c r="B1636" s="8"/>
      <c r="C1636" s="8"/>
      <c r="D1636" s="8"/>
      <c r="E1636" s="8"/>
      <c r="F1636" s="8"/>
      <c r="G1636" s="8"/>
      <c r="H1636" s="8"/>
      <c r="I1636" s="10"/>
      <c r="J1636" s="10"/>
      <c r="K1636" s="18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</row>
    <row r="1637" ht="14.25" customHeight="1">
      <c r="A1637" s="9"/>
      <c r="B1637" s="8"/>
      <c r="C1637" s="8"/>
      <c r="D1637" s="8"/>
      <c r="E1637" s="8"/>
      <c r="F1637" s="8"/>
      <c r="G1637" s="8"/>
      <c r="H1637" s="8"/>
      <c r="I1637" s="10"/>
      <c r="J1637" s="10"/>
      <c r="K1637" s="18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</row>
    <row r="1638" ht="14.25" customHeight="1">
      <c r="A1638" s="9"/>
      <c r="B1638" s="8"/>
      <c r="C1638" s="8"/>
      <c r="D1638" s="8"/>
      <c r="E1638" s="8"/>
      <c r="F1638" s="8"/>
      <c r="G1638" s="8"/>
      <c r="H1638" s="8"/>
      <c r="I1638" s="10"/>
      <c r="J1638" s="10"/>
      <c r="K1638" s="18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</row>
    <row r="1639" ht="14.25" customHeight="1">
      <c r="A1639" s="9"/>
      <c r="B1639" s="8"/>
      <c r="C1639" s="8"/>
      <c r="D1639" s="8"/>
      <c r="E1639" s="8"/>
      <c r="F1639" s="8"/>
      <c r="G1639" s="8"/>
      <c r="H1639" s="8"/>
      <c r="I1639" s="10"/>
      <c r="J1639" s="10"/>
      <c r="K1639" s="18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</row>
    <row r="1640" ht="14.25" customHeight="1">
      <c r="A1640" s="9"/>
      <c r="B1640" s="8"/>
      <c r="C1640" s="8"/>
      <c r="D1640" s="8"/>
      <c r="E1640" s="8"/>
      <c r="F1640" s="8"/>
      <c r="G1640" s="8"/>
      <c r="H1640" s="8"/>
      <c r="I1640" s="10"/>
      <c r="J1640" s="10"/>
      <c r="K1640" s="18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</row>
    <row r="1641" ht="14.25" customHeight="1">
      <c r="A1641" s="9"/>
      <c r="B1641" s="8"/>
      <c r="C1641" s="8"/>
      <c r="D1641" s="8"/>
      <c r="E1641" s="8"/>
      <c r="F1641" s="8"/>
      <c r="G1641" s="8"/>
      <c r="H1641" s="8"/>
      <c r="I1641" s="10"/>
      <c r="J1641" s="10"/>
      <c r="K1641" s="18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</row>
    <row r="1642" ht="14.25" customHeight="1">
      <c r="A1642" s="9"/>
      <c r="B1642" s="8"/>
      <c r="C1642" s="8"/>
      <c r="D1642" s="8"/>
      <c r="E1642" s="8"/>
      <c r="F1642" s="8"/>
      <c r="G1642" s="8"/>
      <c r="H1642" s="8"/>
      <c r="I1642" s="10"/>
      <c r="J1642" s="10"/>
      <c r="K1642" s="18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</row>
    <row r="1643" ht="14.25" customHeight="1">
      <c r="A1643" s="9"/>
      <c r="B1643" s="8"/>
      <c r="C1643" s="8"/>
      <c r="D1643" s="8"/>
      <c r="E1643" s="8"/>
      <c r="F1643" s="8"/>
      <c r="G1643" s="8"/>
      <c r="H1643" s="8"/>
      <c r="I1643" s="10"/>
      <c r="J1643" s="10"/>
      <c r="K1643" s="18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</row>
    <row r="1644" ht="14.25" customHeight="1">
      <c r="A1644" s="9"/>
      <c r="B1644" s="8"/>
      <c r="C1644" s="8"/>
      <c r="D1644" s="8"/>
      <c r="E1644" s="8"/>
      <c r="F1644" s="8"/>
      <c r="G1644" s="8"/>
      <c r="H1644" s="8"/>
      <c r="I1644" s="10"/>
      <c r="J1644" s="10"/>
      <c r="K1644" s="18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</row>
    <row r="1645" ht="14.25" customHeight="1">
      <c r="A1645" s="9"/>
      <c r="B1645" s="8"/>
      <c r="C1645" s="8"/>
      <c r="D1645" s="8"/>
      <c r="E1645" s="8"/>
      <c r="F1645" s="8"/>
      <c r="G1645" s="8"/>
      <c r="H1645" s="8"/>
      <c r="I1645" s="10"/>
      <c r="J1645" s="10"/>
      <c r="K1645" s="18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</row>
    <row r="1646" ht="14.25" customHeight="1">
      <c r="A1646" s="9"/>
      <c r="B1646" s="8"/>
      <c r="C1646" s="8"/>
      <c r="D1646" s="8"/>
      <c r="E1646" s="8"/>
      <c r="F1646" s="8"/>
      <c r="G1646" s="8"/>
      <c r="H1646" s="8"/>
      <c r="I1646" s="10"/>
      <c r="J1646" s="10"/>
      <c r="K1646" s="18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</row>
    <row r="1647" ht="14.25" customHeight="1">
      <c r="A1647" s="9"/>
      <c r="B1647" s="8"/>
      <c r="C1647" s="8"/>
      <c r="D1647" s="8"/>
      <c r="E1647" s="8"/>
      <c r="F1647" s="8"/>
      <c r="G1647" s="8"/>
      <c r="H1647" s="8"/>
      <c r="I1647" s="10"/>
      <c r="J1647" s="10"/>
      <c r="K1647" s="18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</row>
    <row r="1648" ht="14.25" customHeight="1">
      <c r="A1648" s="9"/>
      <c r="B1648" s="8"/>
      <c r="C1648" s="8"/>
      <c r="D1648" s="8"/>
      <c r="E1648" s="8"/>
      <c r="F1648" s="8"/>
      <c r="G1648" s="8"/>
      <c r="H1648" s="8"/>
      <c r="I1648" s="10"/>
      <c r="J1648" s="10"/>
      <c r="K1648" s="18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</row>
    <row r="1649" ht="14.25" customHeight="1">
      <c r="A1649" s="9"/>
      <c r="B1649" s="8"/>
      <c r="C1649" s="8"/>
      <c r="D1649" s="8"/>
      <c r="E1649" s="8"/>
      <c r="F1649" s="8"/>
      <c r="G1649" s="8"/>
      <c r="H1649" s="8"/>
      <c r="I1649" s="10"/>
      <c r="J1649" s="10"/>
      <c r="K1649" s="18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</row>
    <row r="1650" ht="14.25" customHeight="1">
      <c r="A1650" s="9"/>
      <c r="B1650" s="8"/>
      <c r="C1650" s="8"/>
      <c r="D1650" s="8"/>
      <c r="E1650" s="8"/>
      <c r="F1650" s="8"/>
      <c r="G1650" s="8"/>
      <c r="H1650" s="8"/>
      <c r="I1650" s="10"/>
      <c r="J1650" s="10"/>
      <c r="K1650" s="18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</row>
    <row r="1651" ht="14.25" customHeight="1">
      <c r="A1651" s="9"/>
      <c r="B1651" s="8"/>
      <c r="C1651" s="8"/>
      <c r="D1651" s="8"/>
      <c r="E1651" s="8"/>
      <c r="F1651" s="8"/>
      <c r="G1651" s="8"/>
      <c r="H1651" s="8"/>
      <c r="I1651" s="10"/>
      <c r="J1651" s="10"/>
      <c r="K1651" s="18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</row>
    <row r="1652" ht="14.25" customHeight="1">
      <c r="A1652" s="9"/>
      <c r="B1652" s="8"/>
      <c r="C1652" s="8"/>
      <c r="D1652" s="8"/>
      <c r="E1652" s="8"/>
      <c r="F1652" s="8"/>
      <c r="G1652" s="8"/>
      <c r="H1652" s="8"/>
      <c r="I1652" s="10"/>
      <c r="J1652" s="10"/>
      <c r="K1652" s="18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</row>
    <row r="1653" ht="14.25" customHeight="1">
      <c r="A1653" s="9"/>
      <c r="B1653" s="8"/>
      <c r="C1653" s="8"/>
      <c r="D1653" s="8"/>
      <c r="E1653" s="8"/>
      <c r="F1653" s="8"/>
      <c r="G1653" s="8"/>
      <c r="H1653" s="8"/>
      <c r="I1653" s="10"/>
      <c r="J1653" s="10"/>
      <c r="K1653" s="18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</row>
    <row r="1654" ht="14.25" customHeight="1">
      <c r="A1654" s="9"/>
      <c r="B1654" s="8"/>
      <c r="C1654" s="8"/>
      <c r="D1654" s="8"/>
      <c r="E1654" s="8"/>
      <c r="F1654" s="8"/>
      <c r="G1654" s="8"/>
      <c r="H1654" s="8"/>
      <c r="I1654" s="10"/>
      <c r="J1654" s="10"/>
      <c r="K1654" s="18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</row>
    <row r="1655" ht="14.25" customHeight="1">
      <c r="A1655" s="9"/>
      <c r="B1655" s="8"/>
      <c r="C1655" s="8"/>
      <c r="D1655" s="8"/>
      <c r="E1655" s="8"/>
      <c r="F1655" s="8"/>
      <c r="G1655" s="8"/>
      <c r="H1655" s="8"/>
      <c r="I1655" s="10"/>
      <c r="J1655" s="10"/>
      <c r="K1655" s="18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</row>
    <row r="1656" ht="14.25" customHeight="1">
      <c r="A1656" s="9"/>
      <c r="B1656" s="8"/>
      <c r="C1656" s="8"/>
      <c r="D1656" s="8"/>
      <c r="E1656" s="8"/>
      <c r="F1656" s="8"/>
      <c r="G1656" s="8"/>
      <c r="H1656" s="8"/>
      <c r="I1656" s="10"/>
      <c r="J1656" s="10"/>
      <c r="K1656" s="18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</row>
    <row r="1657" ht="14.25" customHeight="1">
      <c r="A1657" s="9"/>
      <c r="B1657" s="8"/>
      <c r="C1657" s="8"/>
      <c r="D1657" s="8"/>
      <c r="E1657" s="8"/>
      <c r="F1657" s="8"/>
      <c r="G1657" s="8"/>
      <c r="H1657" s="8"/>
      <c r="I1657" s="10"/>
      <c r="J1657" s="10"/>
      <c r="K1657" s="18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</row>
    <row r="1658" ht="14.25" customHeight="1">
      <c r="A1658" s="9"/>
      <c r="B1658" s="8"/>
      <c r="C1658" s="8"/>
      <c r="D1658" s="8"/>
      <c r="E1658" s="8"/>
      <c r="F1658" s="8"/>
      <c r="G1658" s="8"/>
      <c r="H1658" s="8"/>
      <c r="I1658" s="10"/>
      <c r="J1658" s="10"/>
      <c r="K1658" s="18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</row>
    <row r="1659" ht="14.25" customHeight="1">
      <c r="A1659" s="9"/>
      <c r="B1659" s="8"/>
      <c r="C1659" s="8"/>
      <c r="D1659" s="8"/>
      <c r="E1659" s="8"/>
      <c r="F1659" s="8"/>
      <c r="G1659" s="8"/>
      <c r="H1659" s="8"/>
      <c r="I1659" s="10"/>
      <c r="J1659" s="10"/>
      <c r="K1659" s="18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</row>
    <row r="1660" ht="14.25" customHeight="1">
      <c r="A1660" s="9"/>
      <c r="B1660" s="8"/>
      <c r="C1660" s="8"/>
      <c r="D1660" s="8"/>
      <c r="E1660" s="8"/>
      <c r="F1660" s="8"/>
      <c r="G1660" s="8"/>
      <c r="H1660" s="8"/>
      <c r="I1660" s="10"/>
      <c r="J1660" s="10"/>
      <c r="K1660" s="18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</row>
    <row r="1661" ht="14.25" customHeight="1">
      <c r="A1661" s="9"/>
      <c r="B1661" s="8"/>
      <c r="C1661" s="8"/>
      <c r="D1661" s="8"/>
      <c r="E1661" s="8"/>
      <c r="F1661" s="8"/>
      <c r="G1661" s="8"/>
      <c r="H1661" s="8"/>
      <c r="I1661" s="10"/>
      <c r="J1661" s="10"/>
      <c r="K1661" s="18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</row>
    <row r="1662" ht="14.25" customHeight="1">
      <c r="A1662" s="9"/>
      <c r="B1662" s="8"/>
      <c r="C1662" s="8"/>
      <c r="D1662" s="8"/>
      <c r="E1662" s="8"/>
      <c r="F1662" s="8"/>
      <c r="G1662" s="8"/>
      <c r="H1662" s="8"/>
      <c r="I1662" s="10"/>
      <c r="J1662" s="10"/>
      <c r="K1662" s="18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</row>
    <row r="1663" ht="14.25" customHeight="1">
      <c r="A1663" s="9"/>
      <c r="B1663" s="8"/>
      <c r="C1663" s="8"/>
      <c r="D1663" s="8"/>
      <c r="E1663" s="8"/>
      <c r="F1663" s="8"/>
      <c r="G1663" s="8"/>
      <c r="H1663" s="8"/>
      <c r="I1663" s="10"/>
      <c r="J1663" s="10"/>
      <c r="K1663" s="18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</row>
    <row r="1664" ht="14.25" customHeight="1">
      <c r="A1664" s="9"/>
      <c r="B1664" s="8"/>
      <c r="C1664" s="8"/>
      <c r="D1664" s="8"/>
      <c r="E1664" s="8"/>
      <c r="F1664" s="8"/>
      <c r="G1664" s="8"/>
      <c r="H1664" s="8"/>
      <c r="I1664" s="10"/>
      <c r="J1664" s="10"/>
      <c r="K1664" s="18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</row>
    <row r="1665" ht="14.25" customHeight="1">
      <c r="A1665" s="9"/>
      <c r="B1665" s="8"/>
      <c r="C1665" s="8"/>
      <c r="D1665" s="8"/>
      <c r="E1665" s="8"/>
      <c r="F1665" s="8"/>
      <c r="G1665" s="8"/>
      <c r="H1665" s="8"/>
      <c r="I1665" s="10"/>
      <c r="J1665" s="10"/>
      <c r="K1665" s="18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</row>
    <row r="1666" ht="14.25" customHeight="1">
      <c r="A1666" s="9"/>
      <c r="B1666" s="8"/>
      <c r="C1666" s="8"/>
      <c r="D1666" s="8"/>
      <c r="E1666" s="8"/>
      <c r="F1666" s="8"/>
      <c r="G1666" s="8"/>
      <c r="H1666" s="8"/>
      <c r="I1666" s="10"/>
      <c r="J1666" s="10"/>
      <c r="K1666" s="18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</row>
    <row r="1667" ht="14.25" customHeight="1">
      <c r="A1667" s="9"/>
      <c r="B1667" s="8"/>
      <c r="C1667" s="8"/>
      <c r="D1667" s="8"/>
      <c r="E1667" s="8"/>
      <c r="F1667" s="8"/>
      <c r="G1667" s="8"/>
      <c r="H1667" s="8"/>
      <c r="I1667" s="10"/>
      <c r="J1667" s="10"/>
      <c r="K1667" s="18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</row>
    <row r="1668" ht="14.25" customHeight="1">
      <c r="A1668" s="9"/>
      <c r="B1668" s="8"/>
      <c r="C1668" s="8"/>
      <c r="D1668" s="8"/>
      <c r="E1668" s="8"/>
      <c r="F1668" s="8"/>
      <c r="G1668" s="8"/>
      <c r="H1668" s="8"/>
      <c r="I1668" s="10"/>
      <c r="J1668" s="10"/>
      <c r="K1668" s="18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</row>
    <row r="1669" ht="14.25" customHeight="1">
      <c r="A1669" s="9"/>
      <c r="B1669" s="8"/>
      <c r="C1669" s="8"/>
      <c r="D1669" s="8"/>
      <c r="E1669" s="8"/>
      <c r="F1669" s="8"/>
      <c r="G1669" s="8"/>
      <c r="H1669" s="8"/>
      <c r="I1669" s="10"/>
      <c r="J1669" s="10"/>
      <c r="K1669" s="18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</row>
    <row r="1670" ht="14.25" customHeight="1">
      <c r="A1670" s="9"/>
      <c r="B1670" s="8"/>
      <c r="C1670" s="8"/>
      <c r="D1670" s="8"/>
      <c r="E1670" s="8"/>
      <c r="F1670" s="8"/>
      <c r="G1670" s="8"/>
      <c r="H1670" s="8"/>
      <c r="I1670" s="10"/>
      <c r="J1670" s="10"/>
      <c r="K1670" s="18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</row>
    <row r="1671" ht="14.25" customHeight="1">
      <c r="A1671" s="9"/>
      <c r="B1671" s="8"/>
      <c r="C1671" s="8"/>
      <c r="D1671" s="8"/>
      <c r="E1671" s="8"/>
      <c r="F1671" s="8"/>
      <c r="G1671" s="8"/>
      <c r="H1671" s="8"/>
      <c r="I1671" s="10"/>
      <c r="J1671" s="10"/>
      <c r="K1671" s="18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</row>
    <row r="1672" ht="14.25" customHeight="1">
      <c r="A1672" s="9"/>
      <c r="B1672" s="8"/>
      <c r="C1672" s="8"/>
      <c r="D1672" s="8"/>
      <c r="E1672" s="8"/>
      <c r="F1672" s="8"/>
      <c r="G1672" s="8"/>
      <c r="H1672" s="8"/>
      <c r="I1672" s="10"/>
      <c r="J1672" s="10"/>
      <c r="K1672" s="18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</row>
    <row r="1673" ht="14.25" customHeight="1">
      <c r="A1673" s="9"/>
      <c r="B1673" s="8"/>
      <c r="C1673" s="8"/>
      <c r="D1673" s="8"/>
      <c r="E1673" s="8"/>
      <c r="F1673" s="8"/>
      <c r="G1673" s="8"/>
      <c r="H1673" s="8"/>
      <c r="I1673" s="10"/>
      <c r="J1673" s="10"/>
      <c r="K1673" s="18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</row>
    <row r="1674" ht="14.25" customHeight="1">
      <c r="A1674" s="9"/>
      <c r="B1674" s="8"/>
      <c r="C1674" s="8"/>
      <c r="D1674" s="8"/>
      <c r="E1674" s="8"/>
      <c r="F1674" s="8"/>
      <c r="G1674" s="8"/>
      <c r="H1674" s="8"/>
      <c r="I1674" s="10"/>
      <c r="J1674" s="10"/>
      <c r="K1674" s="18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</row>
    <row r="1675" ht="14.25" customHeight="1">
      <c r="A1675" s="9"/>
      <c r="B1675" s="8"/>
      <c r="C1675" s="8"/>
      <c r="D1675" s="8"/>
      <c r="E1675" s="8"/>
      <c r="F1675" s="8"/>
      <c r="G1675" s="8"/>
      <c r="H1675" s="8"/>
      <c r="I1675" s="10"/>
      <c r="J1675" s="10"/>
      <c r="K1675" s="18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</row>
    <row r="1676" ht="14.25" customHeight="1">
      <c r="A1676" s="9"/>
      <c r="B1676" s="8"/>
      <c r="C1676" s="8"/>
      <c r="D1676" s="8"/>
      <c r="E1676" s="8"/>
      <c r="F1676" s="8"/>
      <c r="G1676" s="8"/>
      <c r="H1676" s="8"/>
      <c r="I1676" s="10"/>
      <c r="J1676" s="10"/>
      <c r="K1676" s="18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</row>
    <row r="1677" ht="14.25" customHeight="1">
      <c r="A1677" s="9"/>
      <c r="B1677" s="8"/>
      <c r="C1677" s="8"/>
      <c r="D1677" s="8"/>
      <c r="E1677" s="8"/>
      <c r="F1677" s="8"/>
      <c r="G1677" s="8"/>
      <c r="H1677" s="8"/>
      <c r="I1677" s="10"/>
      <c r="J1677" s="10"/>
      <c r="K1677" s="18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</row>
    <row r="1678" ht="14.25" customHeight="1">
      <c r="A1678" s="9"/>
      <c r="B1678" s="8"/>
      <c r="C1678" s="8"/>
      <c r="D1678" s="8"/>
      <c r="E1678" s="8"/>
      <c r="F1678" s="8"/>
      <c r="G1678" s="8"/>
      <c r="H1678" s="8"/>
      <c r="I1678" s="10"/>
      <c r="J1678" s="10"/>
      <c r="K1678" s="18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</row>
    <row r="1679" ht="14.25" customHeight="1">
      <c r="A1679" s="9"/>
      <c r="B1679" s="8"/>
      <c r="C1679" s="8"/>
      <c r="D1679" s="8"/>
      <c r="E1679" s="8"/>
      <c r="F1679" s="8"/>
      <c r="G1679" s="8"/>
      <c r="H1679" s="8"/>
      <c r="I1679" s="10"/>
      <c r="J1679" s="10"/>
      <c r="K1679" s="18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</row>
    <row r="1680" ht="14.25" customHeight="1">
      <c r="A1680" s="9"/>
      <c r="B1680" s="8"/>
      <c r="C1680" s="8"/>
      <c r="D1680" s="8"/>
      <c r="E1680" s="8"/>
      <c r="F1680" s="8"/>
      <c r="G1680" s="8"/>
      <c r="H1680" s="8"/>
      <c r="I1680" s="10"/>
      <c r="J1680" s="10"/>
      <c r="K1680" s="18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</row>
    <row r="1681" ht="14.25" customHeight="1">
      <c r="A1681" s="9"/>
      <c r="B1681" s="8"/>
      <c r="C1681" s="8"/>
      <c r="D1681" s="8"/>
      <c r="E1681" s="8"/>
      <c r="F1681" s="8"/>
      <c r="G1681" s="8"/>
      <c r="H1681" s="8"/>
      <c r="I1681" s="10"/>
      <c r="J1681" s="10"/>
      <c r="K1681" s="18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</row>
    <row r="1682" ht="14.25" customHeight="1">
      <c r="A1682" s="9"/>
      <c r="B1682" s="8"/>
      <c r="C1682" s="8"/>
      <c r="D1682" s="8"/>
      <c r="E1682" s="8"/>
      <c r="F1682" s="8"/>
      <c r="G1682" s="8"/>
      <c r="H1682" s="8"/>
      <c r="I1682" s="10"/>
      <c r="J1682" s="10"/>
      <c r="K1682" s="18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</row>
    <row r="1683" ht="14.25" customHeight="1">
      <c r="A1683" s="9"/>
      <c r="B1683" s="8"/>
      <c r="C1683" s="8"/>
      <c r="D1683" s="8"/>
      <c r="E1683" s="8"/>
      <c r="F1683" s="8"/>
      <c r="G1683" s="8"/>
      <c r="H1683" s="8"/>
      <c r="I1683" s="10"/>
      <c r="J1683" s="10"/>
      <c r="K1683" s="18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</row>
    <row r="1684" ht="14.25" customHeight="1">
      <c r="A1684" s="9"/>
      <c r="B1684" s="8"/>
      <c r="C1684" s="8"/>
      <c r="D1684" s="8"/>
      <c r="E1684" s="8"/>
      <c r="F1684" s="8"/>
      <c r="G1684" s="8"/>
      <c r="H1684" s="8"/>
      <c r="I1684" s="10"/>
      <c r="J1684" s="10"/>
      <c r="K1684" s="18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</row>
    <row r="1685" ht="14.25" customHeight="1">
      <c r="A1685" s="9"/>
      <c r="B1685" s="8"/>
      <c r="C1685" s="8"/>
      <c r="D1685" s="8"/>
      <c r="E1685" s="8"/>
      <c r="F1685" s="8"/>
      <c r="G1685" s="8"/>
      <c r="H1685" s="8"/>
      <c r="I1685" s="10"/>
      <c r="J1685" s="10"/>
      <c r="K1685" s="18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</row>
    <row r="1686" ht="14.25" customHeight="1">
      <c r="A1686" s="9"/>
      <c r="B1686" s="8"/>
      <c r="C1686" s="8"/>
      <c r="D1686" s="8"/>
      <c r="E1686" s="8"/>
      <c r="F1686" s="8"/>
      <c r="G1686" s="8"/>
      <c r="H1686" s="8"/>
      <c r="I1686" s="10"/>
      <c r="J1686" s="10"/>
      <c r="K1686" s="18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</row>
    <row r="1687" ht="14.25" customHeight="1">
      <c r="A1687" s="9"/>
      <c r="B1687" s="8"/>
      <c r="C1687" s="8"/>
      <c r="D1687" s="8"/>
      <c r="E1687" s="8"/>
      <c r="F1687" s="8"/>
      <c r="G1687" s="8"/>
      <c r="H1687" s="8"/>
      <c r="I1687" s="10"/>
      <c r="J1687" s="10"/>
      <c r="K1687" s="18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</row>
    <row r="1688" ht="14.25" customHeight="1">
      <c r="A1688" s="9"/>
      <c r="B1688" s="8"/>
      <c r="C1688" s="8"/>
      <c r="D1688" s="8"/>
      <c r="E1688" s="8"/>
      <c r="F1688" s="8"/>
      <c r="G1688" s="8"/>
      <c r="H1688" s="8"/>
      <c r="I1688" s="10"/>
      <c r="J1688" s="10"/>
      <c r="K1688" s="18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</row>
    <row r="1689" ht="14.25" customHeight="1">
      <c r="A1689" s="9"/>
      <c r="B1689" s="8"/>
      <c r="C1689" s="8"/>
      <c r="D1689" s="8"/>
      <c r="E1689" s="8"/>
      <c r="F1689" s="8"/>
      <c r="G1689" s="8"/>
      <c r="H1689" s="8"/>
      <c r="I1689" s="10"/>
      <c r="J1689" s="10"/>
      <c r="K1689" s="18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</row>
    <row r="1690" ht="14.25" customHeight="1">
      <c r="A1690" s="9"/>
      <c r="B1690" s="8"/>
      <c r="C1690" s="8"/>
      <c r="D1690" s="8"/>
      <c r="E1690" s="8"/>
      <c r="F1690" s="8"/>
      <c r="G1690" s="8"/>
      <c r="H1690" s="8"/>
      <c r="I1690" s="10"/>
      <c r="J1690" s="10"/>
      <c r="K1690" s="18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</row>
    <row r="1691" ht="14.25" customHeight="1">
      <c r="A1691" s="9"/>
      <c r="B1691" s="8"/>
      <c r="C1691" s="8"/>
      <c r="D1691" s="8"/>
      <c r="E1691" s="8"/>
      <c r="F1691" s="8"/>
      <c r="G1691" s="8"/>
      <c r="H1691" s="8"/>
      <c r="I1691" s="10"/>
      <c r="J1691" s="10"/>
      <c r="K1691" s="18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</row>
    <row r="1692" ht="14.25" customHeight="1">
      <c r="A1692" s="9"/>
      <c r="B1692" s="8"/>
      <c r="C1692" s="8"/>
      <c r="D1692" s="8"/>
      <c r="E1692" s="8"/>
      <c r="F1692" s="8"/>
      <c r="G1692" s="8"/>
      <c r="H1692" s="8"/>
      <c r="I1692" s="10"/>
      <c r="J1692" s="10"/>
      <c r="K1692" s="18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</row>
    <row r="1693" ht="14.25" customHeight="1">
      <c r="A1693" s="9"/>
      <c r="B1693" s="8"/>
      <c r="C1693" s="8"/>
      <c r="D1693" s="8"/>
      <c r="E1693" s="8"/>
      <c r="F1693" s="8"/>
      <c r="G1693" s="8"/>
      <c r="H1693" s="8"/>
      <c r="I1693" s="10"/>
      <c r="J1693" s="10"/>
      <c r="K1693" s="18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</row>
    <row r="1694" ht="14.25" customHeight="1">
      <c r="A1694" s="9"/>
      <c r="B1694" s="8"/>
      <c r="C1694" s="8"/>
      <c r="D1694" s="8"/>
      <c r="E1694" s="8"/>
      <c r="F1694" s="8"/>
      <c r="G1694" s="8"/>
      <c r="H1694" s="8"/>
      <c r="I1694" s="10"/>
      <c r="J1694" s="10"/>
      <c r="K1694" s="18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</row>
    <row r="1695" ht="14.25" customHeight="1">
      <c r="A1695" s="9"/>
      <c r="B1695" s="8"/>
      <c r="C1695" s="8"/>
      <c r="D1695" s="8"/>
      <c r="E1695" s="8"/>
      <c r="F1695" s="8"/>
      <c r="G1695" s="8"/>
      <c r="H1695" s="8"/>
      <c r="I1695" s="10"/>
      <c r="J1695" s="10"/>
      <c r="K1695" s="18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</row>
    <row r="1696" ht="14.25" customHeight="1">
      <c r="A1696" s="9"/>
      <c r="B1696" s="8"/>
      <c r="C1696" s="8"/>
      <c r="D1696" s="8"/>
      <c r="E1696" s="8"/>
      <c r="F1696" s="8"/>
      <c r="G1696" s="8"/>
      <c r="H1696" s="8"/>
      <c r="I1696" s="10"/>
      <c r="J1696" s="10"/>
      <c r="K1696" s="18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</row>
    <row r="1697" ht="14.25" customHeight="1">
      <c r="A1697" s="9"/>
      <c r="B1697" s="8"/>
      <c r="C1697" s="8"/>
      <c r="D1697" s="8"/>
      <c r="E1697" s="8"/>
      <c r="F1697" s="8"/>
      <c r="G1697" s="8"/>
      <c r="H1697" s="8"/>
      <c r="I1697" s="10"/>
      <c r="J1697" s="10"/>
      <c r="K1697" s="18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</row>
    <row r="1698" ht="14.25" customHeight="1">
      <c r="A1698" s="9"/>
      <c r="B1698" s="8"/>
      <c r="C1698" s="8"/>
      <c r="D1698" s="8"/>
      <c r="E1698" s="8"/>
      <c r="F1698" s="8"/>
      <c r="G1698" s="8"/>
      <c r="H1698" s="8"/>
      <c r="I1698" s="10"/>
      <c r="J1698" s="10"/>
      <c r="K1698" s="18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</row>
    <row r="1699" ht="14.25" customHeight="1">
      <c r="A1699" s="9"/>
      <c r="B1699" s="8"/>
      <c r="C1699" s="8"/>
      <c r="D1699" s="8"/>
      <c r="E1699" s="8"/>
      <c r="F1699" s="8"/>
      <c r="G1699" s="8"/>
      <c r="H1699" s="8"/>
      <c r="I1699" s="10"/>
      <c r="J1699" s="10"/>
      <c r="K1699" s="18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</row>
    <row r="1700" ht="14.25" customHeight="1">
      <c r="A1700" s="9"/>
      <c r="B1700" s="8"/>
      <c r="C1700" s="8"/>
      <c r="D1700" s="8"/>
      <c r="E1700" s="8"/>
      <c r="F1700" s="8"/>
      <c r="G1700" s="8"/>
      <c r="H1700" s="8"/>
      <c r="I1700" s="10"/>
      <c r="J1700" s="10"/>
      <c r="K1700" s="18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</row>
    <row r="1701" ht="14.25" customHeight="1">
      <c r="A1701" s="9"/>
      <c r="B1701" s="8"/>
      <c r="C1701" s="8"/>
      <c r="D1701" s="8"/>
      <c r="E1701" s="8"/>
      <c r="F1701" s="8"/>
      <c r="G1701" s="8"/>
      <c r="H1701" s="8"/>
      <c r="I1701" s="10"/>
      <c r="J1701" s="10"/>
      <c r="K1701" s="18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</row>
    <row r="1702" ht="14.25" customHeight="1">
      <c r="A1702" s="9"/>
      <c r="B1702" s="8"/>
      <c r="C1702" s="8"/>
      <c r="D1702" s="8"/>
      <c r="E1702" s="8"/>
      <c r="F1702" s="8"/>
      <c r="G1702" s="8"/>
      <c r="H1702" s="8"/>
      <c r="I1702" s="10"/>
      <c r="J1702" s="10"/>
      <c r="K1702" s="18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</row>
    <row r="1703" ht="14.25" customHeight="1">
      <c r="A1703" s="9"/>
      <c r="B1703" s="8"/>
      <c r="C1703" s="8"/>
      <c r="D1703" s="8"/>
      <c r="E1703" s="8"/>
      <c r="F1703" s="8"/>
      <c r="G1703" s="8"/>
      <c r="H1703" s="8"/>
      <c r="I1703" s="10"/>
      <c r="J1703" s="10"/>
      <c r="K1703" s="18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</row>
    <row r="1704" ht="14.25" customHeight="1">
      <c r="A1704" s="9"/>
      <c r="B1704" s="8"/>
      <c r="C1704" s="8"/>
      <c r="D1704" s="8"/>
      <c r="E1704" s="8"/>
      <c r="F1704" s="8"/>
      <c r="G1704" s="8"/>
      <c r="H1704" s="8"/>
      <c r="I1704" s="10"/>
      <c r="J1704" s="10"/>
      <c r="K1704" s="18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</row>
    <row r="1705" ht="14.25" customHeight="1">
      <c r="A1705" s="9"/>
      <c r="B1705" s="8"/>
      <c r="C1705" s="8"/>
      <c r="D1705" s="8"/>
      <c r="E1705" s="8"/>
      <c r="F1705" s="8"/>
      <c r="G1705" s="8"/>
      <c r="H1705" s="8"/>
      <c r="I1705" s="10"/>
      <c r="J1705" s="10"/>
      <c r="K1705" s="18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</row>
    <row r="1706" ht="14.25" customHeight="1">
      <c r="A1706" s="9"/>
      <c r="B1706" s="8"/>
      <c r="C1706" s="8"/>
      <c r="D1706" s="8"/>
      <c r="E1706" s="8"/>
      <c r="F1706" s="8"/>
      <c r="G1706" s="8"/>
      <c r="H1706" s="8"/>
      <c r="I1706" s="10"/>
      <c r="J1706" s="10"/>
      <c r="K1706" s="18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</row>
    <row r="1707" ht="14.25" customHeight="1">
      <c r="A1707" s="9"/>
      <c r="B1707" s="8"/>
      <c r="C1707" s="8"/>
      <c r="D1707" s="8"/>
      <c r="E1707" s="8"/>
      <c r="F1707" s="8"/>
      <c r="G1707" s="8"/>
      <c r="H1707" s="8"/>
      <c r="I1707" s="10"/>
      <c r="J1707" s="10"/>
      <c r="K1707" s="18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</row>
    <row r="1708" ht="14.25" customHeight="1">
      <c r="A1708" s="9"/>
      <c r="B1708" s="8"/>
      <c r="C1708" s="8"/>
      <c r="D1708" s="8"/>
      <c r="E1708" s="8"/>
      <c r="F1708" s="8"/>
      <c r="G1708" s="8"/>
      <c r="H1708" s="8"/>
      <c r="I1708" s="10"/>
      <c r="J1708" s="10"/>
      <c r="K1708" s="18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</row>
    <row r="1709" ht="14.25" customHeight="1">
      <c r="A1709" s="9"/>
      <c r="B1709" s="8"/>
      <c r="C1709" s="8"/>
      <c r="D1709" s="8"/>
      <c r="E1709" s="8"/>
      <c r="F1709" s="8"/>
      <c r="G1709" s="8"/>
      <c r="H1709" s="8"/>
      <c r="I1709" s="10"/>
      <c r="J1709" s="10"/>
      <c r="K1709" s="18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</row>
    <row r="1710" ht="14.25" customHeight="1">
      <c r="A1710" s="9"/>
      <c r="B1710" s="8"/>
      <c r="C1710" s="8"/>
      <c r="D1710" s="8"/>
      <c r="E1710" s="8"/>
      <c r="F1710" s="8"/>
      <c r="G1710" s="8"/>
      <c r="H1710" s="8"/>
      <c r="I1710" s="10"/>
      <c r="J1710" s="10"/>
      <c r="K1710" s="18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</row>
    <row r="1711" ht="14.25" customHeight="1">
      <c r="A1711" s="9"/>
      <c r="B1711" s="8"/>
      <c r="C1711" s="8"/>
      <c r="D1711" s="8"/>
      <c r="E1711" s="8"/>
      <c r="F1711" s="8"/>
      <c r="G1711" s="8"/>
      <c r="H1711" s="8"/>
      <c r="I1711" s="10"/>
      <c r="J1711" s="10"/>
      <c r="K1711" s="18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</row>
    <row r="1712" ht="14.25" customHeight="1">
      <c r="A1712" s="9"/>
      <c r="B1712" s="8"/>
      <c r="C1712" s="8"/>
      <c r="D1712" s="8"/>
      <c r="E1712" s="8"/>
      <c r="F1712" s="8"/>
      <c r="G1712" s="8"/>
      <c r="H1712" s="8"/>
      <c r="I1712" s="10"/>
      <c r="J1712" s="10"/>
      <c r="K1712" s="18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</row>
    <row r="1713" ht="14.25" customHeight="1">
      <c r="A1713" s="9"/>
      <c r="B1713" s="8"/>
      <c r="C1713" s="8"/>
      <c r="D1713" s="8"/>
      <c r="E1713" s="8"/>
      <c r="F1713" s="8"/>
      <c r="G1713" s="8"/>
      <c r="H1713" s="8"/>
      <c r="I1713" s="10"/>
      <c r="J1713" s="10"/>
      <c r="K1713" s="18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</row>
    <row r="1714" ht="14.25" customHeight="1">
      <c r="A1714" s="9"/>
      <c r="B1714" s="8"/>
      <c r="C1714" s="8"/>
      <c r="D1714" s="8"/>
      <c r="E1714" s="8"/>
      <c r="F1714" s="8"/>
      <c r="G1714" s="8"/>
      <c r="H1714" s="8"/>
      <c r="I1714" s="10"/>
      <c r="J1714" s="10"/>
      <c r="K1714" s="18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</row>
    <row r="1715" ht="14.25" customHeight="1">
      <c r="A1715" s="9"/>
      <c r="B1715" s="8"/>
      <c r="C1715" s="8"/>
      <c r="D1715" s="8"/>
      <c r="E1715" s="8"/>
      <c r="F1715" s="8"/>
      <c r="G1715" s="8"/>
      <c r="H1715" s="8"/>
      <c r="I1715" s="10"/>
      <c r="J1715" s="10"/>
      <c r="K1715" s="18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</row>
    <row r="1716" ht="14.25" customHeight="1">
      <c r="A1716" s="9"/>
      <c r="B1716" s="8"/>
      <c r="C1716" s="8"/>
      <c r="D1716" s="8"/>
      <c r="E1716" s="8"/>
      <c r="F1716" s="8"/>
      <c r="G1716" s="8"/>
      <c r="H1716" s="8"/>
      <c r="I1716" s="10"/>
      <c r="J1716" s="10"/>
      <c r="K1716" s="18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</row>
    <row r="1717" ht="14.25" customHeight="1">
      <c r="A1717" s="9"/>
      <c r="B1717" s="8"/>
      <c r="C1717" s="8"/>
      <c r="D1717" s="8"/>
      <c r="E1717" s="8"/>
      <c r="F1717" s="8"/>
      <c r="G1717" s="8"/>
      <c r="H1717" s="8"/>
      <c r="I1717" s="10"/>
      <c r="J1717" s="10"/>
      <c r="K1717" s="18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</row>
    <row r="1718" ht="14.25" customHeight="1">
      <c r="A1718" s="9"/>
      <c r="B1718" s="8"/>
      <c r="C1718" s="8"/>
      <c r="D1718" s="8"/>
      <c r="E1718" s="8"/>
      <c r="F1718" s="8"/>
      <c r="G1718" s="8"/>
      <c r="H1718" s="8"/>
      <c r="I1718" s="10"/>
      <c r="J1718" s="10"/>
      <c r="K1718" s="18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</row>
    <row r="1719" ht="14.25" customHeight="1">
      <c r="A1719" s="9"/>
      <c r="B1719" s="8"/>
      <c r="C1719" s="8"/>
      <c r="D1719" s="8"/>
      <c r="E1719" s="8"/>
      <c r="F1719" s="8"/>
      <c r="G1719" s="8"/>
      <c r="H1719" s="8"/>
      <c r="I1719" s="10"/>
      <c r="J1719" s="10"/>
      <c r="K1719" s="18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</row>
    <row r="1720" ht="14.25" customHeight="1">
      <c r="A1720" s="9"/>
      <c r="B1720" s="8"/>
      <c r="C1720" s="8"/>
      <c r="D1720" s="8"/>
      <c r="E1720" s="8"/>
      <c r="F1720" s="8"/>
      <c r="G1720" s="8"/>
      <c r="H1720" s="8"/>
      <c r="I1720" s="10"/>
      <c r="J1720" s="10"/>
      <c r="K1720" s="18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</row>
    <row r="1721" ht="14.25" customHeight="1">
      <c r="A1721" s="9"/>
      <c r="B1721" s="8"/>
      <c r="C1721" s="8"/>
      <c r="D1721" s="8"/>
      <c r="E1721" s="8"/>
      <c r="F1721" s="8"/>
      <c r="G1721" s="8"/>
      <c r="H1721" s="8"/>
      <c r="I1721" s="10"/>
      <c r="J1721" s="10"/>
      <c r="K1721" s="18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</row>
    <row r="1722" ht="14.25" customHeight="1">
      <c r="A1722" s="9"/>
      <c r="B1722" s="8"/>
      <c r="C1722" s="8"/>
      <c r="D1722" s="8"/>
      <c r="E1722" s="8"/>
      <c r="F1722" s="8"/>
      <c r="G1722" s="8"/>
      <c r="H1722" s="8"/>
      <c r="I1722" s="10"/>
      <c r="J1722" s="10"/>
      <c r="K1722" s="18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</row>
    <row r="1723" ht="14.25" customHeight="1">
      <c r="A1723" s="9"/>
      <c r="B1723" s="8"/>
      <c r="C1723" s="8"/>
      <c r="D1723" s="8"/>
      <c r="E1723" s="8"/>
      <c r="F1723" s="8"/>
      <c r="G1723" s="8"/>
      <c r="H1723" s="8"/>
      <c r="I1723" s="10"/>
      <c r="J1723" s="10"/>
      <c r="K1723" s="18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</row>
    <row r="1724" ht="14.25" customHeight="1">
      <c r="A1724" s="9"/>
      <c r="B1724" s="8"/>
      <c r="C1724" s="8"/>
      <c r="D1724" s="8"/>
      <c r="E1724" s="8"/>
      <c r="F1724" s="8"/>
      <c r="G1724" s="8"/>
      <c r="H1724" s="8"/>
      <c r="I1724" s="10"/>
      <c r="J1724" s="10"/>
      <c r="K1724" s="18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</row>
    <row r="1725" ht="14.25" customHeight="1">
      <c r="A1725" s="9"/>
      <c r="B1725" s="8"/>
      <c r="C1725" s="8"/>
      <c r="D1725" s="8"/>
      <c r="E1725" s="8"/>
      <c r="F1725" s="8"/>
      <c r="G1725" s="8"/>
      <c r="H1725" s="8"/>
      <c r="I1725" s="10"/>
      <c r="J1725" s="10"/>
      <c r="K1725" s="18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</row>
    <row r="1726" ht="14.25" customHeight="1">
      <c r="A1726" s="9"/>
      <c r="B1726" s="8"/>
      <c r="C1726" s="8"/>
      <c r="D1726" s="8"/>
      <c r="E1726" s="8"/>
      <c r="F1726" s="8"/>
      <c r="G1726" s="8"/>
      <c r="H1726" s="8"/>
      <c r="I1726" s="10"/>
      <c r="J1726" s="10"/>
      <c r="K1726" s="18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</row>
    <row r="1727" ht="14.25" customHeight="1">
      <c r="A1727" s="9"/>
      <c r="B1727" s="8"/>
      <c r="C1727" s="8"/>
      <c r="D1727" s="8"/>
      <c r="E1727" s="8"/>
      <c r="F1727" s="8"/>
      <c r="G1727" s="8"/>
      <c r="H1727" s="8"/>
      <c r="I1727" s="10"/>
      <c r="J1727" s="10"/>
      <c r="K1727" s="18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</row>
    <row r="1728" ht="14.25" customHeight="1">
      <c r="A1728" s="9"/>
      <c r="B1728" s="8"/>
      <c r="C1728" s="8"/>
      <c r="D1728" s="8"/>
      <c r="E1728" s="8"/>
      <c r="F1728" s="8"/>
      <c r="G1728" s="8"/>
      <c r="H1728" s="8"/>
      <c r="I1728" s="10"/>
      <c r="J1728" s="10"/>
      <c r="K1728" s="18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</row>
    <row r="1729" ht="14.25" customHeight="1">
      <c r="A1729" s="9"/>
      <c r="B1729" s="8"/>
      <c r="C1729" s="8"/>
      <c r="D1729" s="8"/>
      <c r="E1729" s="8"/>
      <c r="F1729" s="8"/>
      <c r="G1729" s="8"/>
      <c r="H1729" s="8"/>
      <c r="I1729" s="10"/>
      <c r="J1729" s="10"/>
      <c r="K1729" s="18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</row>
    <row r="1730" ht="14.25" customHeight="1">
      <c r="A1730" s="9"/>
      <c r="B1730" s="8"/>
      <c r="C1730" s="8"/>
      <c r="D1730" s="8"/>
      <c r="E1730" s="8"/>
      <c r="F1730" s="8"/>
      <c r="G1730" s="8"/>
      <c r="H1730" s="8"/>
      <c r="I1730" s="10"/>
      <c r="J1730" s="10"/>
      <c r="K1730" s="18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</row>
    <row r="1731" ht="14.25" customHeight="1">
      <c r="A1731" s="9"/>
      <c r="B1731" s="8"/>
      <c r="C1731" s="8"/>
      <c r="D1731" s="8"/>
      <c r="E1731" s="8"/>
      <c r="F1731" s="8"/>
      <c r="G1731" s="8"/>
      <c r="H1731" s="8"/>
      <c r="I1731" s="10"/>
      <c r="J1731" s="10"/>
      <c r="K1731" s="18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</row>
    <row r="1732" ht="14.25" customHeight="1">
      <c r="A1732" s="9"/>
      <c r="B1732" s="8"/>
      <c r="C1732" s="8"/>
      <c r="D1732" s="8"/>
      <c r="E1732" s="8"/>
      <c r="F1732" s="8"/>
      <c r="G1732" s="8"/>
      <c r="H1732" s="8"/>
      <c r="I1732" s="10"/>
      <c r="J1732" s="10"/>
      <c r="K1732" s="18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</row>
    <row r="1733" ht="14.25" customHeight="1">
      <c r="A1733" s="9"/>
      <c r="B1733" s="8"/>
      <c r="C1733" s="8"/>
      <c r="D1733" s="8"/>
      <c r="E1733" s="8"/>
      <c r="F1733" s="8"/>
      <c r="G1733" s="8"/>
      <c r="H1733" s="8"/>
      <c r="I1733" s="10"/>
      <c r="J1733" s="10"/>
      <c r="K1733" s="18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</row>
    <row r="1734" ht="14.25" customHeight="1">
      <c r="A1734" s="9"/>
      <c r="B1734" s="8"/>
      <c r="C1734" s="8"/>
      <c r="D1734" s="8"/>
      <c r="E1734" s="8"/>
      <c r="F1734" s="8"/>
      <c r="G1734" s="8"/>
      <c r="H1734" s="8"/>
      <c r="I1734" s="10"/>
      <c r="J1734" s="10"/>
      <c r="K1734" s="18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</row>
    <row r="1735" ht="14.25" customHeight="1">
      <c r="A1735" s="9"/>
      <c r="B1735" s="8"/>
      <c r="C1735" s="8"/>
      <c r="D1735" s="8"/>
      <c r="E1735" s="8"/>
      <c r="F1735" s="8"/>
      <c r="G1735" s="8"/>
      <c r="H1735" s="8"/>
      <c r="I1735" s="10"/>
      <c r="J1735" s="10"/>
      <c r="K1735" s="18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</row>
    <row r="1736" ht="14.25" customHeight="1">
      <c r="A1736" s="9"/>
      <c r="B1736" s="8"/>
      <c r="C1736" s="8"/>
      <c r="D1736" s="8"/>
      <c r="E1736" s="8"/>
      <c r="F1736" s="8"/>
      <c r="G1736" s="8"/>
      <c r="H1736" s="8"/>
      <c r="I1736" s="10"/>
      <c r="J1736" s="10"/>
      <c r="K1736" s="18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</row>
    <row r="1737" ht="14.25" customHeight="1">
      <c r="A1737" s="9"/>
      <c r="B1737" s="8"/>
      <c r="C1737" s="8"/>
      <c r="D1737" s="8"/>
      <c r="E1737" s="8"/>
      <c r="F1737" s="8"/>
      <c r="G1737" s="8"/>
      <c r="H1737" s="8"/>
      <c r="I1737" s="10"/>
      <c r="J1737" s="10"/>
      <c r="K1737" s="18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</row>
    <row r="1738" ht="14.25" customHeight="1">
      <c r="A1738" s="9"/>
      <c r="B1738" s="8"/>
      <c r="C1738" s="8"/>
      <c r="D1738" s="8"/>
      <c r="E1738" s="8"/>
      <c r="F1738" s="8"/>
      <c r="G1738" s="8"/>
      <c r="H1738" s="8"/>
      <c r="I1738" s="10"/>
      <c r="J1738" s="10"/>
      <c r="K1738" s="18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</row>
    <row r="1739" ht="14.25" customHeight="1">
      <c r="A1739" s="9"/>
      <c r="B1739" s="8"/>
      <c r="C1739" s="8"/>
      <c r="D1739" s="8"/>
      <c r="E1739" s="8"/>
      <c r="F1739" s="8"/>
      <c r="G1739" s="8"/>
      <c r="H1739" s="8"/>
      <c r="I1739" s="10"/>
      <c r="J1739" s="10"/>
      <c r="K1739" s="18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</row>
    <row r="1740" ht="14.25" customHeight="1">
      <c r="A1740" s="9"/>
      <c r="B1740" s="8"/>
      <c r="C1740" s="8"/>
      <c r="D1740" s="8"/>
      <c r="E1740" s="8"/>
      <c r="F1740" s="8"/>
      <c r="G1740" s="8"/>
      <c r="H1740" s="8"/>
      <c r="I1740" s="10"/>
      <c r="J1740" s="10"/>
      <c r="K1740" s="18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</row>
    <row r="1741" ht="14.25" customHeight="1">
      <c r="A1741" s="9"/>
      <c r="B1741" s="8"/>
      <c r="C1741" s="8"/>
      <c r="D1741" s="8"/>
      <c r="E1741" s="8"/>
      <c r="F1741" s="8"/>
      <c r="G1741" s="8"/>
      <c r="H1741" s="8"/>
      <c r="I1741" s="10"/>
      <c r="J1741" s="10"/>
      <c r="K1741" s="18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</row>
    <row r="1742" ht="14.25" customHeight="1">
      <c r="A1742" s="9"/>
      <c r="B1742" s="8"/>
      <c r="C1742" s="8"/>
      <c r="D1742" s="8"/>
      <c r="E1742" s="8"/>
      <c r="F1742" s="8"/>
      <c r="G1742" s="8"/>
      <c r="H1742" s="8"/>
      <c r="I1742" s="10"/>
      <c r="J1742" s="10"/>
      <c r="K1742" s="18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</row>
    <row r="1743" ht="14.25" customHeight="1">
      <c r="A1743" s="9"/>
      <c r="B1743" s="8"/>
      <c r="C1743" s="8"/>
      <c r="D1743" s="8"/>
      <c r="E1743" s="8"/>
      <c r="F1743" s="8"/>
      <c r="G1743" s="8"/>
      <c r="H1743" s="8"/>
      <c r="I1743" s="10"/>
      <c r="J1743" s="10"/>
      <c r="K1743" s="18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</row>
    <row r="1744" ht="14.25" customHeight="1">
      <c r="A1744" s="9"/>
      <c r="B1744" s="8"/>
      <c r="C1744" s="8"/>
      <c r="D1744" s="8"/>
      <c r="E1744" s="8"/>
      <c r="F1744" s="8"/>
      <c r="G1744" s="8"/>
      <c r="H1744" s="8"/>
      <c r="I1744" s="10"/>
      <c r="J1744" s="10"/>
      <c r="K1744" s="18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</row>
    <row r="1745" ht="14.25" customHeight="1">
      <c r="A1745" s="9"/>
      <c r="B1745" s="8"/>
      <c r="C1745" s="8"/>
      <c r="D1745" s="8"/>
      <c r="E1745" s="8"/>
      <c r="F1745" s="8"/>
      <c r="G1745" s="8"/>
      <c r="H1745" s="8"/>
      <c r="I1745" s="10"/>
      <c r="J1745" s="10"/>
      <c r="K1745" s="18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</row>
    <row r="1746" ht="14.25" customHeight="1">
      <c r="A1746" s="9"/>
      <c r="B1746" s="8"/>
      <c r="C1746" s="8"/>
      <c r="D1746" s="8"/>
      <c r="E1746" s="8"/>
      <c r="F1746" s="8"/>
      <c r="G1746" s="8"/>
      <c r="H1746" s="8"/>
      <c r="I1746" s="10"/>
      <c r="J1746" s="10"/>
      <c r="K1746" s="18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</row>
    <row r="1747" ht="14.25" customHeight="1">
      <c r="A1747" s="9"/>
      <c r="B1747" s="8"/>
      <c r="C1747" s="8"/>
      <c r="D1747" s="8"/>
      <c r="E1747" s="8"/>
      <c r="F1747" s="8"/>
      <c r="G1747" s="8"/>
      <c r="H1747" s="8"/>
      <c r="I1747" s="10"/>
      <c r="J1747" s="10"/>
      <c r="K1747" s="18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</row>
    <row r="1748" ht="14.25" customHeight="1">
      <c r="A1748" s="9"/>
      <c r="B1748" s="8"/>
      <c r="C1748" s="8"/>
      <c r="D1748" s="8"/>
      <c r="E1748" s="8"/>
      <c r="F1748" s="8"/>
      <c r="G1748" s="8"/>
      <c r="H1748" s="8"/>
      <c r="I1748" s="10"/>
      <c r="J1748" s="10"/>
      <c r="K1748" s="18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</row>
    <row r="1749" ht="14.25" customHeight="1">
      <c r="A1749" s="9"/>
      <c r="B1749" s="8"/>
      <c r="C1749" s="8"/>
      <c r="D1749" s="8"/>
      <c r="E1749" s="8"/>
      <c r="F1749" s="8"/>
      <c r="G1749" s="8"/>
      <c r="H1749" s="8"/>
      <c r="I1749" s="10"/>
      <c r="J1749" s="10"/>
      <c r="K1749" s="18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</row>
    <row r="1750" ht="14.25" customHeight="1">
      <c r="A1750" s="9"/>
      <c r="B1750" s="8"/>
      <c r="C1750" s="8"/>
      <c r="D1750" s="8"/>
      <c r="E1750" s="8"/>
      <c r="F1750" s="8"/>
      <c r="G1750" s="8"/>
      <c r="H1750" s="8"/>
      <c r="I1750" s="10"/>
      <c r="J1750" s="10"/>
      <c r="K1750" s="18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</row>
    <row r="1751" ht="14.25" customHeight="1">
      <c r="A1751" s="9"/>
      <c r="B1751" s="8"/>
      <c r="C1751" s="8"/>
      <c r="D1751" s="8"/>
      <c r="E1751" s="8"/>
      <c r="F1751" s="8"/>
      <c r="G1751" s="8"/>
      <c r="H1751" s="8"/>
      <c r="I1751" s="10"/>
      <c r="J1751" s="10"/>
      <c r="K1751" s="18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</row>
    <row r="1752" ht="14.25" customHeight="1">
      <c r="A1752" s="9"/>
      <c r="B1752" s="8"/>
      <c r="C1752" s="8"/>
      <c r="D1752" s="8"/>
      <c r="E1752" s="8"/>
      <c r="F1752" s="8"/>
      <c r="G1752" s="8"/>
      <c r="H1752" s="8"/>
      <c r="I1752" s="10"/>
      <c r="J1752" s="10"/>
      <c r="K1752" s="18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</row>
    <row r="1753" ht="14.25" customHeight="1">
      <c r="A1753" s="9"/>
      <c r="B1753" s="8"/>
      <c r="C1753" s="8"/>
      <c r="D1753" s="8"/>
      <c r="E1753" s="8"/>
      <c r="F1753" s="8"/>
      <c r="G1753" s="8"/>
      <c r="H1753" s="8"/>
      <c r="I1753" s="10"/>
      <c r="J1753" s="10"/>
      <c r="K1753" s="18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</row>
    <row r="1754" ht="14.25" customHeight="1">
      <c r="A1754" s="9"/>
      <c r="B1754" s="8"/>
      <c r="C1754" s="8"/>
      <c r="D1754" s="8"/>
      <c r="E1754" s="8"/>
      <c r="F1754" s="8"/>
      <c r="G1754" s="8"/>
      <c r="H1754" s="8"/>
      <c r="I1754" s="10"/>
      <c r="J1754" s="10"/>
      <c r="K1754" s="18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</row>
    <row r="1755" ht="14.25" customHeight="1">
      <c r="A1755" s="9"/>
      <c r="B1755" s="8"/>
      <c r="C1755" s="8"/>
      <c r="D1755" s="8"/>
      <c r="E1755" s="8"/>
      <c r="F1755" s="8"/>
      <c r="G1755" s="8"/>
      <c r="H1755" s="8"/>
      <c r="I1755" s="10"/>
      <c r="J1755" s="10"/>
      <c r="K1755" s="18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</row>
    <row r="1756" ht="14.25" customHeight="1">
      <c r="A1756" s="9"/>
      <c r="B1756" s="8"/>
      <c r="C1756" s="8"/>
      <c r="D1756" s="8"/>
      <c r="E1756" s="8"/>
      <c r="F1756" s="8"/>
      <c r="G1756" s="8"/>
      <c r="H1756" s="8"/>
      <c r="I1756" s="10"/>
      <c r="J1756" s="10"/>
      <c r="K1756" s="18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</row>
    <row r="1757" ht="14.25" customHeight="1">
      <c r="A1757" s="9"/>
      <c r="B1757" s="8"/>
      <c r="C1757" s="8"/>
      <c r="D1757" s="8"/>
      <c r="E1757" s="8"/>
      <c r="F1757" s="8"/>
      <c r="G1757" s="8"/>
      <c r="H1757" s="8"/>
      <c r="I1757" s="10"/>
      <c r="J1757" s="10"/>
      <c r="K1757" s="18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</row>
    <row r="1758" ht="14.25" customHeight="1">
      <c r="A1758" s="9"/>
      <c r="B1758" s="8"/>
      <c r="C1758" s="8"/>
      <c r="D1758" s="8"/>
      <c r="E1758" s="8"/>
      <c r="F1758" s="8"/>
      <c r="G1758" s="8"/>
      <c r="H1758" s="8"/>
      <c r="I1758" s="10"/>
      <c r="J1758" s="10"/>
      <c r="K1758" s="18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</row>
    <row r="1759" ht="14.25" customHeight="1">
      <c r="A1759" s="9"/>
      <c r="B1759" s="8"/>
      <c r="C1759" s="8"/>
      <c r="D1759" s="8"/>
      <c r="E1759" s="8"/>
      <c r="F1759" s="8"/>
      <c r="G1759" s="8"/>
      <c r="H1759" s="8"/>
      <c r="I1759" s="10"/>
      <c r="J1759" s="10"/>
      <c r="K1759" s="18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</row>
    <row r="1760" ht="14.25" customHeight="1">
      <c r="A1760" s="9"/>
      <c r="B1760" s="8"/>
      <c r="C1760" s="8"/>
      <c r="D1760" s="8"/>
      <c r="E1760" s="8"/>
      <c r="F1760" s="8"/>
      <c r="G1760" s="8"/>
      <c r="H1760" s="8"/>
      <c r="I1760" s="10"/>
      <c r="J1760" s="10"/>
      <c r="K1760" s="18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</row>
    <row r="1761" ht="14.25" customHeight="1">
      <c r="A1761" s="9"/>
      <c r="B1761" s="8"/>
      <c r="C1761" s="8"/>
      <c r="D1761" s="8"/>
      <c r="E1761" s="8"/>
      <c r="F1761" s="8"/>
      <c r="G1761" s="8"/>
      <c r="H1761" s="8"/>
      <c r="I1761" s="10"/>
      <c r="J1761" s="10"/>
      <c r="K1761" s="18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</row>
    <row r="1762" ht="14.25" customHeight="1">
      <c r="A1762" s="9"/>
      <c r="B1762" s="8"/>
      <c r="C1762" s="8"/>
      <c r="D1762" s="8"/>
      <c r="E1762" s="8"/>
      <c r="F1762" s="8"/>
      <c r="G1762" s="8"/>
      <c r="H1762" s="8"/>
      <c r="I1762" s="10"/>
      <c r="J1762" s="10"/>
      <c r="K1762" s="18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</row>
    <row r="1763" ht="14.25" customHeight="1">
      <c r="A1763" s="9"/>
      <c r="B1763" s="8"/>
      <c r="C1763" s="8"/>
      <c r="D1763" s="8"/>
      <c r="E1763" s="8"/>
      <c r="F1763" s="8"/>
      <c r="G1763" s="8"/>
      <c r="H1763" s="8"/>
      <c r="I1763" s="10"/>
      <c r="J1763" s="10"/>
      <c r="K1763" s="18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</row>
    <row r="1764" ht="14.25" customHeight="1">
      <c r="A1764" s="9"/>
      <c r="B1764" s="8"/>
      <c r="C1764" s="8"/>
      <c r="D1764" s="8"/>
      <c r="E1764" s="8"/>
      <c r="F1764" s="8"/>
      <c r="G1764" s="8"/>
      <c r="H1764" s="8"/>
      <c r="I1764" s="10"/>
      <c r="J1764" s="10"/>
      <c r="K1764" s="18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</row>
    <row r="1765" ht="14.25" customHeight="1">
      <c r="A1765" s="9"/>
      <c r="B1765" s="8"/>
      <c r="C1765" s="8"/>
      <c r="D1765" s="8"/>
      <c r="E1765" s="8"/>
      <c r="F1765" s="8"/>
      <c r="G1765" s="8"/>
      <c r="H1765" s="8"/>
      <c r="I1765" s="10"/>
      <c r="J1765" s="10"/>
      <c r="K1765" s="18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</row>
    <row r="1766" ht="14.25" customHeight="1">
      <c r="A1766" s="9"/>
      <c r="B1766" s="8"/>
      <c r="C1766" s="8"/>
      <c r="D1766" s="8"/>
      <c r="E1766" s="8"/>
      <c r="F1766" s="8"/>
      <c r="G1766" s="8"/>
      <c r="H1766" s="8"/>
      <c r="I1766" s="10"/>
      <c r="J1766" s="10"/>
      <c r="K1766" s="18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</row>
    <row r="1767" ht="14.25" customHeight="1">
      <c r="A1767" s="9"/>
      <c r="B1767" s="8"/>
      <c r="C1767" s="8"/>
      <c r="D1767" s="8"/>
      <c r="E1767" s="8"/>
      <c r="F1767" s="8"/>
      <c r="G1767" s="8"/>
      <c r="H1767" s="8"/>
      <c r="I1767" s="10"/>
      <c r="J1767" s="10"/>
      <c r="K1767" s="18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</row>
    <row r="1768" ht="14.25" customHeight="1">
      <c r="A1768" s="9"/>
      <c r="B1768" s="8"/>
      <c r="C1768" s="8"/>
      <c r="D1768" s="8"/>
      <c r="E1768" s="8"/>
      <c r="F1768" s="8"/>
      <c r="G1768" s="8"/>
      <c r="H1768" s="8"/>
      <c r="I1768" s="10"/>
      <c r="J1768" s="10"/>
      <c r="K1768" s="18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</row>
    <row r="1769" ht="14.25" customHeight="1">
      <c r="A1769" s="9"/>
      <c r="B1769" s="8"/>
      <c r="C1769" s="8"/>
      <c r="D1769" s="8"/>
      <c r="E1769" s="8"/>
      <c r="F1769" s="8"/>
      <c r="G1769" s="8"/>
      <c r="H1769" s="8"/>
      <c r="I1769" s="10"/>
      <c r="J1769" s="10"/>
      <c r="K1769" s="18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</row>
    <row r="1770" ht="14.25" customHeight="1">
      <c r="A1770" s="9"/>
      <c r="B1770" s="8"/>
      <c r="C1770" s="8"/>
      <c r="D1770" s="8"/>
      <c r="E1770" s="8"/>
      <c r="F1770" s="8"/>
      <c r="G1770" s="8"/>
      <c r="H1770" s="8"/>
      <c r="I1770" s="10"/>
      <c r="J1770" s="10"/>
      <c r="K1770" s="18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</row>
    <row r="1771" ht="14.25" customHeight="1">
      <c r="A1771" s="9"/>
      <c r="B1771" s="8"/>
      <c r="C1771" s="8"/>
      <c r="D1771" s="8"/>
      <c r="E1771" s="8"/>
      <c r="F1771" s="8"/>
      <c r="G1771" s="8"/>
      <c r="H1771" s="8"/>
      <c r="I1771" s="10"/>
      <c r="J1771" s="10"/>
      <c r="K1771" s="18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</row>
    <row r="1772" ht="14.25" customHeight="1">
      <c r="A1772" s="9"/>
      <c r="B1772" s="8"/>
      <c r="C1772" s="8"/>
      <c r="D1772" s="8"/>
      <c r="E1772" s="8"/>
      <c r="F1772" s="8"/>
      <c r="G1772" s="8"/>
      <c r="H1772" s="8"/>
      <c r="I1772" s="10"/>
      <c r="J1772" s="10"/>
      <c r="K1772" s="18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</row>
    <row r="1773" ht="14.25" customHeight="1">
      <c r="A1773" s="9"/>
      <c r="B1773" s="8"/>
      <c r="C1773" s="8"/>
      <c r="D1773" s="8"/>
      <c r="E1773" s="8"/>
      <c r="F1773" s="8"/>
      <c r="G1773" s="8"/>
      <c r="H1773" s="8"/>
      <c r="I1773" s="10"/>
      <c r="J1773" s="10"/>
      <c r="K1773" s="18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</row>
    <row r="1774" ht="14.25" customHeight="1">
      <c r="A1774" s="9"/>
      <c r="B1774" s="8"/>
      <c r="C1774" s="8"/>
      <c r="D1774" s="8"/>
      <c r="E1774" s="8"/>
      <c r="F1774" s="8"/>
      <c r="G1774" s="8"/>
      <c r="H1774" s="8"/>
      <c r="I1774" s="10"/>
      <c r="J1774" s="10"/>
      <c r="K1774" s="18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</row>
    <row r="1775" ht="14.25" customHeight="1">
      <c r="A1775" s="9"/>
      <c r="B1775" s="8"/>
      <c r="C1775" s="8"/>
      <c r="D1775" s="8"/>
      <c r="E1775" s="8"/>
      <c r="F1775" s="8"/>
      <c r="G1775" s="8"/>
      <c r="H1775" s="8"/>
      <c r="I1775" s="10"/>
      <c r="J1775" s="10"/>
      <c r="K1775" s="18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</row>
    <row r="1776" ht="14.25" customHeight="1">
      <c r="A1776" s="9"/>
      <c r="B1776" s="8"/>
      <c r="C1776" s="8"/>
      <c r="D1776" s="8"/>
      <c r="E1776" s="8"/>
      <c r="F1776" s="8"/>
      <c r="G1776" s="8"/>
      <c r="H1776" s="8"/>
      <c r="I1776" s="10"/>
      <c r="J1776" s="10"/>
      <c r="K1776" s="18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</row>
    <row r="1777" ht="14.25" customHeight="1">
      <c r="A1777" s="9"/>
      <c r="B1777" s="8"/>
      <c r="C1777" s="8"/>
      <c r="D1777" s="8"/>
      <c r="E1777" s="8"/>
      <c r="F1777" s="8"/>
      <c r="G1777" s="8"/>
      <c r="H1777" s="8"/>
      <c r="I1777" s="10"/>
      <c r="J1777" s="10"/>
      <c r="K1777" s="18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</row>
    <row r="1778" ht="14.25" customHeight="1">
      <c r="A1778" s="9"/>
      <c r="B1778" s="8"/>
      <c r="C1778" s="8"/>
      <c r="D1778" s="8"/>
      <c r="E1778" s="8"/>
      <c r="F1778" s="8"/>
      <c r="G1778" s="8"/>
      <c r="H1778" s="8"/>
      <c r="I1778" s="10"/>
      <c r="J1778" s="10"/>
      <c r="K1778" s="18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</row>
    <row r="1779" ht="14.25" customHeight="1">
      <c r="A1779" s="9"/>
      <c r="B1779" s="8"/>
      <c r="C1779" s="8"/>
      <c r="D1779" s="8"/>
      <c r="E1779" s="8"/>
      <c r="F1779" s="8"/>
      <c r="G1779" s="8"/>
      <c r="H1779" s="8"/>
      <c r="I1779" s="10"/>
      <c r="J1779" s="10"/>
      <c r="K1779" s="18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</row>
    <row r="1780" ht="14.25" customHeight="1">
      <c r="A1780" s="9"/>
      <c r="B1780" s="8"/>
      <c r="C1780" s="8"/>
      <c r="D1780" s="8"/>
      <c r="E1780" s="8"/>
      <c r="F1780" s="8"/>
      <c r="G1780" s="8"/>
      <c r="H1780" s="8"/>
      <c r="I1780" s="10"/>
      <c r="J1780" s="10"/>
      <c r="K1780" s="18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</row>
    <row r="1781" ht="14.25" customHeight="1">
      <c r="A1781" s="9"/>
      <c r="B1781" s="8"/>
      <c r="C1781" s="8"/>
      <c r="D1781" s="8"/>
      <c r="E1781" s="8"/>
      <c r="F1781" s="8"/>
      <c r="G1781" s="8"/>
      <c r="H1781" s="8"/>
      <c r="I1781" s="10"/>
      <c r="J1781" s="10"/>
      <c r="K1781" s="18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</row>
    <row r="1782" ht="14.25" customHeight="1">
      <c r="A1782" s="9"/>
      <c r="B1782" s="8"/>
      <c r="C1782" s="8"/>
      <c r="D1782" s="8"/>
      <c r="E1782" s="8"/>
      <c r="F1782" s="8"/>
      <c r="G1782" s="8"/>
      <c r="H1782" s="8"/>
      <c r="I1782" s="10"/>
      <c r="J1782" s="10"/>
      <c r="K1782" s="18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</row>
    <row r="1783" ht="14.25" customHeight="1">
      <c r="A1783" s="9"/>
      <c r="B1783" s="8"/>
      <c r="C1783" s="8"/>
      <c r="D1783" s="8"/>
      <c r="E1783" s="8"/>
      <c r="F1783" s="8"/>
      <c r="G1783" s="8"/>
      <c r="H1783" s="8"/>
      <c r="I1783" s="10"/>
      <c r="J1783" s="10"/>
      <c r="K1783" s="18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</row>
    <row r="1784" ht="14.25" customHeight="1">
      <c r="A1784" s="9"/>
      <c r="B1784" s="8"/>
      <c r="C1784" s="8"/>
      <c r="D1784" s="8"/>
      <c r="E1784" s="8"/>
      <c r="F1784" s="8"/>
      <c r="G1784" s="8"/>
      <c r="H1784" s="8"/>
      <c r="I1784" s="10"/>
      <c r="J1784" s="10"/>
      <c r="K1784" s="18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</row>
    <row r="1785" ht="14.25" customHeight="1">
      <c r="A1785" s="9"/>
      <c r="B1785" s="8"/>
      <c r="C1785" s="8"/>
      <c r="D1785" s="8"/>
      <c r="E1785" s="8"/>
      <c r="F1785" s="8"/>
      <c r="G1785" s="8"/>
      <c r="H1785" s="8"/>
      <c r="I1785" s="10"/>
      <c r="J1785" s="10"/>
      <c r="K1785" s="18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</row>
    <row r="1786" ht="14.25" customHeight="1">
      <c r="A1786" s="9"/>
      <c r="B1786" s="8"/>
      <c r="C1786" s="8"/>
      <c r="D1786" s="8"/>
      <c r="E1786" s="8"/>
      <c r="F1786" s="8"/>
      <c r="G1786" s="8"/>
      <c r="H1786" s="8"/>
      <c r="I1786" s="10"/>
      <c r="J1786" s="10"/>
      <c r="K1786" s="18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</row>
    <row r="1787" ht="14.25" customHeight="1">
      <c r="A1787" s="9"/>
      <c r="B1787" s="8"/>
      <c r="C1787" s="8"/>
      <c r="D1787" s="8"/>
      <c r="E1787" s="8"/>
      <c r="F1787" s="8"/>
      <c r="G1787" s="8"/>
      <c r="H1787" s="8"/>
      <c r="I1787" s="10"/>
      <c r="J1787" s="10"/>
      <c r="K1787" s="18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</row>
    <row r="1788" ht="14.25" customHeight="1">
      <c r="A1788" s="9"/>
      <c r="B1788" s="8"/>
      <c r="C1788" s="8"/>
      <c r="D1788" s="8"/>
      <c r="E1788" s="8"/>
      <c r="F1788" s="8"/>
      <c r="G1788" s="8"/>
      <c r="H1788" s="8"/>
      <c r="I1788" s="10"/>
      <c r="J1788" s="10"/>
      <c r="K1788" s="18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</row>
    <row r="1789" ht="14.25" customHeight="1">
      <c r="A1789" s="9"/>
      <c r="B1789" s="8"/>
      <c r="C1789" s="8"/>
      <c r="D1789" s="8"/>
      <c r="E1789" s="8"/>
      <c r="F1789" s="8"/>
      <c r="G1789" s="8"/>
      <c r="H1789" s="8"/>
      <c r="I1789" s="10"/>
      <c r="J1789" s="10"/>
      <c r="K1789" s="18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</row>
    <row r="1790" ht="14.25" customHeight="1">
      <c r="A1790" s="9"/>
      <c r="B1790" s="8"/>
      <c r="C1790" s="8"/>
      <c r="D1790" s="8"/>
      <c r="E1790" s="8"/>
      <c r="F1790" s="8"/>
      <c r="G1790" s="8"/>
      <c r="H1790" s="8"/>
      <c r="I1790" s="10"/>
      <c r="J1790" s="10"/>
      <c r="K1790" s="18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</row>
    <row r="1791" ht="14.25" customHeight="1">
      <c r="A1791" s="9"/>
      <c r="B1791" s="8"/>
      <c r="C1791" s="8"/>
      <c r="D1791" s="8"/>
      <c r="E1791" s="8"/>
      <c r="F1791" s="8"/>
      <c r="G1791" s="8"/>
      <c r="H1791" s="8"/>
      <c r="I1791" s="10"/>
      <c r="J1791" s="10"/>
      <c r="K1791" s="18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</row>
    <row r="1792" ht="14.25" customHeight="1">
      <c r="A1792" s="9"/>
      <c r="B1792" s="8"/>
      <c r="C1792" s="8"/>
      <c r="D1792" s="8"/>
      <c r="E1792" s="8"/>
      <c r="F1792" s="8"/>
      <c r="G1792" s="8"/>
      <c r="H1792" s="8"/>
      <c r="I1792" s="10"/>
      <c r="J1792" s="10"/>
      <c r="K1792" s="18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</row>
    <row r="1793" ht="14.25" customHeight="1">
      <c r="A1793" s="9"/>
      <c r="B1793" s="8"/>
      <c r="C1793" s="8"/>
      <c r="D1793" s="8"/>
      <c r="E1793" s="8"/>
      <c r="F1793" s="8"/>
      <c r="G1793" s="8"/>
      <c r="H1793" s="8"/>
      <c r="I1793" s="10"/>
      <c r="J1793" s="10"/>
      <c r="K1793" s="18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</row>
    <row r="1794" ht="14.25" customHeight="1">
      <c r="A1794" s="9"/>
      <c r="B1794" s="8"/>
      <c r="C1794" s="8"/>
      <c r="D1794" s="8"/>
      <c r="E1794" s="8"/>
      <c r="F1794" s="8"/>
      <c r="G1794" s="8"/>
      <c r="H1794" s="8"/>
      <c r="I1794" s="10"/>
      <c r="J1794" s="10"/>
      <c r="K1794" s="18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</row>
    <row r="1795" ht="14.25" customHeight="1">
      <c r="A1795" s="9"/>
      <c r="B1795" s="8"/>
      <c r="C1795" s="8"/>
      <c r="D1795" s="8"/>
      <c r="E1795" s="8"/>
      <c r="F1795" s="8"/>
      <c r="G1795" s="8"/>
      <c r="H1795" s="8"/>
      <c r="I1795" s="10"/>
      <c r="J1795" s="10"/>
      <c r="K1795" s="18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</row>
    <row r="1796" ht="14.25" customHeight="1">
      <c r="A1796" s="9"/>
      <c r="B1796" s="8"/>
      <c r="C1796" s="8"/>
      <c r="D1796" s="8"/>
      <c r="E1796" s="8"/>
      <c r="F1796" s="8"/>
      <c r="G1796" s="8"/>
      <c r="H1796" s="8"/>
      <c r="I1796" s="10"/>
      <c r="J1796" s="10"/>
      <c r="K1796" s="18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</row>
    <row r="1797" ht="14.25" customHeight="1">
      <c r="A1797" s="9"/>
      <c r="B1797" s="8"/>
      <c r="C1797" s="8"/>
      <c r="D1797" s="8"/>
      <c r="E1797" s="8"/>
      <c r="F1797" s="8"/>
      <c r="G1797" s="8"/>
      <c r="H1797" s="8"/>
      <c r="I1797" s="10"/>
      <c r="J1797" s="10"/>
      <c r="K1797" s="18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</row>
    <row r="1798" ht="14.25" customHeight="1">
      <c r="A1798" s="9"/>
      <c r="B1798" s="8"/>
      <c r="C1798" s="8"/>
      <c r="D1798" s="8"/>
      <c r="E1798" s="8"/>
      <c r="F1798" s="8"/>
      <c r="G1798" s="8"/>
      <c r="H1798" s="8"/>
      <c r="I1798" s="10"/>
      <c r="J1798" s="10"/>
      <c r="K1798" s="18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</row>
    <row r="1799" ht="14.25" customHeight="1">
      <c r="A1799" s="9"/>
      <c r="B1799" s="8"/>
      <c r="C1799" s="8"/>
      <c r="D1799" s="8"/>
      <c r="E1799" s="8"/>
      <c r="F1799" s="8"/>
      <c r="G1799" s="8"/>
      <c r="H1799" s="8"/>
      <c r="I1799" s="10"/>
      <c r="J1799" s="10"/>
      <c r="K1799" s="18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</row>
    <row r="1800" ht="14.25" customHeight="1">
      <c r="A1800" s="9"/>
      <c r="B1800" s="8"/>
      <c r="C1800" s="8"/>
      <c r="D1800" s="8"/>
      <c r="E1800" s="8"/>
      <c r="F1800" s="8"/>
      <c r="G1800" s="8"/>
      <c r="H1800" s="8"/>
      <c r="I1800" s="10"/>
      <c r="J1800" s="10"/>
      <c r="K1800" s="18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</row>
    <row r="1801" ht="14.25" customHeight="1">
      <c r="A1801" s="9"/>
      <c r="B1801" s="8"/>
      <c r="C1801" s="8"/>
      <c r="D1801" s="8"/>
      <c r="E1801" s="8"/>
      <c r="F1801" s="8"/>
      <c r="G1801" s="8"/>
      <c r="H1801" s="8"/>
      <c r="I1801" s="10"/>
      <c r="J1801" s="10"/>
      <c r="K1801" s="18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</row>
    <row r="1802" ht="14.25" customHeight="1">
      <c r="A1802" s="9"/>
      <c r="B1802" s="8"/>
      <c r="C1802" s="8"/>
      <c r="D1802" s="8"/>
      <c r="E1802" s="8"/>
      <c r="F1802" s="8"/>
      <c r="G1802" s="8"/>
      <c r="H1802" s="8"/>
      <c r="I1802" s="10"/>
      <c r="J1802" s="10"/>
      <c r="K1802" s="18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</row>
    <row r="1803" ht="14.25" customHeight="1">
      <c r="A1803" s="9"/>
      <c r="B1803" s="8"/>
      <c r="C1803" s="8"/>
      <c r="D1803" s="8"/>
      <c r="E1803" s="8"/>
      <c r="F1803" s="8"/>
      <c r="G1803" s="8"/>
      <c r="H1803" s="8"/>
      <c r="I1803" s="10"/>
      <c r="J1803" s="10"/>
      <c r="K1803" s="18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</row>
    <row r="1804" ht="14.25" customHeight="1">
      <c r="A1804" s="9"/>
      <c r="B1804" s="8"/>
      <c r="C1804" s="8"/>
      <c r="D1804" s="8"/>
      <c r="E1804" s="8"/>
      <c r="F1804" s="8"/>
      <c r="G1804" s="8"/>
      <c r="H1804" s="8"/>
      <c r="I1804" s="10"/>
      <c r="J1804" s="10"/>
      <c r="K1804" s="18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</row>
    <row r="1805" ht="14.25" customHeight="1">
      <c r="A1805" s="9"/>
      <c r="B1805" s="8"/>
      <c r="C1805" s="8"/>
      <c r="D1805" s="8"/>
      <c r="E1805" s="8"/>
      <c r="F1805" s="8"/>
      <c r="G1805" s="8"/>
      <c r="H1805" s="8"/>
      <c r="I1805" s="10"/>
      <c r="J1805" s="10"/>
      <c r="K1805" s="18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</row>
    <row r="1806" ht="14.25" customHeight="1">
      <c r="A1806" s="9"/>
      <c r="B1806" s="8"/>
      <c r="C1806" s="8"/>
      <c r="D1806" s="8"/>
      <c r="E1806" s="8"/>
      <c r="F1806" s="8"/>
      <c r="G1806" s="8"/>
      <c r="H1806" s="8"/>
      <c r="I1806" s="10"/>
      <c r="J1806" s="10"/>
      <c r="K1806" s="18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</row>
    <row r="1807" ht="14.25" customHeight="1">
      <c r="A1807" s="9"/>
      <c r="B1807" s="8"/>
      <c r="C1807" s="8"/>
      <c r="D1807" s="8"/>
      <c r="E1807" s="8"/>
      <c r="F1807" s="8"/>
      <c r="G1807" s="8"/>
      <c r="H1807" s="8"/>
      <c r="I1807" s="10"/>
      <c r="J1807" s="10"/>
      <c r="K1807" s="18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</row>
    <row r="1808" ht="14.25" customHeight="1">
      <c r="A1808" s="9"/>
      <c r="B1808" s="8"/>
      <c r="C1808" s="8"/>
      <c r="D1808" s="8"/>
      <c r="E1808" s="8"/>
      <c r="F1808" s="8"/>
      <c r="G1808" s="8"/>
      <c r="H1808" s="8"/>
      <c r="I1808" s="10"/>
      <c r="J1808" s="10"/>
      <c r="K1808" s="18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</row>
    <row r="1809" ht="14.25" customHeight="1">
      <c r="A1809" s="9"/>
      <c r="B1809" s="8"/>
      <c r="C1809" s="8"/>
      <c r="D1809" s="8"/>
      <c r="E1809" s="8"/>
      <c r="F1809" s="8"/>
      <c r="G1809" s="8"/>
      <c r="H1809" s="8"/>
      <c r="I1809" s="10"/>
      <c r="J1809" s="10"/>
      <c r="K1809" s="18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</row>
    <row r="1810" ht="14.25" customHeight="1">
      <c r="A1810" s="9"/>
      <c r="B1810" s="8"/>
      <c r="C1810" s="8"/>
      <c r="D1810" s="8"/>
      <c r="E1810" s="8"/>
      <c r="F1810" s="8"/>
      <c r="G1810" s="8"/>
      <c r="H1810" s="8"/>
      <c r="I1810" s="10"/>
      <c r="J1810" s="10"/>
      <c r="K1810" s="18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</row>
    <row r="1811" ht="14.25" customHeight="1">
      <c r="A1811" s="9"/>
      <c r="B1811" s="8"/>
      <c r="C1811" s="8"/>
      <c r="D1811" s="8"/>
      <c r="E1811" s="8"/>
      <c r="F1811" s="8"/>
      <c r="G1811" s="8"/>
      <c r="H1811" s="8"/>
      <c r="I1811" s="10"/>
      <c r="J1811" s="10"/>
      <c r="K1811" s="18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</row>
    <row r="1812" ht="14.25" customHeight="1">
      <c r="A1812" s="9"/>
      <c r="B1812" s="8"/>
      <c r="C1812" s="8"/>
      <c r="D1812" s="8"/>
      <c r="E1812" s="8"/>
      <c r="F1812" s="8"/>
      <c r="G1812" s="8"/>
      <c r="H1812" s="8"/>
      <c r="I1812" s="10"/>
      <c r="J1812" s="10"/>
      <c r="K1812" s="18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</row>
    <row r="1813" ht="14.25" customHeight="1">
      <c r="A1813" s="9"/>
      <c r="B1813" s="8"/>
      <c r="C1813" s="8"/>
      <c r="D1813" s="8"/>
      <c r="E1813" s="8"/>
      <c r="F1813" s="8"/>
      <c r="G1813" s="8"/>
      <c r="H1813" s="8"/>
      <c r="I1813" s="10"/>
      <c r="J1813" s="10"/>
      <c r="K1813" s="18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</row>
    <row r="1814" ht="14.25" customHeight="1">
      <c r="A1814" s="9"/>
      <c r="B1814" s="8"/>
      <c r="C1814" s="8"/>
      <c r="D1814" s="8"/>
      <c r="E1814" s="8"/>
      <c r="F1814" s="8"/>
      <c r="G1814" s="8"/>
      <c r="H1814" s="8"/>
      <c r="I1814" s="10"/>
      <c r="J1814" s="10"/>
      <c r="K1814" s="18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</row>
    <row r="1815" ht="14.25" customHeight="1">
      <c r="A1815" s="9"/>
      <c r="B1815" s="8"/>
      <c r="C1815" s="8"/>
      <c r="D1815" s="8"/>
      <c r="E1815" s="8"/>
      <c r="F1815" s="8"/>
      <c r="G1815" s="8"/>
      <c r="H1815" s="8"/>
      <c r="I1815" s="10"/>
      <c r="J1815" s="10"/>
      <c r="K1815" s="18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</row>
    <row r="1816" ht="14.25" customHeight="1">
      <c r="A1816" s="9"/>
      <c r="B1816" s="8"/>
      <c r="C1816" s="8"/>
      <c r="D1816" s="8"/>
      <c r="E1816" s="8"/>
      <c r="F1816" s="8"/>
      <c r="G1816" s="8"/>
      <c r="H1816" s="8"/>
      <c r="I1816" s="10"/>
      <c r="J1816" s="10"/>
      <c r="K1816" s="18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</row>
    <row r="1817" ht="14.25" customHeight="1">
      <c r="A1817" s="9"/>
      <c r="B1817" s="8"/>
      <c r="C1817" s="8"/>
      <c r="D1817" s="8"/>
      <c r="E1817" s="8"/>
      <c r="F1817" s="8"/>
      <c r="G1817" s="8"/>
      <c r="H1817" s="8"/>
      <c r="I1817" s="10"/>
      <c r="J1817" s="10"/>
      <c r="K1817" s="18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</row>
    <row r="1818" ht="14.25" customHeight="1">
      <c r="A1818" s="9"/>
      <c r="B1818" s="8"/>
      <c r="C1818" s="8"/>
      <c r="D1818" s="8"/>
      <c r="E1818" s="8"/>
      <c r="F1818" s="8"/>
      <c r="G1818" s="8"/>
      <c r="H1818" s="8"/>
      <c r="I1818" s="10"/>
      <c r="J1818" s="10"/>
      <c r="K1818" s="18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</row>
    <row r="1819" ht="14.25" customHeight="1">
      <c r="A1819" s="9"/>
      <c r="B1819" s="8"/>
      <c r="C1819" s="8"/>
      <c r="D1819" s="8"/>
      <c r="E1819" s="8"/>
      <c r="F1819" s="8"/>
      <c r="G1819" s="8"/>
      <c r="H1819" s="8"/>
      <c r="I1819" s="10"/>
      <c r="J1819" s="10"/>
      <c r="K1819" s="18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</row>
    <row r="1820" ht="14.25" customHeight="1">
      <c r="A1820" s="9"/>
      <c r="B1820" s="8"/>
      <c r="C1820" s="8"/>
      <c r="D1820" s="8"/>
      <c r="E1820" s="8"/>
      <c r="F1820" s="8"/>
      <c r="G1820" s="8"/>
      <c r="H1820" s="8"/>
      <c r="I1820" s="10"/>
      <c r="J1820" s="10"/>
      <c r="K1820" s="18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</row>
    <row r="1821" ht="14.25" customHeight="1">
      <c r="A1821" s="9"/>
      <c r="B1821" s="8"/>
      <c r="C1821" s="8"/>
      <c r="D1821" s="8"/>
      <c r="E1821" s="8"/>
      <c r="F1821" s="8"/>
      <c r="G1821" s="8"/>
      <c r="H1821" s="8"/>
      <c r="I1821" s="10"/>
      <c r="J1821" s="10"/>
      <c r="K1821" s="18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</row>
    <row r="1822" ht="14.25" customHeight="1">
      <c r="A1822" s="9"/>
      <c r="B1822" s="8"/>
      <c r="C1822" s="8"/>
      <c r="D1822" s="8"/>
      <c r="E1822" s="8"/>
      <c r="F1822" s="8"/>
      <c r="G1822" s="8"/>
      <c r="H1822" s="8"/>
      <c r="I1822" s="10"/>
      <c r="J1822" s="10"/>
      <c r="K1822" s="18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</row>
    <row r="1823" ht="14.25" customHeight="1">
      <c r="A1823" s="9"/>
      <c r="B1823" s="8"/>
      <c r="C1823" s="8"/>
      <c r="D1823" s="8"/>
      <c r="E1823" s="8"/>
      <c r="F1823" s="8"/>
      <c r="G1823" s="8"/>
      <c r="H1823" s="8"/>
      <c r="I1823" s="10"/>
      <c r="J1823" s="10"/>
      <c r="K1823" s="18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</row>
    <row r="1824" ht="14.25" customHeight="1">
      <c r="A1824" s="9"/>
      <c r="B1824" s="8"/>
      <c r="C1824" s="8"/>
      <c r="D1824" s="8"/>
      <c r="E1824" s="8"/>
      <c r="F1824" s="8"/>
      <c r="G1824" s="8"/>
      <c r="H1824" s="8"/>
      <c r="I1824" s="10"/>
      <c r="J1824" s="10"/>
      <c r="K1824" s="18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</row>
    <row r="1825" ht="14.25" customHeight="1">
      <c r="A1825" s="9"/>
      <c r="B1825" s="8"/>
      <c r="C1825" s="8"/>
      <c r="D1825" s="8"/>
      <c r="E1825" s="8"/>
      <c r="F1825" s="8"/>
      <c r="G1825" s="8"/>
      <c r="H1825" s="8"/>
      <c r="I1825" s="10"/>
      <c r="J1825" s="10"/>
      <c r="K1825" s="18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</row>
    <row r="1826" ht="14.25" customHeight="1">
      <c r="A1826" s="9"/>
      <c r="B1826" s="8"/>
      <c r="C1826" s="8"/>
      <c r="D1826" s="8"/>
      <c r="E1826" s="8"/>
      <c r="F1826" s="8"/>
      <c r="G1826" s="8"/>
      <c r="H1826" s="8"/>
      <c r="I1826" s="10"/>
      <c r="J1826" s="10"/>
      <c r="K1826" s="18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</row>
    <row r="1827" ht="14.25" customHeight="1">
      <c r="A1827" s="9"/>
      <c r="B1827" s="8"/>
      <c r="C1827" s="8"/>
      <c r="D1827" s="8"/>
      <c r="E1827" s="8"/>
      <c r="F1827" s="8"/>
      <c r="G1827" s="8"/>
      <c r="H1827" s="8"/>
      <c r="I1827" s="10"/>
      <c r="J1827" s="10"/>
      <c r="K1827" s="18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</row>
    <row r="1828" ht="14.25" customHeight="1">
      <c r="A1828" s="9"/>
      <c r="B1828" s="8"/>
      <c r="C1828" s="8"/>
      <c r="D1828" s="8"/>
      <c r="E1828" s="8"/>
      <c r="F1828" s="8"/>
      <c r="G1828" s="8"/>
      <c r="H1828" s="8"/>
      <c r="I1828" s="10"/>
      <c r="J1828" s="10"/>
      <c r="K1828" s="18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</row>
    <row r="1829" ht="14.25" customHeight="1">
      <c r="A1829" s="9"/>
      <c r="B1829" s="8"/>
      <c r="C1829" s="8"/>
      <c r="D1829" s="8"/>
      <c r="E1829" s="8"/>
      <c r="F1829" s="8"/>
      <c r="G1829" s="8"/>
      <c r="H1829" s="8"/>
      <c r="I1829" s="10"/>
      <c r="J1829" s="10"/>
      <c r="K1829" s="18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</row>
    <row r="1830" ht="14.25" customHeight="1">
      <c r="A1830" s="9"/>
      <c r="B1830" s="8"/>
      <c r="C1830" s="8"/>
      <c r="D1830" s="8"/>
      <c r="E1830" s="8"/>
      <c r="F1830" s="8"/>
      <c r="G1830" s="8"/>
      <c r="H1830" s="8"/>
      <c r="I1830" s="10"/>
      <c r="J1830" s="10"/>
      <c r="K1830" s="18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</row>
    <row r="1831" ht="14.25" customHeight="1">
      <c r="A1831" s="9"/>
      <c r="B1831" s="8"/>
      <c r="C1831" s="8"/>
      <c r="D1831" s="8"/>
      <c r="E1831" s="8"/>
      <c r="F1831" s="8"/>
      <c r="G1831" s="8"/>
      <c r="H1831" s="8"/>
      <c r="I1831" s="10"/>
      <c r="J1831" s="10"/>
      <c r="K1831" s="18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</row>
    <row r="1832" ht="14.25" customHeight="1">
      <c r="A1832" s="9"/>
      <c r="B1832" s="8"/>
      <c r="C1832" s="8"/>
      <c r="D1832" s="8"/>
      <c r="E1832" s="8"/>
      <c r="F1832" s="8"/>
      <c r="G1832" s="8"/>
      <c r="H1832" s="8"/>
      <c r="I1832" s="10"/>
      <c r="J1832" s="10"/>
      <c r="K1832" s="18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</row>
    <row r="1833" ht="14.25" customHeight="1">
      <c r="A1833" s="9"/>
      <c r="B1833" s="8"/>
      <c r="C1833" s="8"/>
      <c r="D1833" s="8"/>
      <c r="E1833" s="8"/>
      <c r="F1833" s="8"/>
      <c r="G1833" s="8"/>
      <c r="H1833" s="8"/>
      <c r="I1833" s="10"/>
      <c r="J1833" s="10"/>
      <c r="K1833" s="18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</row>
    <row r="1834" ht="14.25" customHeight="1">
      <c r="A1834" s="9"/>
      <c r="B1834" s="8"/>
      <c r="C1834" s="8"/>
      <c r="D1834" s="8"/>
      <c r="E1834" s="8"/>
      <c r="F1834" s="8"/>
      <c r="G1834" s="8"/>
      <c r="H1834" s="8"/>
      <c r="I1834" s="10"/>
      <c r="J1834" s="10"/>
      <c r="K1834" s="18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</row>
    <row r="1835" ht="14.25" customHeight="1">
      <c r="A1835" s="9"/>
      <c r="B1835" s="8"/>
      <c r="C1835" s="8"/>
      <c r="D1835" s="8"/>
      <c r="E1835" s="8"/>
      <c r="F1835" s="8"/>
      <c r="G1835" s="8"/>
      <c r="H1835" s="8"/>
      <c r="I1835" s="10"/>
      <c r="J1835" s="10"/>
      <c r="K1835" s="18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</row>
    <row r="1836" ht="14.25" customHeight="1">
      <c r="A1836" s="9"/>
      <c r="B1836" s="8"/>
      <c r="C1836" s="8"/>
      <c r="D1836" s="8"/>
      <c r="E1836" s="8"/>
      <c r="F1836" s="8"/>
      <c r="G1836" s="8"/>
      <c r="H1836" s="8"/>
      <c r="I1836" s="10"/>
      <c r="J1836" s="10"/>
      <c r="K1836" s="18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</row>
    <row r="1837" ht="14.25" customHeight="1">
      <c r="A1837" s="9"/>
      <c r="B1837" s="8"/>
      <c r="C1837" s="8"/>
      <c r="D1837" s="8"/>
      <c r="E1837" s="8"/>
      <c r="F1837" s="8"/>
      <c r="G1837" s="8"/>
      <c r="H1837" s="8"/>
      <c r="I1837" s="10"/>
      <c r="J1837" s="10"/>
      <c r="K1837" s="18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</row>
    <row r="1838" ht="14.25" customHeight="1">
      <c r="A1838" s="9"/>
      <c r="B1838" s="8"/>
      <c r="C1838" s="8"/>
      <c r="D1838" s="8"/>
      <c r="E1838" s="8"/>
      <c r="F1838" s="8"/>
      <c r="G1838" s="8"/>
      <c r="H1838" s="8"/>
      <c r="I1838" s="10"/>
      <c r="J1838" s="10"/>
      <c r="K1838" s="18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</row>
    <row r="1839" ht="14.25" customHeight="1">
      <c r="A1839" s="9"/>
      <c r="B1839" s="8"/>
      <c r="C1839" s="8"/>
      <c r="D1839" s="8"/>
      <c r="E1839" s="8"/>
      <c r="F1839" s="8"/>
      <c r="G1839" s="8"/>
      <c r="H1839" s="8"/>
      <c r="I1839" s="10"/>
      <c r="J1839" s="10"/>
      <c r="K1839" s="18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</row>
    <row r="1840" ht="14.25" customHeight="1">
      <c r="A1840" s="9"/>
      <c r="B1840" s="8"/>
      <c r="C1840" s="8"/>
      <c r="D1840" s="8"/>
      <c r="E1840" s="8"/>
      <c r="F1840" s="8"/>
      <c r="G1840" s="8"/>
      <c r="H1840" s="8"/>
      <c r="I1840" s="10"/>
      <c r="J1840" s="10"/>
      <c r="K1840" s="18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</row>
    <row r="1841" ht="14.25" customHeight="1">
      <c r="A1841" s="9"/>
      <c r="B1841" s="8"/>
      <c r="C1841" s="8"/>
      <c r="D1841" s="8"/>
      <c r="E1841" s="8"/>
      <c r="F1841" s="8"/>
      <c r="G1841" s="8"/>
      <c r="H1841" s="8"/>
      <c r="I1841" s="10"/>
      <c r="J1841" s="10"/>
      <c r="K1841" s="18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</row>
    <row r="1842" ht="14.25" customHeight="1">
      <c r="A1842" s="9"/>
      <c r="B1842" s="8"/>
      <c r="C1842" s="8"/>
      <c r="D1842" s="8"/>
      <c r="E1842" s="8"/>
      <c r="F1842" s="8"/>
      <c r="G1842" s="8"/>
      <c r="H1842" s="8"/>
      <c r="I1842" s="10"/>
      <c r="J1842" s="10"/>
      <c r="K1842" s="18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</row>
    <row r="1843" ht="14.25" customHeight="1">
      <c r="A1843" s="9"/>
      <c r="B1843" s="8"/>
      <c r="C1843" s="8"/>
      <c r="D1843" s="8"/>
      <c r="E1843" s="8"/>
      <c r="F1843" s="8"/>
      <c r="G1843" s="8"/>
      <c r="H1843" s="8"/>
      <c r="I1843" s="10"/>
      <c r="J1843" s="10"/>
      <c r="K1843" s="18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</row>
    <row r="1844" ht="14.25" customHeight="1">
      <c r="A1844" s="9"/>
      <c r="B1844" s="8"/>
      <c r="C1844" s="8"/>
      <c r="D1844" s="8"/>
      <c r="E1844" s="8"/>
      <c r="F1844" s="8"/>
      <c r="G1844" s="8"/>
      <c r="H1844" s="8"/>
      <c r="I1844" s="10"/>
      <c r="J1844" s="10"/>
      <c r="K1844" s="18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</row>
    <row r="1845" ht="14.25" customHeight="1">
      <c r="A1845" s="9"/>
      <c r="B1845" s="8"/>
      <c r="C1845" s="8"/>
      <c r="D1845" s="8"/>
      <c r="E1845" s="8"/>
      <c r="F1845" s="8"/>
      <c r="G1845" s="8"/>
      <c r="H1845" s="8"/>
      <c r="I1845" s="10"/>
      <c r="J1845" s="10"/>
      <c r="K1845" s="18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</row>
    <row r="1846" ht="14.25" customHeight="1">
      <c r="A1846" s="9"/>
      <c r="B1846" s="8"/>
      <c r="C1846" s="8"/>
      <c r="D1846" s="8"/>
      <c r="E1846" s="8"/>
      <c r="F1846" s="8"/>
      <c r="G1846" s="8"/>
      <c r="H1846" s="8"/>
      <c r="I1846" s="10"/>
      <c r="J1846" s="10"/>
      <c r="K1846" s="18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</row>
    <row r="1847" ht="14.25" customHeight="1">
      <c r="A1847" s="9"/>
      <c r="B1847" s="8"/>
      <c r="C1847" s="8"/>
      <c r="D1847" s="8"/>
      <c r="E1847" s="8"/>
      <c r="F1847" s="8"/>
      <c r="G1847" s="8"/>
      <c r="H1847" s="8"/>
      <c r="I1847" s="10"/>
      <c r="J1847" s="10"/>
      <c r="K1847" s="18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</row>
    <row r="1848" ht="14.25" customHeight="1">
      <c r="A1848" s="9"/>
      <c r="B1848" s="8"/>
      <c r="C1848" s="8"/>
      <c r="D1848" s="8"/>
      <c r="E1848" s="8"/>
      <c r="F1848" s="8"/>
      <c r="G1848" s="8"/>
      <c r="H1848" s="8"/>
      <c r="I1848" s="10"/>
      <c r="J1848" s="10"/>
      <c r="K1848" s="18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</row>
    <row r="1849" ht="14.25" customHeight="1">
      <c r="A1849" s="9"/>
      <c r="B1849" s="8"/>
      <c r="C1849" s="8"/>
      <c r="D1849" s="8"/>
      <c r="E1849" s="8"/>
      <c r="F1849" s="8"/>
      <c r="G1849" s="8"/>
      <c r="H1849" s="8"/>
      <c r="I1849" s="10"/>
      <c r="J1849" s="10"/>
      <c r="K1849" s="18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</row>
    <row r="1850" ht="14.25" customHeight="1">
      <c r="A1850" s="9"/>
      <c r="B1850" s="8"/>
      <c r="C1850" s="8"/>
      <c r="D1850" s="8"/>
      <c r="E1850" s="8"/>
      <c r="F1850" s="8"/>
      <c r="G1850" s="8"/>
      <c r="H1850" s="8"/>
      <c r="I1850" s="10"/>
      <c r="J1850" s="10"/>
      <c r="K1850" s="18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</row>
    <row r="1851" ht="14.25" customHeight="1">
      <c r="A1851" s="9"/>
      <c r="B1851" s="8"/>
      <c r="C1851" s="8"/>
      <c r="D1851" s="8"/>
      <c r="E1851" s="8"/>
      <c r="F1851" s="8"/>
      <c r="G1851" s="8"/>
      <c r="H1851" s="8"/>
      <c r="I1851" s="10"/>
      <c r="J1851" s="10"/>
      <c r="K1851" s="18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</row>
    <row r="1852" ht="14.25" customHeight="1">
      <c r="A1852" s="9"/>
      <c r="B1852" s="8"/>
      <c r="C1852" s="8"/>
      <c r="D1852" s="8"/>
      <c r="E1852" s="8"/>
      <c r="F1852" s="8"/>
      <c r="G1852" s="8"/>
      <c r="H1852" s="8"/>
      <c r="I1852" s="10"/>
      <c r="J1852" s="10"/>
      <c r="K1852" s="18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</row>
    <row r="1853" ht="14.25" customHeight="1">
      <c r="A1853" s="9"/>
      <c r="B1853" s="8"/>
      <c r="C1853" s="8"/>
      <c r="D1853" s="8"/>
      <c r="E1853" s="8"/>
      <c r="F1853" s="8"/>
      <c r="G1853" s="8"/>
      <c r="H1853" s="8"/>
      <c r="I1853" s="10"/>
      <c r="J1853" s="10"/>
      <c r="K1853" s="18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</row>
    <row r="1854" ht="14.25" customHeight="1">
      <c r="A1854" s="9"/>
      <c r="B1854" s="8"/>
      <c r="C1854" s="8"/>
      <c r="D1854" s="8"/>
      <c r="E1854" s="8"/>
      <c r="F1854" s="8"/>
      <c r="G1854" s="8"/>
      <c r="H1854" s="8"/>
      <c r="I1854" s="10"/>
      <c r="J1854" s="10"/>
      <c r="K1854" s="18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</row>
    <row r="1855" ht="14.25" customHeight="1">
      <c r="A1855" s="9"/>
      <c r="B1855" s="8"/>
      <c r="C1855" s="8"/>
      <c r="D1855" s="8"/>
      <c r="E1855" s="8"/>
      <c r="F1855" s="8"/>
      <c r="G1855" s="8"/>
      <c r="H1855" s="8"/>
      <c r="I1855" s="10"/>
      <c r="J1855" s="10"/>
      <c r="K1855" s="18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</row>
    <row r="1856" ht="14.25" customHeight="1">
      <c r="A1856" s="9"/>
      <c r="B1856" s="8"/>
      <c r="C1856" s="8"/>
      <c r="D1856" s="8"/>
      <c r="E1856" s="8"/>
      <c r="F1856" s="8"/>
      <c r="G1856" s="8"/>
      <c r="H1856" s="8"/>
      <c r="I1856" s="10"/>
      <c r="J1856" s="10"/>
      <c r="K1856" s="18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</row>
    <row r="1857" ht="14.25" customHeight="1">
      <c r="A1857" s="9"/>
      <c r="B1857" s="8"/>
      <c r="C1857" s="8"/>
      <c r="D1857" s="8"/>
      <c r="E1857" s="8"/>
      <c r="F1857" s="8"/>
      <c r="G1857" s="8"/>
      <c r="H1857" s="8"/>
      <c r="I1857" s="10"/>
      <c r="J1857" s="10"/>
      <c r="K1857" s="18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</row>
    <row r="1858" ht="14.25" customHeight="1">
      <c r="A1858" s="9"/>
      <c r="B1858" s="8"/>
      <c r="C1858" s="8"/>
      <c r="D1858" s="8"/>
      <c r="E1858" s="8"/>
      <c r="F1858" s="8"/>
      <c r="G1858" s="8"/>
      <c r="H1858" s="8"/>
      <c r="I1858" s="10"/>
      <c r="J1858" s="10"/>
      <c r="K1858" s="18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</row>
    <row r="1859" ht="14.25" customHeight="1">
      <c r="A1859" s="9"/>
      <c r="B1859" s="8"/>
      <c r="C1859" s="8"/>
      <c r="D1859" s="8"/>
      <c r="E1859" s="8"/>
      <c r="F1859" s="8"/>
      <c r="G1859" s="8"/>
      <c r="H1859" s="8"/>
      <c r="I1859" s="10"/>
      <c r="J1859" s="10"/>
      <c r="K1859" s="18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</row>
    <row r="1860" ht="14.25" customHeight="1">
      <c r="A1860" s="9"/>
      <c r="B1860" s="8"/>
      <c r="C1860" s="8"/>
      <c r="D1860" s="8"/>
      <c r="E1860" s="8"/>
      <c r="F1860" s="8"/>
      <c r="G1860" s="8"/>
      <c r="H1860" s="8"/>
      <c r="I1860" s="10"/>
      <c r="J1860" s="10"/>
      <c r="K1860" s="18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</row>
    <row r="1861" ht="14.25" customHeight="1">
      <c r="A1861" s="9"/>
      <c r="B1861" s="8"/>
      <c r="C1861" s="8"/>
      <c r="D1861" s="8"/>
      <c r="E1861" s="8"/>
      <c r="F1861" s="8"/>
      <c r="G1861" s="8"/>
      <c r="H1861" s="8"/>
      <c r="I1861" s="10"/>
      <c r="J1861" s="10"/>
      <c r="K1861" s="18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</row>
    <row r="1862" ht="14.25" customHeight="1">
      <c r="A1862" s="9"/>
      <c r="B1862" s="8"/>
      <c r="C1862" s="8"/>
      <c r="D1862" s="8"/>
      <c r="E1862" s="8"/>
      <c r="F1862" s="8"/>
      <c r="G1862" s="8"/>
      <c r="H1862" s="8"/>
      <c r="I1862" s="10"/>
      <c r="J1862" s="10"/>
      <c r="K1862" s="18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</row>
    <row r="1863" ht="14.25" customHeight="1">
      <c r="A1863" s="9"/>
      <c r="B1863" s="8"/>
      <c r="C1863" s="8"/>
      <c r="D1863" s="8"/>
      <c r="E1863" s="8"/>
      <c r="F1863" s="8"/>
      <c r="G1863" s="8"/>
      <c r="H1863" s="8"/>
      <c r="I1863" s="10"/>
      <c r="J1863" s="10"/>
      <c r="K1863" s="18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</row>
    <row r="1864" ht="14.25" customHeight="1">
      <c r="A1864" s="9"/>
      <c r="B1864" s="8"/>
      <c r="C1864" s="8"/>
      <c r="D1864" s="8"/>
      <c r="E1864" s="8"/>
      <c r="F1864" s="8"/>
      <c r="G1864" s="8"/>
      <c r="H1864" s="8"/>
      <c r="I1864" s="10"/>
      <c r="J1864" s="10"/>
      <c r="K1864" s="18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</row>
    <row r="1865" ht="14.25" customHeight="1">
      <c r="A1865" s="9"/>
      <c r="B1865" s="8"/>
      <c r="C1865" s="8"/>
      <c r="D1865" s="8"/>
      <c r="E1865" s="8"/>
      <c r="F1865" s="8"/>
      <c r="G1865" s="8"/>
      <c r="H1865" s="8"/>
      <c r="I1865" s="10"/>
      <c r="J1865" s="10"/>
      <c r="K1865" s="18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</row>
    <row r="1866" ht="14.25" customHeight="1">
      <c r="A1866" s="9"/>
      <c r="B1866" s="8"/>
      <c r="C1866" s="8"/>
      <c r="D1866" s="8"/>
      <c r="E1866" s="8"/>
      <c r="F1866" s="8"/>
      <c r="G1866" s="8"/>
      <c r="H1866" s="8"/>
      <c r="I1866" s="10"/>
      <c r="J1866" s="10"/>
      <c r="K1866" s="18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</row>
    <row r="1867" ht="14.25" customHeight="1">
      <c r="A1867" s="9"/>
      <c r="B1867" s="8"/>
      <c r="C1867" s="8"/>
      <c r="D1867" s="8"/>
      <c r="E1867" s="8"/>
      <c r="F1867" s="8"/>
      <c r="G1867" s="8"/>
      <c r="H1867" s="8"/>
      <c r="I1867" s="10"/>
      <c r="J1867" s="10"/>
      <c r="K1867" s="18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</row>
    <row r="1868" ht="14.25" customHeight="1">
      <c r="A1868" s="9"/>
      <c r="B1868" s="8"/>
      <c r="C1868" s="8"/>
      <c r="D1868" s="8"/>
      <c r="E1868" s="8"/>
      <c r="F1868" s="8"/>
      <c r="G1868" s="8"/>
      <c r="H1868" s="8"/>
      <c r="I1868" s="10"/>
      <c r="J1868" s="10"/>
      <c r="K1868" s="18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</row>
    <row r="1869" ht="14.25" customHeight="1">
      <c r="A1869" s="9"/>
      <c r="B1869" s="8"/>
      <c r="C1869" s="8"/>
      <c r="D1869" s="8"/>
      <c r="E1869" s="8"/>
      <c r="F1869" s="8"/>
      <c r="G1869" s="8"/>
      <c r="H1869" s="8"/>
      <c r="I1869" s="10"/>
      <c r="J1869" s="10"/>
      <c r="K1869" s="18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</row>
    <row r="1870" ht="14.25" customHeight="1">
      <c r="A1870" s="9"/>
      <c r="B1870" s="8"/>
      <c r="C1870" s="8"/>
      <c r="D1870" s="8"/>
      <c r="E1870" s="8"/>
      <c r="F1870" s="8"/>
      <c r="G1870" s="8"/>
      <c r="H1870" s="8"/>
      <c r="I1870" s="10"/>
      <c r="J1870" s="10"/>
      <c r="K1870" s="18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</row>
    <row r="1871" ht="14.25" customHeight="1">
      <c r="A1871" s="9"/>
      <c r="B1871" s="8"/>
      <c r="C1871" s="8"/>
      <c r="D1871" s="8"/>
      <c r="E1871" s="8"/>
      <c r="F1871" s="8"/>
      <c r="G1871" s="8"/>
      <c r="H1871" s="8"/>
      <c r="I1871" s="10"/>
      <c r="J1871" s="10"/>
      <c r="K1871" s="18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</row>
    <row r="1872" ht="14.25" customHeight="1">
      <c r="A1872" s="9"/>
      <c r="B1872" s="8"/>
      <c r="C1872" s="8"/>
      <c r="D1872" s="8"/>
      <c r="E1872" s="8"/>
      <c r="F1872" s="8"/>
      <c r="G1872" s="8"/>
      <c r="H1872" s="8"/>
      <c r="I1872" s="10"/>
      <c r="J1872" s="10"/>
      <c r="K1872" s="18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</row>
    <row r="1873" ht="14.25" customHeight="1">
      <c r="A1873" s="9"/>
      <c r="B1873" s="8"/>
      <c r="C1873" s="8"/>
      <c r="D1873" s="8"/>
      <c r="E1873" s="8"/>
      <c r="F1873" s="8"/>
      <c r="G1873" s="8"/>
      <c r="H1873" s="8"/>
      <c r="I1873" s="10"/>
      <c r="J1873" s="10"/>
      <c r="K1873" s="18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</row>
    <row r="1874" ht="14.25" customHeight="1">
      <c r="A1874" s="9"/>
      <c r="B1874" s="8"/>
      <c r="C1874" s="8"/>
      <c r="D1874" s="8"/>
      <c r="E1874" s="8"/>
      <c r="F1874" s="8"/>
      <c r="G1874" s="8"/>
      <c r="H1874" s="8"/>
      <c r="I1874" s="10"/>
      <c r="J1874" s="10"/>
      <c r="K1874" s="18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</row>
    <row r="1875" ht="14.25" customHeight="1">
      <c r="A1875" s="9"/>
      <c r="B1875" s="8"/>
      <c r="C1875" s="8"/>
      <c r="D1875" s="8"/>
      <c r="E1875" s="8"/>
      <c r="F1875" s="8"/>
      <c r="G1875" s="8"/>
      <c r="H1875" s="8"/>
      <c r="I1875" s="10"/>
      <c r="J1875" s="10"/>
      <c r="K1875" s="18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</row>
    <row r="1876" ht="14.25" customHeight="1">
      <c r="A1876" s="9"/>
      <c r="B1876" s="8"/>
      <c r="C1876" s="8"/>
      <c r="D1876" s="8"/>
      <c r="E1876" s="8"/>
      <c r="F1876" s="8"/>
      <c r="G1876" s="8"/>
      <c r="H1876" s="8"/>
      <c r="I1876" s="10"/>
      <c r="J1876" s="10"/>
      <c r="K1876" s="18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</row>
    <row r="1877" ht="14.25" customHeight="1">
      <c r="A1877" s="9"/>
      <c r="B1877" s="8"/>
      <c r="C1877" s="8"/>
      <c r="D1877" s="8"/>
      <c r="E1877" s="8"/>
      <c r="F1877" s="8"/>
      <c r="G1877" s="8"/>
      <c r="H1877" s="8"/>
      <c r="I1877" s="10"/>
      <c r="J1877" s="10"/>
      <c r="K1877" s="18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</row>
    <row r="1878" ht="14.25" customHeight="1">
      <c r="A1878" s="9"/>
      <c r="B1878" s="8"/>
      <c r="C1878" s="8"/>
      <c r="D1878" s="8"/>
      <c r="E1878" s="8"/>
      <c r="F1878" s="8"/>
      <c r="G1878" s="8"/>
      <c r="H1878" s="8"/>
      <c r="I1878" s="10"/>
      <c r="J1878" s="10"/>
      <c r="K1878" s="18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</row>
    <row r="1879" ht="14.25" customHeight="1">
      <c r="A1879" s="9"/>
      <c r="B1879" s="8"/>
      <c r="C1879" s="8"/>
      <c r="D1879" s="8"/>
      <c r="E1879" s="8"/>
      <c r="F1879" s="8"/>
      <c r="G1879" s="8"/>
      <c r="H1879" s="8"/>
      <c r="I1879" s="10"/>
      <c r="J1879" s="10"/>
      <c r="K1879" s="18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</row>
    <row r="1880" ht="14.25" customHeight="1">
      <c r="A1880" s="9"/>
      <c r="B1880" s="8"/>
      <c r="C1880" s="8"/>
      <c r="D1880" s="8"/>
      <c r="E1880" s="8"/>
      <c r="F1880" s="8"/>
      <c r="G1880" s="8"/>
      <c r="H1880" s="8"/>
      <c r="I1880" s="10"/>
      <c r="J1880" s="10"/>
      <c r="K1880" s="18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</row>
    <row r="1881" ht="14.25" customHeight="1">
      <c r="A1881" s="9"/>
      <c r="B1881" s="8"/>
      <c r="C1881" s="8"/>
      <c r="D1881" s="8"/>
      <c r="E1881" s="8"/>
      <c r="F1881" s="8"/>
      <c r="G1881" s="8"/>
      <c r="H1881" s="8"/>
      <c r="I1881" s="10"/>
      <c r="J1881" s="10"/>
      <c r="K1881" s="18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</row>
    <row r="1882" ht="14.25" customHeight="1">
      <c r="A1882" s="9"/>
      <c r="B1882" s="8"/>
      <c r="C1882" s="8"/>
      <c r="D1882" s="8"/>
      <c r="E1882" s="8"/>
      <c r="F1882" s="8"/>
      <c r="G1882" s="8"/>
      <c r="H1882" s="8"/>
      <c r="I1882" s="10"/>
      <c r="J1882" s="10"/>
      <c r="K1882" s="18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</row>
    <row r="1883" ht="14.25" customHeight="1">
      <c r="A1883" s="9"/>
      <c r="B1883" s="8"/>
      <c r="C1883" s="8"/>
      <c r="D1883" s="8"/>
      <c r="E1883" s="8"/>
      <c r="F1883" s="8"/>
      <c r="G1883" s="8"/>
      <c r="H1883" s="8"/>
      <c r="I1883" s="10"/>
      <c r="J1883" s="10"/>
      <c r="K1883" s="18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</row>
    <row r="1884" ht="14.25" customHeight="1">
      <c r="A1884" s="9"/>
      <c r="B1884" s="8"/>
      <c r="C1884" s="8"/>
      <c r="D1884" s="8"/>
      <c r="E1884" s="8"/>
      <c r="F1884" s="8"/>
      <c r="G1884" s="8"/>
      <c r="H1884" s="8"/>
      <c r="I1884" s="10"/>
      <c r="J1884" s="10"/>
      <c r="K1884" s="18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</row>
    <row r="1885" ht="14.25" customHeight="1">
      <c r="A1885" s="9"/>
      <c r="B1885" s="8"/>
      <c r="C1885" s="8"/>
      <c r="D1885" s="8"/>
      <c r="E1885" s="8"/>
      <c r="F1885" s="8"/>
      <c r="G1885" s="8"/>
      <c r="H1885" s="8"/>
      <c r="I1885" s="10"/>
      <c r="J1885" s="10"/>
      <c r="K1885" s="18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</row>
    <row r="1886" ht="14.25" customHeight="1">
      <c r="A1886" s="9"/>
      <c r="B1886" s="8"/>
      <c r="C1886" s="8"/>
      <c r="D1886" s="8"/>
      <c r="E1886" s="8"/>
      <c r="F1886" s="8"/>
      <c r="G1886" s="8"/>
      <c r="H1886" s="8"/>
      <c r="I1886" s="10"/>
      <c r="J1886" s="10"/>
      <c r="K1886" s="18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</row>
    <row r="1887" ht="14.25" customHeight="1">
      <c r="A1887" s="9"/>
      <c r="B1887" s="8"/>
      <c r="C1887" s="8"/>
      <c r="D1887" s="8"/>
      <c r="E1887" s="8"/>
      <c r="F1887" s="8"/>
      <c r="G1887" s="8"/>
      <c r="H1887" s="8"/>
      <c r="I1887" s="10"/>
      <c r="J1887" s="10"/>
      <c r="K1887" s="18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</row>
    <row r="1888" ht="14.25" customHeight="1">
      <c r="A1888" s="9"/>
      <c r="B1888" s="8"/>
      <c r="C1888" s="8"/>
      <c r="D1888" s="8"/>
      <c r="E1888" s="8"/>
      <c r="F1888" s="8"/>
      <c r="G1888" s="8"/>
      <c r="H1888" s="8"/>
      <c r="I1888" s="10"/>
      <c r="J1888" s="10"/>
      <c r="K1888" s="18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</row>
    <row r="1889" ht="14.25" customHeight="1">
      <c r="A1889" s="9"/>
      <c r="B1889" s="8"/>
      <c r="C1889" s="8"/>
      <c r="D1889" s="8"/>
      <c r="E1889" s="8"/>
      <c r="F1889" s="8"/>
      <c r="G1889" s="8"/>
      <c r="H1889" s="8"/>
      <c r="I1889" s="10"/>
      <c r="J1889" s="10"/>
      <c r="K1889" s="18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</row>
    <row r="1890" ht="14.25" customHeight="1">
      <c r="A1890" s="9"/>
      <c r="B1890" s="8"/>
      <c r="C1890" s="8"/>
      <c r="D1890" s="8"/>
      <c r="E1890" s="8"/>
      <c r="F1890" s="8"/>
      <c r="G1890" s="8"/>
      <c r="H1890" s="8"/>
      <c r="I1890" s="10"/>
      <c r="J1890" s="10"/>
      <c r="K1890" s="18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</row>
    <row r="1891" ht="14.25" customHeight="1">
      <c r="A1891" s="9"/>
      <c r="B1891" s="8"/>
      <c r="C1891" s="8"/>
      <c r="D1891" s="8"/>
      <c r="E1891" s="8"/>
      <c r="F1891" s="8"/>
      <c r="G1891" s="8"/>
      <c r="H1891" s="8"/>
      <c r="I1891" s="10"/>
      <c r="J1891" s="10"/>
      <c r="K1891" s="18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</row>
    <row r="1892" ht="14.25" customHeight="1">
      <c r="A1892" s="9"/>
      <c r="B1892" s="8"/>
      <c r="C1892" s="8"/>
      <c r="D1892" s="8"/>
      <c r="E1892" s="8"/>
      <c r="F1892" s="8"/>
      <c r="G1892" s="8"/>
      <c r="H1892" s="8"/>
      <c r="I1892" s="10"/>
      <c r="J1892" s="10"/>
      <c r="K1892" s="18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</row>
    <row r="1893" ht="14.25" customHeight="1">
      <c r="A1893" s="9"/>
      <c r="B1893" s="8"/>
      <c r="C1893" s="8"/>
      <c r="D1893" s="8"/>
      <c r="E1893" s="8"/>
      <c r="F1893" s="8"/>
      <c r="G1893" s="8"/>
      <c r="H1893" s="8"/>
      <c r="I1893" s="10"/>
      <c r="J1893" s="10"/>
      <c r="K1893" s="18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</row>
    <row r="1894" ht="14.25" customHeight="1">
      <c r="A1894" s="9"/>
      <c r="B1894" s="8"/>
      <c r="C1894" s="8"/>
      <c r="D1894" s="8"/>
      <c r="E1894" s="8"/>
      <c r="F1894" s="8"/>
      <c r="G1894" s="8"/>
      <c r="H1894" s="8"/>
      <c r="I1894" s="10"/>
      <c r="J1894" s="10"/>
      <c r="K1894" s="18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</row>
    <row r="1895" ht="14.25" customHeight="1">
      <c r="A1895" s="9"/>
      <c r="B1895" s="8"/>
      <c r="C1895" s="8"/>
      <c r="D1895" s="8"/>
      <c r="E1895" s="8"/>
      <c r="F1895" s="8"/>
      <c r="G1895" s="8"/>
      <c r="H1895" s="8"/>
      <c r="I1895" s="10"/>
      <c r="J1895" s="10"/>
      <c r="K1895" s="18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</row>
    <row r="1896" ht="14.25" customHeight="1">
      <c r="A1896" s="9"/>
      <c r="B1896" s="8"/>
      <c r="C1896" s="8"/>
      <c r="D1896" s="8"/>
      <c r="E1896" s="8"/>
      <c r="F1896" s="8"/>
      <c r="G1896" s="8"/>
      <c r="H1896" s="8"/>
      <c r="I1896" s="10"/>
      <c r="J1896" s="10"/>
      <c r="K1896" s="18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</row>
    <row r="1897" ht="14.25" customHeight="1">
      <c r="A1897" s="9"/>
      <c r="B1897" s="8"/>
      <c r="C1897" s="8"/>
      <c r="D1897" s="8"/>
      <c r="E1897" s="8"/>
      <c r="F1897" s="8"/>
      <c r="G1897" s="8"/>
      <c r="H1897" s="8"/>
      <c r="I1897" s="10"/>
      <c r="J1897" s="10"/>
      <c r="K1897" s="18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</row>
    <row r="1898" ht="14.25" customHeight="1">
      <c r="A1898" s="9"/>
      <c r="B1898" s="8"/>
      <c r="C1898" s="8"/>
      <c r="D1898" s="8"/>
      <c r="E1898" s="8"/>
      <c r="F1898" s="8"/>
      <c r="G1898" s="8"/>
      <c r="H1898" s="8"/>
      <c r="I1898" s="10"/>
      <c r="J1898" s="10"/>
      <c r="K1898" s="18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</row>
    <row r="1899" ht="14.25" customHeight="1">
      <c r="A1899" s="9"/>
      <c r="B1899" s="8"/>
      <c r="C1899" s="8"/>
      <c r="D1899" s="8"/>
      <c r="E1899" s="8"/>
      <c r="F1899" s="8"/>
      <c r="G1899" s="8"/>
      <c r="H1899" s="8"/>
      <c r="I1899" s="10"/>
      <c r="J1899" s="10"/>
      <c r="K1899" s="18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</row>
    <row r="1900" ht="14.25" customHeight="1">
      <c r="A1900" s="9"/>
      <c r="B1900" s="8"/>
      <c r="C1900" s="8"/>
      <c r="D1900" s="8"/>
      <c r="E1900" s="8"/>
      <c r="F1900" s="8"/>
      <c r="G1900" s="8"/>
      <c r="H1900" s="8"/>
      <c r="I1900" s="10"/>
      <c r="J1900" s="10"/>
      <c r="K1900" s="18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</row>
    <row r="1901" ht="14.25" customHeight="1">
      <c r="A1901" s="9"/>
      <c r="B1901" s="8"/>
      <c r="C1901" s="8"/>
      <c r="D1901" s="8"/>
      <c r="E1901" s="8"/>
      <c r="F1901" s="8"/>
      <c r="G1901" s="8"/>
      <c r="H1901" s="8"/>
      <c r="I1901" s="10"/>
      <c r="J1901" s="10"/>
      <c r="K1901" s="18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</row>
    <row r="1902" ht="14.25" customHeight="1">
      <c r="A1902" s="9"/>
      <c r="B1902" s="8"/>
      <c r="C1902" s="8"/>
      <c r="D1902" s="8"/>
      <c r="E1902" s="8"/>
      <c r="F1902" s="8"/>
      <c r="G1902" s="8"/>
      <c r="H1902" s="8"/>
      <c r="I1902" s="10"/>
      <c r="J1902" s="10"/>
      <c r="K1902" s="18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</row>
    <row r="1903" ht="14.25" customHeight="1">
      <c r="A1903" s="9"/>
      <c r="B1903" s="8"/>
      <c r="C1903" s="8"/>
      <c r="D1903" s="8"/>
      <c r="E1903" s="8"/>
      <c r="F1903" s="8"/>
      <c r="G1903" s="8"/>
      <c r="H1903" s="8"/>
      <c r="I1903" s="10"/>
      <c r="J1903" s="10"/>
      <c r="K1903" s="18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</row>
    <row r="1904" ht="14.25" customHeight="1">
      <c r="A1904" s="9"/>
      <c r="B1904" s="8"/>
      <c r="C1904" s="8"/>
      <c r="D1904" s="8"/>
      <c r="E1904" s="8"/>
      <c r="F1904" s="8"/>
      <c r="G1904" s="8"/>
      <c r="H1904" s="8"/>
      <c r="I1904" s="10"/>
      <c r="J1904" s="10"/>
      <c r="K1904" s="18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</row>
    <row r="1905" ht="14.25" customHeight="1">
      <c r="A1905" s="9"/>
      <c r="B1905" s="8"/>
      <c r="C1905" s="8"/>
      <c r="D1905" s="8"/>
      <c r="E1905" s="8"/>
      <c r="F1905" s="8"/>
      <c r="G1905" s="8"/>
      <c r="H1905" s="8"/>
      <c r="I1905" s="10"/>
      <c r="J1905" s="10"/>
      <c r="K1905" s="18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</row>
    <row r="1906" ht="14.25" customHeight="1">
      <c r="A1906" s="9"/>
      <c r="B1906" s="8"/>
      <c r="C1906" s="8"/>
      <c r="D1906" s="8"/>
      <c r="E1906" s="8"/>
      <c r="F1906" s="8"/>
      <c r="G1906" s="8"/>
      <c r="H1906" s="8"/>
      <c r="I1906" s="10"/>
      <c r="J1906" s="10"/>
      <c r="K1906" s="18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</row>
    <row r="1907" ht="14.25" customHeight="1">
      <c r="A1907" s="9"/>
      <c r="B1907" s="8"/>
      <c r="C1907" s="8"/>
      <c r="D1907" s="8"/>
      <c r="E1907" s="8"/>
      <c r="F1907" s="8"/>
      <c r="G1907" s="8"/>
      <c r="H1907" s="8"/>
      <c r="I1907" s="10"/>
      <c r="J1907" s="10"/>
      <c r="K1907" s="18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</row>
    <row r="1908" ht="14.25" customHeight="1">
      <c r="A1908" s="9"/>
      <c r="B1908" s="8"/>
      <c r="C1908" s="8"/>
      <c r="D1908" s="8"/>
      <c r="E1908" s="8"/>
      <c r="F1908" s="8"/>
      <c r="G1908" s="8"/>
      <c r="H1908" s="8"/>
      <c r="I1908" s="10"/>
      <c r="J1908" s="10"/>
      <c r="K1908" s="18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</row>
    <row r="1909" ht="14.25" customHeight="1">
      <c r="A1909" s="9"/>
      <c r="B1909" s="8"/>
      <c r="C1909" s="8"/>
      <c r="D1909" s="8"/>
      <c r="E1909" s="8"/>
      <c r="F1909" s="8"/>
      <c r="G1909" s="8"/>
      <c r="H1909" s="8"/>
      <c r="I1909" s="10"/>
      <c r="J1909" s="10"/>
      <c r="K1909" s="18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</row>
    <row r="1910" ht="14.25" customHeight="1">
      <c r="A1910" s="9"/>
      <c r="B1910" s="8"/>
      <c r="C1910" s="8"/>
      <c r="D1910" s="8"/>
      <c r="E1910" s="8"/>
      <c r="F1910" s="8"/>
      <c r="G1910" s="8"/>
      <c r="H1910" s="8"/>
      <c r="I1910" s="10"/>
      <c r="J1910" s="10"/>
      <c r="K1910" s="18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</row>
    <row r="1911" ht="14.25" customHeight="1">
      <c r="A1911" s="9"/>
      <c r="B1911" s="8"/>
      <c r="C1911" s="8"/>
      <c r="D1911" s="8"/>
      <c r="E1911" s="8"/>
      <c r="F1911" s="8"/>
      <c r="G1911" s="8"/>
      <c r="H1911" s="8"/>
      <c r="I1911" s="10"/>
      <c r="J1911" s="10"/>
      <c r="K1911" s="18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</row>
    <row r="1912" ht="14.25" customHeight="1">
      <c r="A1912" s="9"/>
      <c r="B1912" s="8"/>
      <c r="C1912" s="8"/>
      <c r="D1912" s="8"/>
      <c r="E1912" s="8"/>
      <c r="F1912" s="8"/>
      <c r="G1912" s="8"/>
      <c r="H1912" s="8"/>
      <c r="I1912" s="10"/>
      <c r="J1912" s="10"/>
      <c r="K1912" s="18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</row>
    <row r="1913" ht="14.25" customHeight="1">
      <c r="A1913" s="9"/>
      <c r="B1913" s="8"/>
      <c r="C1913" s="8"/>
      <c r="D1913" s="8"/>
      <c r="E1913" s="8"/>
      <c r="F1913" s="8"/>
      <c r="G1913" s="8"/>
      <c r="H1913" s="8"/>
      <c r="I1913" s="10"/>
      <c r="J1913" s="10"/>
      <c r="K1913" s="18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</row>
    <row r="1914" ht="14.25" customHeight="1">
      <c r="A1914" s="9"/>
      <c r="B1914" s="8"/>
      <c r="C1914" s="8"/>
      <c r="D1914" s="8"/>
      <c r="E1914" s="8"/>
      <c r="F1914" s="8"/>
      <c r="G1914" s="8"/>
      <c r="H1914" s="8"/>
      <c r="I1914" s="10"/>
      <c r="J1914" s="10"/>
      <c r="K1914" s="18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</row>
    <row r="1915" ht="14.25" customHeight="1">
      <c r="A1915" s="9"/>
      <c r="B1915" s="8"/>
      <c r="C1915" s="8"/>
      <c r="D1915" s="8"/>
      <c r="E1915" s="8"/>
      <c r="F1915" s="8"/>
      <c r="G1915" s="8"/>
      <c r="H1915" s="8"/>
      <c r="I1915" s="10"/>
      <c r="J1915" s="10"/>
      <c r="K1915" s="18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</row>
    <row r="1916" ht="14.25" customHeight="1">
      <c r="A1916" s="9"/>
      <c r="B1916" s="8"/>
      <c r="C1916" s="8"/>
      <c r="D1916" s="8"/>
      <c r="E1916" s="8"/>
      <c r="F1916" s="8"/>
      <c r="G1916" s="8"/>
      <c r="H1916" s="8"/>
      <c r="I1916" s="10"/>
      <c r="J1916" s="10"/>
      <c r="K1916" s="18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</row>
    <row r="1917" ht="14.25" customHeight="1">
      <c r="A1917" s="9"/>
      <c r="B1917" s="8"/>
      <c r="C1917" s="8"/>
      <c r="D1917" s="8"/>
      <c r="E1917" s="8"/>
      <c r="F1917" s="8"/>
      <c r="G1917" s="8"/>
      <c r="H1917" s="8"/>
      <c r="I1917" s="10"/>
      <c r="J1917" s="10"/>
      <c r="K1917" s="18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</row>
    <row r="1918" ht="14.25" customHeight="1">
      <c r="A1918" s="9"/>
      <c r="B1918" s="8"/>
      <c r="C1918" s="8"/>
      <c r="D1918" s="8"/>
      <c r="E1918" s="8"/>
      <c r="F1918" s="8"/>
      <c r="G1918" s="8"/>
      <c r="H1918" s="8"/>
      <c r="I1918" s="10"/>
      <c r="J1918" s="10"/>
      <c r="K1918" s="18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</row>
    <row r="1919" ht="14.25" customHeight="1">
      <c r="A1919" s="9"/>
      <c r="B1919" s="8"/>
      <c r="C1919" s="8"/>
      <c r="D1919" s="8"/>
      <c r="E1919" s="8"/>
      <c r="F1919" s="8"/>
      <c r="G1919" s="8"/>
      <c r="H1919" s="8"/>
      <c r="I1919" s="10"/>
      <c r="J1919" s="10"/>
      <c r="K1919" s="18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</row>
    <row r="1920" ht="14.25" customHeight="1">
      <c r="A1920" s="9"/>
      <c r="B1920" s="8"/>
      <c r="C1920" s="8"/>
      <c r="D1920" s="8"/>
      <c r="E1920" s="8"/>
      <c r="F1920" s="8"/>
      <c r="G1920" s="8"/>
      <c r="H1920" s="8"/>
      <c r="I1920" s="10"/>
      <c r="J1920" s="10"/>
      <c r="K1920" s="18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</row>
    <row r="1921" ht="14.25" customHeight="1">
      <c r="A1921" s="9"/>
      <c r="B1921" s="8"/>
      <c r="C1921" s="8"/>
      <c r="D1921" s="8"/>
      <c r="E1921" s="8"/>
      <c r="F1921" s="8"/>
      <c r="G1921" s="8"/>
      <c r="H1921" s="8"/>
      <c r="I1921" s="10"/>
      <c r="J1921" s="10"/>
      <c r="K1921" s="18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</row>
    <row r="1922" ht="14.25" customHeight="1">
      <c r="A1922" s="9"/>
      <c r="B1922" s="8"/>
      <c r="C1922" s="8"/>
      <c r="D1922" s="8"/>
      <c r="E1922" s="8"/>
      <c r="F1922" s="8"/>
      <c r="G1922" s="8"/>
      <c r="H1922" s="8"/>
      <c r="I1922" s="10"/>
      <c r="J1922" s="10"/>
      <c r="K1922" s="18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</row>
    <row r="1923" ht="14.25" customHeight="1">
      <c r="A1923" s="9"/>
      <c r="B1923" s="8"/>
      <c r="C1923" s="8"/>
      <c r="D1923" s="8"/>
      <c r="E1923" s="8"/>
      <c r="F1923" s="8"/>
      <c r="G1923" s="8"/>
      <c r="H1923" s="8"/>
      <c r="I1923" s="10"/>
      <c r="J1923" s="10"/>
      <c r="K1923" s="18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</row>
    <row r="1924" ht="14.25" customHeight="1">
      <c r="A1924" s="9"/>
      <c r="B1924" s="8"/>
      <c r="C1924" s="8"/>
      <c r="D1924" s="8"/>
      <c r="E1924" s="8"/>
      <c r="F1924" s="8"/>
      <c r="G1924" s="8"/>
      <c r="H1924" s="8"/>
      <c r="I1924" s="10"/>
      <c r="J1924" s="10"/>
      <c r="K1924" s="18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</row>
    <row r="1925" ht="14.25" customHeight="1">
      <c r="A1925" s="9"/>
      <c r="B1925" s="8"/>
      <c r="C1925" s="8"/>
      <c r="D1925" s="8"/>
      <c r="E1925" s="8"/>
      <c r="F1925" s="8"/>
      <c r="G1925" s="8"/>
      <c r="H1925" s="8"/>
      <c r="I1925" s="10"/>
      <c r="J1925" s="10"/>
      <c r="K1925" s="18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</row>
    <row r="1926" ht="14.25" customHeight="1">
      <c r="A1926" s="9"/>
      <c r="B1926" s="8"/>
      <c r="C1926" s="8"/>
      <c r="D1926" s="8"/>
      <c r="E1926" s="8"/>
      <c r="F1926" s="8"/>
      <c r="G1926" s="8"/>
      <c r="H1926" s="8"/>
      <c r="I1926" s="10"/>
      <c r="J1926" s="10"/>
      <c r="K1926" s="18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</row>
    <row r="1927" ht="14.25" customHeight="1">
      <c r="A1927" s="9"/>
      <c r="B1927" s="8"/>
      <c r="C1927" s="8"/>
      <c r="D1927" s="8"/>
      <c r="E1927" s="8"/>
      <c r="F1927" s="8"/>
      <c r="G1927" s="8"/>
      <c r="H1927" s="8"/>
      <c r="I1927" s="10"/>
      <c r="J1927" s="10"/>
      <c r="K1927" s="18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</row>
    <row r="1928" ht="14.25" customHeight="1">
      <c r="A1928" s="9"/>
      <c r="B1928" s="8"/>
      <c r="C1928" s="8"/>
      <c r="D1928" s="8"/>
      <c r="E1928" s="8"/>
      <c r="F1928" s="8"/>
      <c r="G1928" s="8"/>
      <c r="H1928" s="8"/>
      <c r="I1928" s="10"/>
      <c r="J1928" s="10"/>
      <c r="K1928" s="18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</row>
    <row r="1929" ht="14.25" customHeight="1">
      <c r="A1929" s="9"/>
      <c r="B1929" s="8"/>
      <c r="C1929" s="8"/>
      <c r="D1929" s="8"/>
      <c r="E1929" s="8"/>
      <c r="F1929" s="8"/>
      <c r="G1929" s="8"/>
      <c r="H1929" s="8"/>
      <c r="I1929" s="10"/>
      <c r="J1929" s="10"/>
      <c r="K1929" s="18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</row>
    <row r="1930" ht="14.25" customHeight="1">
      <c r="A1930" s="9"/>
      <c r="B1930" s="8"/>
      <c r="C1930" s="8"/>
      <c r="D1930" s="8"/>
      <c r="E1930" s="8"/>
      <c r="F1930" s="8"/>
      <c r="G1930" s="8"/>
      <c r="H1930" s="8"/>
      <c r="I1930" s="10"/>
      <c r="J1930" s="10"/>
      <c r="K1930" s="18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</row>
    <row r="1931" ht="14.25" customHeight="1">
      <c r="A1931" s="9"/>
      <c r="B1931" s="8"/>
      <c r="C1931" s="8"/>
      <c r="D1931" s="8"/>
      <c r="E1931" s="8"/>
      <c r="F1931" s="8"/>
      <c r="G1931" s="8"/>
      <c r="H1931" s="8"/>
      <c r="I1931" s="10"/>
      <c r="J1931" s="10"/>
      <c r="K1931" s="18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</row>
    <row r="1932" ht="14.25" customHeight="1">
      <c r="A1932" s="9"/>
      <c r="B1932" s="8"/>
      <c r="C1932" s="8"/>
      <c r="D1932" s="8"/>
      <c r="E1932" s="8"/>
      <c r="F1932" s="8"/>
      <c r="G1932" s="8"/>
      <c r="H1932" s="8"/>
      <c r="I1932" s="10"/>
      <c r="J1932" s="10"/>
      <c r="K1932" s="18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</row>
    <row r="1933" ht="14.25" customHeight="1">
      <c r="A1933" s="9"/>
      <c r="B1933" s="8"/>
      <c r="C1933" s="8"/>
      <c r="D1933" s="8"/>
      <c r="E1933" s="8"/>
      <c r="F1933" s="8"/>
      <c r="G1933" s="8"/>
      <c r="H1933" s="8"/>
      <c r="I1933" s="10"/>
      <c r="J1933" s="10"/>
      <c r="K1933" s="18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</row>
    <row r="1934" ht="14.25" customHeight="1">
      <c r="A1934" s="9"/>
      <c r="B1934" s="8"/>
      <c r="C1934" s="8"/>
      <c r="D1934" s="8"/>
      <c r="E1934" s="8"/>
      <c r="F1934" s="8"/>
      <c r="G1934" s="8"/>
      <c r="H1934" s="8"/>
      <c r="I1934" s="10"/>
      <c r="J1934" s="10"/>
      <c r="K1934" s="18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</row>
    <row r="1935" ht="14.25" customHeight="1">
      <c r="A1935" s="9"/>
      <c r="B1935" s="8"/>
      <c r="C1935" s="8"/>
      <c r="D1935" s="8"/>
      <c r="E1935" s="8"/>
      <c r="F1935" s="8"/>
      <c r="G1935" s="8"/>
      <c r="H1935" s="8"/>
      <c r="I1935" s="10"/>
      <c r="J1935" s="10"/>
      <c r="K1935" s="18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</row>
    <row r="1936" ht="14.25" customHeight="1">
      <c r="A1936" s="9"/>
      <c r="B1936" s="8"/>
      <c r="C1936" s="8"/>
      <c r="D1936" s="8"/>
      <c r="E1936" s="8"/>
      <c r="F1936" s="8"/>
      <c r="G1936" s="8"/>
      <c r="H1936" s="8"/>
      <c r="I1936" s="10"/>
      <c r="J1936" s="10"/>
      <c r="K1936" s="18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</row>
    <row r="1937" ht="14.25" customHeight="1">
      <c r="A1937" s="9"/>
      <c r="B1937" s="8"/>
      <c r="C1937" s="8"/>
      <c r="D1937" s="8"/>
      <c r="E1937" s="8"/>
      <c r="F1937" s="8"/>
      <c r="G1937" s="8"/>
      <c r="H1937" s="8"/>
      <c r="I1937" s="10"/>
      <c r="J1937" s="10"/>
      <c r="K1937" s="18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</row>
    <row r="1938" ht="14.25" customHeight="1">
      <c r="A1938" s="9"/>
      <c r="B1938" s="8"/>
      <c r="C1938" s="8"/>
      <c r="D1938" s="8"/>
      <c r="E1938" s="8"/>
      <c r="F1938" s="8"/>
      <c r="G1938" s="8"/>
      <c r="H1938" s="8"/>
      <c r="I1938" s="10"/>
      <c r="J1938" s="10"/>
      <c r="K1938" s="18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</row>
    <row r="1939" ht="14.25" customHeight="1">
      <c r="A1939" s="9"/>
      <c r="B1939" s="8"/>
      <c r="C1939" s="8"/>
      <c r="D1939" s="8"/>
      <c r="E1939" s="8"/>
      <c r="F1939" s="8"/>
      <c r="G1939" s="8"/>
      <c r="H1939" s="8"/>
      <c r="I1939" s="10"/>
      <c r="J1939" s="10"/>
      <c r="K1939" s="18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</row>
    <row r="1940" ht="14.25" customHeight="1">
      <c r="A1940" s="9"/>
      <c r="B1940" s="8"/>
      <c r="C1940" s="8"/>
      <c r="D1940" s="8"/>
      <c r="E1940" s="8"/>
      <c r="F1940" s="8"/>
      <c r="G1940" s="8"/>
      <c r="H1940" s="8"/>
      <c r="I1940" s="10"/>
      <c r="J1940" s="10"/>
      <c r="K1940" s="18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</row>
    <row r="1941" ht="14.25" customHeight="1">
      <c r="A1941" s="9"/>
      <c r="B1941" s="8"/>
      <c r="C1941" s="8"/>
      <c r="D1941" s="8"/>
      <c r="E1941" s="8"/>
      <c r="F1941" s="8"/>
      <c r="G1941" s="8"/>
      <c r="H1941" s="8"/>
      <c r="I1941" s="10"/>
      <c r="J1941" s="10"/>
      <c r="K1941" s="18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</row>
    <row r="1942" ht="14.25" customHeight="1">
      <c r="A1942" s="9"/>
      <c r="B1942" s="8"/>
      <c r="C1942" s="8"/>
      <c r="D1942" s="8"/>
      <c r="E1942" s="8"/>
      <c r="F1942" s="8"/>
      <c r="G1942" s="8"/>
      <c r="H1942" s="8"/>
      <c r="I1942" s="10"/>
      <c r="J1942" s="10"/>
      <c r="K1942" s="18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</row>
    <row r="1943" ht="14.25" customHeight="1">
      <c r="A1943" s="9"/>
      <c r="B1943" s="8"/>
      <c r="C1943" s="8"/>
      <c r="D1943" s="8"/>
      <c r="E1943" s="8"/>
      <c r="F1943" s="8"/>
      <c r="G1943" s="8"/>
      <c r="H1943" s="8"/>
      <c r="I1943" s="10"/>
      <c r="J1943" s="10"/>
      <c r="K1943" s="18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</row>
    <row r="1944" ht="14.25" customHeight="1">
      <c r="A1944" s="9"/>
      <c r="B1944" s="8"/>
      <c r="C1944" s="8"/>
      <c r="D1944" s="8"/>
      <c r="E1944" s="8"/>
      <c r="F1944" s="8"/>
      <c r="G1944" s="8"/>
      <c r="H1944" s="8"/>
      <c r="I1944" s="10"/>
      <c r="J1944" s="10"/>
      <c r="K1944" s="18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</row>
    <row r="1945" ht="14.25" customHeight="1">
      <c r="A1945" s="9"/>
      <c r="B1945" s="8"/>
      <c r="C1945" s="8"/>
      <c r="D1945" s="8"/>
      <c r="E1945" s="8"/>
      <c r="F1945" s="8"/>
      <c r="G1945" s="8"/>
      <c r="H1945" s="8"/>
      <c r="I1945" s="10"/>
      <c r="J1945" s="10"/>
      <c r="K1945" s="18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</row>
    <row r="1946" ht="14.25" customHeight="1">
      <c r="A1946" s="9"/>
      <c r="B1946" s="8"/>
      <c r="C1946" s="8"/>
      <c r="D1946" s="8"/>
      <c r="E1946" s="8"/>
      <c r="F1946" s="8"/>
      <c r="G1946" s="8"/>
      <c r="H1946" s="8"/>
      <c r="I1946" s="10"/>
      <c r="J1946" s="10"/>
      <c r="K1946" s="18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</row>
    <row r="1947" ht="14.25" customHeight="1">
      <c r="A1947" s="9"/>
      <c r="B1947" s="8"/>
      <c r="C1947" s="8"/>
      <c r="D1947" s="8"/>
      <c r="E1947" s="8"/>
      <c r="F1947" s="8"/>
      <c r="G1947" s="8"/>
      <c r="H1947" s="8"/>
      <c r="I1947" s="10"/>
      <c r="J1947" s="10"/>
      <c r="K1947" s="18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</row>
    <row r="1948" ht="14.25" customHeight="1">
      <c r="A1948" s="9"/>
      <c r="B1948" s="8"/>
      <c r="C1948" s="8"/>
      <c r="D1948" s="8"/>
      <c r="E1948" s="8"/>
      <c r="F1948" s="8"/>
      <c r="G1948" s="8"/>
      <c r="H1948" s="8"/>
      <c r="I1948" s="10"/>
      <c r="J1948" s="10"/>
      <c r="K1948" s="18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</row>
    <row r="1949" ht="14.25" customHeight="1">
      <c r="A1949" s="9"/>
      <c r="B1949" s="8"/>
      <c r="C1949" s="8"/>
      <c r="D1949" s="8"/>
      <c r="E1949" s="8"/>
      <c r="F1949" s="8"/>
      <c r="G1949" s="8"/>
      <c r="H1949" s="8"/>
      <c r="I1949" s="10"/>
      <c r="J1949" s="10"/>
      <c r="K1949" s="18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</row>
    <row r="1950" ht="14.25" customHeight="1">
      <c r="A1950" s="9"/>
      <c r="B1950" s="8"/>
      <c r="C1950" s="8"/>
      <c r="D1950" s="8"/>
      <c r="E1950" s="8"/>
      <c r="F1950" s="8"/>
      <c r="G1950" s="8"/>
      <c r="H1950" s="8"/>
      <c r="I1950" s="10"/>
      <c r="J1950" s="10"/>
      <c r="K1950" s="18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</row>
    <row r="1951" ht="14.25" customHeight="1">
      <c r="A1951" s="9"/>
      <c r="B1951" s="8"/>
      <c r="C1951" s="8"/>
      <c r="D1951" s="8"/>
      <c r="E1951" s="8"/>
      <c r="F1951" s="8"/>
      <c r="G1951" s="8"/>
      <c r="H1951" s="8"/>
      <c r="I1951" s="10"/>
      <c r="J1951" s="10"/>
      <c r="K1951" s="18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</row>
    <row r="1952" ht="14.25" customHeight="1">
      <c r="A1952" s="9"/>
      <c r="B1952" s="8"/>
      <c r="C1952" s="8"/>
      <c r="D1952" s="8"/>
      <c r="E1952" s="8"/>
      <c r="F1952" s="8"/>
      <c r="G1952" s="8"/>
      <c r="H1952" s="8"/>
      <c r="I1952" s="10"/>
      <c r="J1952" s="10"/>
      <c r="K1952" s="18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</row>
    <row r="1953" ht="14.25" customHeight="1">
      <c r="A1953" s="9"/>
      <c r="B1953" s="8"/>
      <c r="C1953" s="8"/>
      <c r="D1953" s="8"/>
      <c r="E1953" s="8"/>
      <c r="F1953" s="8"/>
      <c r="G1953" s="8"/>
      <c r="H1953" s="8"/>
      <c r="I1953" s="10"/>
      <c r="J1953" s="10"/>
      <c r="K1953" s="18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</row>
    <row r="1954" ht="14.25" customHeight="1">
      <c r="A1954" s="9"/>
      <c r="B1954" s="8"/>
      <c r="C1954" s="8"/>
      <c r="D1954" s="8"/>
      <c r="E1954" s="8"/>
      <c r="F1954" s="8"/>
      <c r="G1954" s="8"/>
      <c r="H1954" s="8"/>
      <c r="I1954" s="10"/>
      <c r="J1954" s="10"/>
      <c r="K1954" s="18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</row>
    <row r="1955" ht="14.25" customHeight="1">
      <c r="A1955" s="9"/>
      <c r="B1955" s="8"/>
      <c r="C1955" s="8"/>
      <c r="D1955" s="8"/>
      <c r="E1955" s="8"/>
      <c r="F1955" s="8"/>
      <c r="G1955" s="8"/>
      <c r="H1955" s="8"/>
      <c r="I1955" s="10"/>
      <c r="J1955" s="10"/>
      <c r="K1955" s="18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</row>
    <row r="1956" ht="14.25" customHeight="1">
      <c r="A1956" s="9"/>
      <c r="B1956" s="8"/>
      <c r="C1956" s="8"/>
      <c r="D1956" s="8"/>
      <c r="E1956" s="8"/>
      <c r="F1956" s="8"/>
      <c r="G1956" s="8"/>
      <c r="H1956" s="8"/>
      <c r="I1956" s="10"/>
      <c r="J1956" s="10"/>
      <c r="K1956" s="18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</row>
    <row r="1957" ht="14.25" customHeight="1">
      <c r="A1957" s="9"/>
      <c r="B1957" s="8"/>
      <c r="C1957" s="8"/>
      <c r="D1957" s="8"/>
      <c r="E1957" s="8"/>
      <c r="F1957" s="8"/>
      <c r="G1957" s="8"/>
      <c r="H1957" s="8"/>
      <c r="I1957" s="10"/>
      <c r="J1957" s="10"/>
      <c r="K1957" s="18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</row>
    <row r="1958" ht="14.25" customHeight="1">
      <c r="A1958" s="9"/>
      <c r="B1958" s="8"/>
      <c r="C1958" s="8"/>
      <c r="D1958" s="8"/>
      <c r="E1958" s="8"/>
      <c r="F1958" s="8"/>
      <c r="G1958" s="8"/>
      <c r="H1958" s="8"/>
      <c r="I1958" s="10"/>
      <c r="J1958" s="10"/>
      <c r="K1958" s="18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</row>
    <row r="1959" ht="14.25" customHeight="1">
      <c r="A1959" s="9"/>
      <c r="B1959" s="8"/>
      <c r="C1959" s="8"/>
      <c r="D1959" s="8"/>
      <c r="E1959" s="8"/>
      <c r="F1959" s="8"/>
      <c r="G1959" s="8"/>
      <c r="H1959" s="8"/>
      <c r="I1959" s="10"/>
      <c r="J1959" s="10"/>
      <c r="K1959" s="18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</row>
    <row r="1960" ht="14.25" customHeight="1">
      <c r="A1960" s="9"/>
      <c r="B1960" s="8"/>
      <c r="C1960" s="8"/>
      <c r="D1960" s="8"/>
      <c r="E1960" s="8"/>
      <c r="F1960" s="8"/>
      <c r="G1960" s="8"/>
      <c r="H1960" s="8"/>
      <c r="I1960" s="10"/>
      <c r="J1960" s="10"/>
      <c r="K1960" s="18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</row>
    <row r="1961" ht="14.25" customHeight="1">
      <c r="A1961" s="9"/>
      <c r="B1961" s="8"/>
      <c r="C1961" s="8"/>
      <c r="D1961" s="8"/>
      <c r="E1961" s="8"/>
      <c r="F1961" s="8"/>
      <c r="G1961" s="8"/>
      <c r="H1961" s="8"/>
      <c r="I1961" s="10"/>
      <c r="J1961" s="10"/>
      <c r="K1961" s="18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</row>
    <row r="1962" ht="14.25" customHeight="1">
      <c r="A1962" s="9"/>
      <c r="B1962" s="8"/>
      <c r="C1962" s="8"/>
      <c r="D1962" s="8"/>
      <c r="E1962" s="8"/>
      <c r="F1962" s="8"/>
      <c r="G1962" s="8"/>
      <c r="H1962" s="8"/>
      <c r="I1962" s="10"/>
      <c r="J1962" s="10"/>
      <c r="K1962" s="18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</row>
    <row r="1963" ht="14.25" customHeight="1">
      <c r="A1963" s="9"/>
      <c r="B1963" s="8"/>
      <c r="C1963" s="8"/>
      <c r="D1963" s="8"/>
      <c r="E1963" s="8"/>
      <c r="F1963" s="8"/>
      <c r="G1963" s="8"/>
      <c r="H1963" s="8"/>
      <c r="I1963" s="10"/>
      <c r="J1963" s="10"/>
      <c r="K1963" s="18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</row>
    <row r="1964" ht="14.25" customHeight="1">
      <c r="A1964" s="9"/>
      <c r="B1964" s="8"/>
      <c r="C1964" s="8"/>
      <c r="D1964" s="8"/>
      <c r="E1964" s="8"/>
      <c r="F1964" s="8"/>
      <c r="G1964" s="8"/>
      <c r="H1964" s="8"/>
      <c r="I1964" s="10"/>
      <c r="J1964" s="10"/>
      <c r="K1964" s="18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</row>
    <row r="1965" ht="14.25" customHeight="1">
      <c r="A1965" s="9"/>
      <c r="B1965" s="8"/>
      <c r="C1965" s="8"/>
      <c r="D1965" s="8"/>
      <c r="E1965" s="8"/>
      <c r="F1965" s="8"/>
      <c r="G1965" s="8"/>
      <c r="H1965" s="8"/>
      <c r="I1965" s="10"/>
      <c r="J1965" s="10"/>
      <c r="K1965" s="18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</row>
    <row r="1966" ht="14.25" customHeight="1">
      <c r="A1966" s="9"/>
      <c r="B1966" s="8"/>
      <c r="C1966" s="8"/>
      <c r="D1966" s="8"/>
      <c r="E1966" s="8"/>
      <c r="F1966" s="8"/>
      <c r="G1966" s="8"/>
      <c r="H1966" s="8"/>
      <c r="I1966" s="10"/>
      <c r="J1966" s="10"/>
      <c r="K1966" s="18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</row>
    <row r="1967" ht="14.25" customHeight="1">
      <c r="A1967" s="9"/>
      <c r="B1967" s="8"/>
      <c r="C1967" s="8"/>
      <c r="D1967" s="8"/>
      <c r="E1967" s="8"/>
      <c r="F1967" s="8"/>
      <c r="G1967" s="8"/>
      <c r="H1967" s="8"/>
      <c r="I1967" s="10"/>
      <c r="J1967" s="10"/>
      <c r="K1967" s="18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</row>
    <row r="1968" ht="14.25" customHeight="1">
      <c r="A1968" s="9"/>
      <c r="B1968" s="8"/>
      <c r="C1968" s="8"/>
      <c r="D1968" s="8"/>
      <c r="E1968" s="8"/>
      <c r="F1968" s="8"/>
      <c r="G1968" s="8"/>
      <c r="H1968" s="8"/>
      <c r="I1968" s="10"/>
      <c r="J1968" s="10"/>
      <c r="K1968" s="18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</row>
    <row r="1969" ht="14.25" customHeight="1">
      <c r="A1969" s="9"/>
      <c r="B1969" s="8"/>
      <c r="C1969" s="8"/>
      <c r="D1969" s="8"/>
      <c r="E1969" s="8"/>
      <c r="F1969" s="8"/>
      <c r="G1969" s="8"/>
      <c r="H1969" s="8"/>
      <c r="I1969" s="10"/>
      <c r="J1969" s="10"/>
      <c r="K1969" s="18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</row>
    <row r="1970" ht="14.25" customHeight="1">
      <c r="A1970" s="9"/>
      <c r="B1970" s="8"/>
      <c r="C1970" s="8"/>
      <c r="D1970" s="8"/>
      <c r="E1970" s="8"/>
      <c r="F1970" s="8"/>
      <c r="G1970" s="8"/>
      <c r="H1970" s="8"/>
      <c r="I1970" s="10"/>
      <c r="J1970" s="10"/>
      <c r="K1970" s="18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</row>
    <row r="1971" ht="14.25" customHeight="1">
      <c r="A1971" s="9"/>
      <c r="B1971" s="8"/>
      <c r="C1971" s="8"/>
      <c r="D1971" s="8"/>
      <c r="E1971" s="8"/>
      <c r="F1971" s="8"/>
      <c r="G1971" s="8"/>
      <c r="H1971" s="8"/>
      <c r="I1971" s="10"/>
      <c r="J1971" s="10"/>
      <c r="K1971" s="18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</row>
    <row r="1972" ht="14.25" customHeight="1">
      <c r="A1972" s="9"/>
      <c r="B1972" s="8"/>
      <c r="C1972" s="8"/>
      <c r="D1972" s="8"/>
      <c r="E1972" s="8"/>
      <c r="F1972" s="8"/>
      <c r="G1972" s="8"/>
      <c r="H1972" s="8"/>
      <c r="I1972" s="10"/>
      <c r="J1972" s="10"/>
      <c r="K1972" s="18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</row>
    <row r="1973" ht="14.25" customHeight="1">
      <c r="A1973" s="9"/>
      <c r="B1973" s="8"/>
      <c r="C1973" s="8"/>
      <c r="D1973" s="8"/>
      <c r="E1973" s="8"/>
      <c r="F1973" s="8"/>
      <c r="G1973" s="8"/>
      <c r="H1973" s="8"/>
      <c r="I1973" s="10"/>
      <c r="J1973" s="10"/>
      <c r="K1973" s="18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</row>
    <row r="1974" ht="14.25" customHeight="1">
      <c r="A1974" s="9"/>
      <c r="B1974" s="8"/>
      <c r="C1974" s="8"/>
      <c r="D1974" s="8"/>
      <c r="E1974" s="8"/>
      <c r="F1974" s="8"/>
      <c r="G1974" s="8"/>
      <c r="H1974" s="8"/>
      <c r="I1974" s="10"/>
      <c r="J1974" s="10"/>
      <c r="K1974" s="18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</row>
    <row r="1975" ht="14.25" customHeight="1">
      <c r="A1975" s="9"/>
      <c r="B1975" s="8"/>
      <c r="C1975" s="8"/>
      <c r="D1975" s="8"/>
      <c r="E1975" s="8"/>
      <c r="F1975" s="8"/>
      <c r="G1975" s="8"/>
      <c r="H1975" s="8"/>
      <c r="I1975" s="10"/>
      <c r="J1975" s="10"/>
      <c r="K1975" s="18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</row>
    <row r="1976" ht="14.25" customHeight="1">
      <c r="A1976" s="9"/>
      <c r="B1976" s="8"/>
      <c r="C1976" s="8"/>
      <c r="D1976" s="8"/>
      <c r="E1976" s="8"/>
      <c r="F1976" s="8"/>
      <c r="G1976" s="8"/>
      <c r="H1976" s="8"/>
      <c r="I1976" s="10"/>
      <c r="J1976" s="10"/>
      <c r="K1976" s="18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</row>
    <row r="1977" ht="14.25" customHeight="1">
      <c r="A1977" s="9"/>
      <c r="B1977" s="8"/>
      <c r="C1977" s="8"/>
      <c r="D1977" s="8"/>
      <c r="E1977" s="8"/>
      <c r="F1977" s="8"/>
      <c r="G1977" s="8"/>
      <c r="H1977" s="8"/>
      <c r="I1977" s="10"/>
      <c r="J1977" s="10"/>
      <c r="K1977" s="18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</row>
    <row r="1978" ht="14.25" customHeight="1">
      <c r="A1978" s="9"/>
      <c r="B1978" s="8"/>
      <c r="C1978" s="8"/>
      <c r="D1978" s="8"/>
      <c r="E1978" s="8"/>
      <c r="F1978" s="8"/>
      <c r="G1978" s="8"/>
      <c r="H1978" s="8"/>
      <c r="I1978" s="10"/>
      <c r="J1978" s="10"/>
      <c r="K1978" s="18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</row>
    <row r="1979" ht="14.25" customHeight="1">
      <c r="A1979" s="9"/>
      <c r="B1979" s="8"/>
      <c r="C1979" s="8"/>
      <c r="D1979" s="8"/>
      <c r="E1979" s="8"/>
      <c r="F1979" s="8"/>
      <c r="G1979" s="8"/>
      <c r="H1979" s="8"/>
      <c r="I1979" s="10"/>
      <c r="J1979" s="10"/>
      <c r="K1979" s="18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</row>
    <row r="1980" ht="14.25" customHeight="1">
      <c r="A1980" s="9"/>
      <c r="B1980" s="8"/>
      <c r="C1980" s="8"/>
      <c r="D1980" s="8"/>
      <c r="E1980" s="8"/>
      <c r="F1980" s="8"/>
      <c r="G1980" s="8"/>
      <c r="H1980" s="8"/>
      <c r="I1980" s="10"/>
      <c r="J1980" s="10"/>
      <c r="K1980" s="18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</row>
    <row r="1981" ht="14.25" customHeight="1">
      <c r="A1981" s="9"/>
      <c r="B1981" s="8"/>
      <c r="C1981" s="8"/>
      <c r="D1981" s="8"/>
      <c r="E1981" s="8"/>
      <c r="F1981" s="8"/>
      <c r="G1981" s="8"/>
      <c r="H1981" s="8"/>
      <c r="I1981" s="10"/>
      <c r="J1981" s="10"/>
      <c r="K1981" s="18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</row>
    <row r="1982" ht="14.25" customHeight="1">
      <c r="A1982" s="9"/>
      <c r="B1982" s="8"/>
      <c r="C1982" s="8"/>
      <c r="D1982" s="8"/>
      <c r="E1982" s="8"/>
      <c r="F1982" s="8"/>
      <c r="G1982" s="8"/>
      <c r="H1982" s="8"/>
      <c r="I1982" s="10"/>
      <c r="J1982" s="10"/>
      <c r="K1982" s="18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</row>
    <row r="1983" ht="14.25" customHeight="1">
      <c r="A1983" s="9"/>
      <c r="B1983" s="8"/>
      <c r="C1983" s="8"/>
      <c r="D1983" s="8"/>
      <c r="E1983" s="8"/>
      <c r="F1983" s="8"/>
      <c r="G1983" s="8"/>
      <c r="H1983" s="8"/>
      <c r="I1983" s="10"/>
      <c r="J1983" s="10"/>
      <c r="K1983" s="18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</row>
    <row r="1984" ht="14.25" customHeight="1">
      <c r="A1984" s="9"/>
      <c r="B1984" s="8"/>
      <c r="C1984" s="8"/>
      <c r="D1984" s="8"/>
      <c r="E1984" s="8"/>
      <c r="F1984" s="8"/>
      <c r="G1984" s="8"/>
      <c r="H1984" s="8"/>
      <c r="I1984" s="10"/>
      <c r="J1984" s="10"/>
      <c r="K1984" s="18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</row>
    <row r="1985" ht="14.25" customHeight="1">
      <c r="A1985" s="9"/>
      <c r="B1985" s="8"/>
      <c r="C1985" s="8"/>
      <c r="D1985" s="8"/>
      <c r="E1985" s="8"/>
      <c r="F1985" s="8"/>
      <c r="G1985" s="8"/>
      <c r="H1985" s="8"/>
      <c r="I1985" s="10"/>
      <c r="J1985" s="10"/>
      <c r="K1985" s="18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</row>
    <row r="1986" ht="14.25" customHeight="1">
      <c r="A1986" s="9"/>
      <c r="B1986" s="8"/>
      <c r="C1986" s="8"/>
      <c r="D1986" s="8"/>
      <c r="E1986" s="8"/>
      <c r="F1986" s="8"/>
      <c r="G1986" s="8"/>
      <c r="H1986" s="8"/>
      <c r="I1986" s="10"/>
      <c r="J1986" s="10"/>
      <c r="K1986" s="18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</row>
    <row r="1987" ht="14.25" customHeight="1">
      <c r="A1987" s="9"/>
      <c r="B1987" s="8"/>
      <c r="C1987" s="8"/>
      <c r="D1987" s="8"/>
      <c r="E1987" s="8"/>
      <c r="F1987" s="8"/>
      <c r="G1987" s="8"/>
      <c r="H1987" s="8"/>
      <c r="I1987" s="10"/>
      <c r="J1987" s="10"/>
      <c r="K1987" s="18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</row>
    <row r="1988" ht="14.25" customHeight="1">
      <c r="A1988" s="9"/>
      <c r="B1988" s="8"/>
      <c r="C1988" s="8"/>
      <c r="D1988" s="8"/>
      <c r="E1988" s="8"/>
      <c r="F1988" s="8"/>
      <c r="G1988" s="8"/>
      <c r="H1988" s="8"/>
      <c r="I1988" s="10"/>
      <c r="J1988" s="10"/>
      <c r="K1988" s="18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</row>
    <row r="1989" ht="14.25" customHeight="1">
      <c r="A1989" s="9"/>
      <c r="B1989" s="8"/>
      <c r="C1989" s="8"/>
      <c r="D1989" s="8"/>
      <c r="E1989" s="8"/>
      <c r="F1989" s="8"/>
      <c r="G1989" s="8"/>
      <c r="H1989" s="8"/>
      <c r="I1989" s="10"/>
      <c r="J1989" s="10"/>
      <c r="K1989" s="18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</row>
    <row r="1990" ht="14.25" customHeight="1">
      <c r="A1990" s="9"/>
      <c r="B1990" s="8"/>
      <c r="C1990" s="8"/>
      <c r="D1990" s="8"/>
      <c r="E1990" s="8"/>
      <c r="F1990" s="8"/>
      <c r="G1990" s="8"/>
      <c r="H1990" s="8"/>
      <c r="I1990" s="10"/>
      <c r="J1990" s="10"/>
      <c r="K1990" s="18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</row>
    <row r="1991" ht="14.25" customHeight="1">
      <c r="A1991" s="9"/>
      <c r="B1991" s="8"/>
      <c r="C1991" s="8"/>
      <c r="D1991" s="8"/>
      <c r="E1991" s="8"/>
      <c r="F1991" s="8"/>
      <c r="G1991" s="8"/>
      <c r="H1991" s="8"/>
      <c r="I1991" s="10"/>
      <c r="J1991" s="10"/>
      <c r="K1991" s="18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</row>
    <row r="1992" ht="14.25" customHeight="1">
      <c r="A1992" s="9"/>
      <c r="B1992" s="8"/>
      <c r="C1992" s="8"/>
      <c r="D1992" s="8"/>
      <c r="E1992" s="8"/>
      <c r="F1992" s="8"/>
      <c r="G1992" s="8"/>
      <c r="H1992" s="8"/>
      <c r="I1992" s="10"/>
      <c r="J1992" s="10"/>
      <c r="K1992" s="18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</row>
    <row r="1993" ht="14.25" customHeight="1">
      <c r="A1993" s="9"/>
      <c r="B1993" s="8"/>
      <c r="C1993" s="8"/>
      <c r="D1993" s="8"/>
      <c r="E1993" s="8"/>
      <c r="F1993" s="8"/>
      <c r="G1993" s="8"/>
      <c r="H1993" s="8"/>
      <c r="I1993" s="10"/>
      <c r="J1993" s="10"/>
      <c r="K1993" s="18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</row>
    <row r="1994" ht="14.25" customHeight="1">
      <c r="A1994" s="9"/>
      <c r="B1994" s="8"/>
      <c r="C1994" s="8"/>
      <c r="D1994" s="8"/>
      <c r="E1994" s="8"/>
      <c r="F1994" s="8"/>
      <c r="G1994" s="8"/>
      <c r="H1994" s="8"/>
      <c r="I1994" s="10"/>
      <c r="J1994" s="10"/>
      <c r="K1994" s="18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</row>
    <row r="1995" ht="14.25" customHeight="1">
      <c r="A1995" s="9"/>
      <c r="B1995" s="8"/>
      <c r="C1995" s="8"/>
      <c r="D1995" s="8"/>
      <c r="E1995" s="8"/>
      <c r="F1995" s="8"/>
      <c r="G1995" s="8"/>
      <c r="H1995" s="8"/>
      <c r="I1995" s="10"/>
      <c r="J1995" s="10"/>
      <c r="K1995" s="18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</row>
    <row r="1996" ht="14.25" customHeight="1">
      <c r="A1996" s="9"/>
      <c r="B1996" s="8"/>
      <c r="C1996" s="8"/>
      <c r="D1996" s="8"/>
      <c r="E1996" s="8"/>
      <c r="F1996" s="8"/>
      <c r="G1996" s="8"/>
      <c r="H1996" s="8"/>
      <c r="I1996" s="10"/>
      <c r="J1996" s="10"/>
      <c r="K1996" s="18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</row>
    <row r="1997" ht="14.25" customHeight="1">
      <c r="A1997" s="9"/>
      <c r="B1997" s="8"/>
      <c r="C1997" s="8"/>
      <c r="D1997" s="8"/>
      <c r="E1997" s="8"/>
      <c r="F1997" s="8"/>
      <c r="G1997" s="8"/>
      <c r="H1997" s="8"/>
      <c r="I1997" s="10"/>
      <c r="J1997" s="10"/>
      <c r="K1997" s="18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</row>
    <row r="1998" ht="14.25" customHeight="1">
      <c r="A1998" s="9"/>
      <c r="B1998" s="8"/>
      <c r="C1998" s="8"/>
      <c r="D1998" s="8"/>
      <c r="E1998" s="8"/>
      <c r="F1998" s="8"/>
      <c r="G1998" s="8"/>
      <c r="H1998" s="8"/>
      <c r="I1998" s="10"/>
      <c r="J1998" s="10"/>
      <c r="K1998" s="18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</row>
    <row r="1999" ht="14.25" customHeight="1">
      <c r="A1999" s="9"/>
      <c r="B1999" s="8"/>
      <c r="C1999" s="8"/>
      <c r="D1999" s="8"/>
      <c r="E1999" s="8"/>
      <c r="F1999" s="8"/>
      <c r="G1999" s="8"/>
      <c r="H1999" s="8"/>
      <c r="I1999" s="10"/>
      <c r="J1999" s="10"/>
      <c r="K1999" s="18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</row>
    <row r="2000" ht="14.25" customHeight="1">
      <c r="A2000" s="9"/>
      <c r="B2000" s="8"/>
      <c r="C2000" s="8"/>
      <c r="D2000" s="8"/>
      <c r="E2000" s="8"/>
      <c r="F2000" s="8"/>
      <c r="G2000" s="8"/>
      <c r="H2000" s="8"/>
      <c r="I2000" s="10"/>
      <c r="J2000" s="10"/>
      <c r="K2000" s="18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</row>
    <row r="2001" ht="14.25" customHeight="1">
      <c r="A2001" s="9"/>
      <c r="B2001" s="8"/>
      <c r="C2001" s="8"/>
      <c r="D2001" s="8"/>
      <c r="E2001" s="8"/>
      <c r="F2001" s="8"/>
      <c r="G2001" s="8"/>
      <c r="H2001" s="8"/>
      <c r="I2001" s="10"/>
      <c r="J2001" s="10"/>
      <c r="K2001" s="18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</row>
    <row r="2002" ht="14.25" customHeight="1">
      <c r="A2002" s="9"/>
      <c r="B2002" s="8"/>
      <c r="C2002" s="8"/>
      <c r="D2002" s="8"/>
      <c r="E2002" s="8"/>
      <c r="F2002" s="8"/>
      <c r="G2002" s="8"/>
      <c r="H2002" s="8"/>
      <c r="I2002" s="10"/>
      <c r="J2002" s="10"/>
      <c r="K2002" s="18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</row>
    <row r="2003" ht="14.25" customHeight="1">
      <c r="A2003" s="9"/>
      <c r="B2003" s="8"/>
      <c r="C2003" s="8"/>
      <c r="D2003" s="8"/>
      <c r="E2003" s="8"/>
      <c r="F2003" s="8"/>
      <c r="G2003" s="8"/>
      <c r="H2003" s="8"/>
      <c r="I2003" s="10"/>
      <c r="J2003" s="10"/>
      <c r="K2003" s="18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</row>
    <row r="2004" ht="14.25" customHeight="1">
      <c r="A2004" s="9"/>
      <c r="B2004" s="8"/>
      <c r="C2004" s="8"/>
      <c r="D2004" s="8"/>
      <c r="E2004" s="8"/>
      <c r="F2004" s="8"/>
      <c r="G2004" s="8"/>
      <c r="H2004" s="8"/>
      <c r="I2004" s="10"/>
      <c r="J2004" s="10"/>
      <c r="K2004" s="18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</row>
    <row r="2005" ht="14.25" customHeight="1">
      <c r="A2005" s="9"/>
      <c r="B2005" s="8"/>
      <c r="C2005" s="8"/>
      <c r="D2005" s="8"/>
      <c r="E2005" s="8"/>
      <c r="F2005" s="8"/>
      <c r="G2005" s="8"/>
      <c r="H2005" s="8"/>
      <c r="I2005" s="10"/>
      <c r="J2005" s="10"/>
      <c r="K2005" s="18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</row>
    <row r="2006" ht="14.25" customHeight="1">
      <c r="A2006" s="9"/>
      <c r="B2006" s="8"/>
      <c r="C2006" s="8"/>
      <c r="D2006" s="8"/>
      <c r="E2006" s="8"/>
      <c r="F2006" s="8"/>
      <c r="G2006" s="8"/>
      <c r="H2006" s="8"/>
      <c r="I2006" s="10"/>
      <c r="J2006" s="10"/>
      <c r="K2006" s="18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</row>
    <row r="2007" ht="14.25" customHeight="1">
      <c r="A2007" s="9"/>
      <c r="B2007" s="8"/>
      <c r="C2007" s="8"/>
      <c r="D2007" s="8"/>
      <c r="E2007" s="8"/>
      <c r="F2007" s="8"/>
      <c r="G2007" s="8"/>
      <c r="H2007" s="8"/>
      <c r="I2007" s="10"/>
      <c r="J2007" s="10"/>
      <c r="K2007" s="18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</row>
    <row r="2008" ht="14.25" customHeight="1">
      <c r="A2008" s="9"/>
      <c r="B2008" s="8"/>
      <c r="C2008" s="8"/>
      <c r="D2008" s="8"/>
      <c r="E2008" s="8"/>
      <c r="F2008" s="8"/>
      <c r="G2008" s="8"/>
      <c r="H2008" s="8"/>
      <c r="I2008" s="10"/>
      <c r="J2008" s="10"/>
      <c r="K2008" s="18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</row>
    <row r="2009" ht="14.25" customHeight="1">
      <c r="A2009" s="9"/>
      <c r="B2009" s="8"/>
      <c r="C2009" s="8"/>
      <c r="D2009" s="8"/>
      <c r="E2009" s="8"/>
      <c r="F2009" s="8"/>
      <c r="G2009" s="8"/>
      <c r="H2009" s="8"/>
      <c r="I2009" s="10"/>
      <c r="J2009" s="10"/>
      <c r="K2009" s="18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</row>
    <row r="2010" ht="14.25" customHeight="1">
      <c r="A2010" s="9"/>
      <c r="B2010" s="8"/>
      <c r="C2010" s="8"/>
      <c r="D2010" s="8"/>
      <c r="E2010" s="8"/>
      <c r="F2010" s="8"/>
      <c r="G2010" s="8"/>
      <c r="H2010" s="8"/>
      <c r="I2010" s="10"/>
      <c r="J2010" s="10"/>
      <c r="K2010" s="18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</row>
    <row r="2011" ht="14.25" customHeight="1">
      <c r="A2011" s="9"/>
      <c r="B2011" s="8"/>
      <c r="C2011" s="8"/>
      <c r="D2011" s="8"/>
      <c r="E2011" s="8"/>
      <c r="F2011" s="8"/>
      <c r="G2011" s="8"/>
      <c r="H2011" s="8"/>
      <c r="I2011" s="10"/>
      <c r="J2011" s="10"/>
      <c r="K2011" s="18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</row>
    <row r="2012" ht="14.25" customHeight="1">
      <c r="A2012" s="9"/>
      <c r="B2012" s="8"/>
      <c r="C2012" s="8"/>
      <c r="D2012" s="8"/>
      <c r="E2012" s="8"/>
      <c r="F2012" s="8"/>
      <c r="G2012" s="8"/>
      <c r="H2012" s="8"/>
      <c r="I2012" s="10"/>
      <c r="J2012" s="10"/>
      <c r="K2012" s="18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</row>
    <row r="2013" ht="14.25" customHeight="1">
      <c r="A2013" s="9"/>
      <c r="B2013" s="8"/>
      <c r="C2013" s="8"/>
      <c r="D2013" s="8"/>
      <c r="E2013" s="8"/>
      <c r="F2013" s="8"/>
      <c r="G2013" s="8"/>
      <c r="H2013" s="8"/>
      <c r="I2013" s="10"/>
      <c r="J2013" s="10"/>
      <c r="K2013" s="18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</row>
    <row r="2014" ht="14.25" customHeight="1">
      <c r="A2014" s="9"/>
      <c r="B2014" s="8"/>
      <c r="C2014" s="8"/>
      <c r="D2014" s="8"/>
      <c r="E2014" s="8"/>
      <c r="F2014" s="8"/>
      <c r="G2014" s="8"/>
      <c r="H2014" s="8"/>
      <c r="I2014" s="10"/>
      <c r="J2014" s="10"/>
      <c r="K2014" s="18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</row>
    <row r="2015" ht="14.25" customHeight="1">
      <c r="A2015" s="9"/>
      <c r="B2015" s="8"/>
      <c r="C2015" s="8"/>
      <c r="D2015" s="8"/>
      <c r="E2015" s="8"/>
      <c r="F2015" s="8"/>
      <c r="G2015" s="8"/>
      <c r="H2015" s="8"/>
      <c r="I2015" s="10"/>
      <c r="J2015" s="10"/>
      <c r="K2015" s="18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</row>
    <row r="2016" ht="14.25" customHeight="1">
      <c r="A2016" s="9"/>
      <c r="B2016" s="8"/>
      <c r="C2016" s="8"/>
      <c r="D2016" s="8"/>
      <c r="E2016" s="8"/>
      <c r="F2016" s="8"/>
      <c r="G2016" s="8"/>
      <c r="H2016" s="8"/>
      <c r="I2016" s="10"/>
      <c r="J2016" s="10"/>
      <c r="K2016" s="18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</row>
    <row r="2017" ht="14.25" customHeight="1">
      <c r="A2017" s="9"/>
      <c r="B2017" s="8"/>
      <c r="C2017" s="8"/>
      <c r="D2017" s="8"/>
      <c r="E2017" s="8"/>
      <c r="F2017" s="8"/>
      <c r="G2017" s="8"/>
      <c r="H2017" s="8"/>
      <c r="I2017" s="10"/>
      <c r="J2017" s="10"/>
      <c r="K2017" s="18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</row>
    <row r="2018" ht="14.25" customHeight="1">
      <c r="A2018" s="9"/>
      <c r="B2018" s="8"/>
      <c r="C2018" s="8"/>
      <c r="D2018" s="8"/>
      <c r="E2018" s="8"/>
      <c r="F2018" s="8"/>
      <c r="G2018" s="8"/>
      <c r="H2018" s="8"/>
      <c r="I2018" s="10"/>
      <c r="J2018" s="10"/>
      <c r="K2018" s="18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</row>
    <row r="2019" ht="14.25" customHeight="1">
      <c r="A2019" s="9"/>
      <c r="B2019" s="8"/>
      <c r="C2019" s="8"/>
      <c r="D2019" s="8"/>
      <c r="E2019" s="8"/>
      <c r="F2019" s="8"/>
      <c r="G2019" s="8"/>
      <c r="H2019" s="8"/>
      <c r="I2019" s="10"/>
      <c r="J2019" s="10"/>
      <c r="K2019" s="18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</row>
    <row r="2020" ht="14.25" customHeight="1">
      <c r="A2020" s="9"/>
      <c r="B2020" s="8"/>
      <c r="C2020" s="8"/>
      <c r="D2020" s="8"/>
      <c r="E2020" s="8"/>
      <c r="F2020" s="8"/>
      <c r="G2020" s="8"/>
      <c r="H2020" s="8"/>
      <c r="I2020" s="10"/>
      <c r="J2020" s="10"/>
      <c r="K2020" s="18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</row>
    <row r="2021" ht="14.25" customHeight="1">
      <c r="A2021" s="9"/>
      <c r="B2021" s="8"/>
      <c r="C2021" s="8"/>
      <c r="D2021" s="8"/>
      <c r="E2021" s="8"/>
      <c r="F2021" s="8"/>
      <c r="G2021" s="8"/>
      <c r="H2021" s="8"/>
      <c r="I2021" s="10"/>
      <c r="J2021" s="10"/>
      <c r="K2021" s="18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</row>
    <row r="2022" ht="14.25" customHeight="1">
      <c r="A2022" s="9"/>
      <c r="B2022" s="8"/>
      <c r="C2022" s="8"/>
      <c r="D2022" s="8"/>
      <c r="E2022" s="8"/>
      <c r="F2022" s="8"/>
      <c r="G2022" s="8"/>
      <c r="H2022" s="8"/>
      <c r="I2022" s="10"/>
      <c r="J2022" s="10"/>
      <c r="K2022" s="18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</row>
    <row r="2023" ht="14.25" customHeight="1">
      <c r="A2023" s="9"/>
      <c r="B2023" s="8"/>
      <c r="C2023" s="8"/>
      <c r="D2023" s="8"/>
      <c r="E2023" s="8"/>
      <c r="F2023" s="8"/>
      <c r="G2023" s="8"/>
      <c r="H2023" s="8"/>
      <c r="I2023" s="10"/>
      <c r="J2023" s="10"/>
      <c r="K2023" s="18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</row>
    <row r="2024" ht="14.25" customHeight="1">
      <c r="A2024" s="9"/>
      <c r="B2024" s="8"/>
      <c r="C2024" s="8"/>
      <c r="D2024" s="8"/>
      <c r="E2024" s="8"/>
      <c r="F2024" s="8"/>
      <c r="G2024" s="8"/>
      <c r="H2024" s="8"/>
      <c r="I2024" s="10"/>
      <c r="J2024" s="10"/>
      <c r="K2024" s="18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</row>
    <row r="2025" ht="14.25" customHeight="1">
      <c r="A2025" s="9"/>
      <c r="B2025" s="8"/>
      <c r="C2025" s="8"/>
      <c r="D2025" s="8"/>
      <c r="E2025" s="8"/>
      <c r="F2025" s="8"/>
      <c r="G2025" s="8"/>
      <c r="H2025" s="8"/>
      <c r="I2025" s="10"/>
      <c r="J2025" s="10"/>
      <c r="K2025" s="18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</row>
    <row r="2026" ht="14.25" customHeight="1">
      <c r="A2026" s="9"/>
      <c r="B2026" s="8"/>
      <c r="C2026" s="8"/>
      <c r="D2026" s="8"/>
      <c r="E2026" s="8"/>
      <c r="F2026" s="8"/>
      <c r="G2026" s="8"/>
      <c r="H2026" s="8"/>
      <c r="I2026" s="10"/>
      <c r="J2026" s="10"/>
      <c r="K2026" s="18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</row>
    <row r="2027" ht="14.25" customHeight="1">
      <c r="A2027" s="9"/>
      <c r="B2027" s="8"/>
      <c r="C2027" s="8"/>
      <c r="D2027" s="8"/>
      <c r="E2027" s="8"/>
      <c r="F2027" s="8"/>
      <c r="G2027" s="8"/>
      <c r="H2027" s="8"/>
      <c r="I2027" s="10"/>
      <c r="J2027" s="10"/>
      <c r="K2027" s="18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</row>
    <row r="2028" ht="14.25" customHeight="1">
      <c r="A2028" s="9"/>
      <c r="B2028" s="8"/>
      <c r="C2028" s="8"/>
      <c r="D2028" s="8"/>
      <c r="E2028" s="8"/>
      <c r="F2028" s="8"/>
      <c r="G2028" s="8"/>
      <c r="H2028" s="8"/>
      <c r="I2028" s="10"/>
      <c r="J2028" s="10"/>
      <c r="K2028" s="18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</row>
    <row r="2029" ht="14.25" customHeight="1">
      <c r="A2029" s="9"/>
      <c r="B2029" s="8"/>
      <c r="C2029" s="8"/>
      <c r="D2029" s="8"/>
      <c r="E2029" s="8"/>
      <c r="F2029" s="8"/>
      <c r="G2029" s="8"/>
      <c r="H2029" s="8"/>
      <c r="I2029" s="10"/>
      <c r="J2029" s="10"/>
      <c r="K2029" s="18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</row>
    <row r="2030" ht="14.25" customHeight="1">
      <c r="A2030" s="9"/>
      <c r="B2030" s="8"/>
      <c r="C2030" s="8"/>
      <c r="D2030" s="8"/>
      <c r="E2030" s="8"/>
      <c r="F2030" s="8"/>
      <c r="G2030" s="8"/>
      <c r="H2030" s="8"/>
      <c r="I2030" s="10"/>
      <c r="J2030" s="10"/>
      <c r="K2030" s="18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</row>
    <row r="2031" ht="14.25" customHeight="1">
      <c r="A2031" s="9"/>
      <c r="B2031" s="8"/>
      <c r="C2031" s="8"/>
      <c r="D2031" s="8"/>
      <c r="E2031" s="8"/>
      <c r="F2031" s="8"/>
      <c r="G2031" s="8"/>
      <c r="H2031" s="8"/>
      <c r="I2031" s="10"/>
      <c r="J2031" s="10"/>
      <c r="K2031" s="18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</row>
    <row r="2032" ht="14.25" customHeight="1">
      <c r="A2032" s="9"/>
      <c r="B2032" s="8"/>
      <c r="C2032" s="8"/>
      <c r="D2032" s="8"/>
      <c r="E2032" s="8"/>
      <c r="F2032" s="8"/>
      <c r="G2032" s="8"/>
      <c r="H2032" s="8"/>
      <c r="I2032" s="10"/>
      <c r="J2032" s="10"/>
      <c r="K2032" s="18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</row>
    <row r="2033" ht="14.25" customHeight="1">
      <c r="A2033" s="9"/>
      <c r="B2033" s="8"/>
      <c r="C2033" s="8"/>
      <c r="D2033" s="8"/>
      <c r="E2033" s="8"/>
      <c r="F2033" s="8"/>
      <c r="G2033" s="8"/>
      <c r="H2033" s="8"/>
      <c r="I2033" s="10"/>
      <c r="J2033" s="10"/>
      <c r="K2033" s="18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</row>
    <row r="2034" ht="14.25" customHeight="1">
      <c r="A2034" s="9"/>
      <c r="B2034" s="8"/>
      <c r="C2034" s="8"/>
      <c r="D2034" s="8"/>
      <c r="E2034" s="8"/>
      <c r="F2034" s="8"/>
      <c r="G2034" s="8"/>
      <c r="H2034" s="8"/>
      <c r="I2034" s="10"/>
      <c r="J2034" s="10"/>
      <c r="K2034" s="18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</row>
    <row r="2035" ht="14.25" customHeight="1">
      <c r="A2035" s="9"/>
      <c r="B2035" s="8"/>
      <c r="C2035" s="8"/>
      <c r="D2035" s="8"/>
      <c r="E2035" s="8"/>
      <c r="F2035" s="8"/>
      <c r="G2035" s="8"/>
      <c r="H2035" s="8"/>
      <c r="I2035" s="10"/>
      <c r="J2035" s="10"/>
      <c r="K2035" s="18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</row>
    <row r="2036" ht="14.25" customHeight="1">
      <c r="A2036" s="9"/>
      <c r="B2036" s="8"/>
      <c r="C2036" s="8"/>
      <c r="D2036" s="8"/>
      <c r="E2036" s="8"/>
      <c r="F2036" s="8"/>
      <c r="G2036" s="8"/>
      <c r="H2036" s="8"/>
      <c r="I2036" s="10"/>
      <c r="J2036" s="10"/>
      <c r="K2036" s="18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</row>
    <row r="2037" ht="14.25" customHeight="1">
      <c r="A2037" s="9"/>
      <c r="B2037" s="8"/>
      <c r="C2037" s="8"/>
      <c r="D2037" s="8"/>
      <c r="E2037" s="8"/>
      <c r="F2037" s="8"/>
      <c r="G2037" s="8"/>
      <c r="H2037" s="8"/>
      <c r="I2037" s="10"/>
      <c r="J2037" s="10"/>
      <c r="K2037" s="18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</row>
    <row r="2038" ht="14.25" customHeight="1">
      <c r="A2038" s="9"/>
      <c r="B2038" s="8"/>
      <c r="C2038" s="8"/>
      <c r="D2038" s="8"/>
      <c r="E2038" s="8"/>
      <c r="F2038" s="8"/>
      <c r="G2038" s="8"/>
      <c r="H2038" s="8"/>
      <c r="I2038" s="10"/>
      <c r="J2038" s="10"/>
      <c r="K2038" s="18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</row>
    <row r="2039" ht="14.25" customHeight="1">
      <c r="A2039" s="9"/>
      <c r="B2039" s="8"/>
      <c r="C2039" s="8"/>
      <c r="D2039" s="8"/>
      <c r="E2039" s="8"/>
      <c r="F2039" s="8"/>
      <c r="G2039" s="8"/>
      <c r="H2039" s="8"/>
      <c r="I2039" s="10"/>
      <c r="J2039" s="10"/>
      <c r="K2039" s="18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</row>
    <row r="2040" ht="14.25" customHeight="1">
      <c r="A2040" s="9"/>
      <c r="B2040" s="8"/>
      <c r="C2040" s="8"/>
      <c r="D2040" s="8"/>
      <c r="E2040" s="8"/>
      <c r="F2040" s="8"/>
      <c r="G2040" s="8"/>
      <c r="H2040" s="8"/>
      <c r="I2040" s="10"/>
      <c r="J2040" s="10"/>
      <c r="K2040" s="18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</row>
    <row r="2041" ht="14.25" customHeight="1">
      <c r="A2041" s="9"/>
      <c r="B2041" s="8"/>
      <c r="C2041" s="8"/>
      <c r="D2041" s="8"/>
      <c r="E2041" s="8"/>
      <c r="F2041" s="8"/>
      <c r="G2041" s="8"/>
      <c r="H2041" s="8"/>
      <c r="I2041" s="10"/>
      <c r="J2041" s="10"/>
      <c r="K2041" s="18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</row>
    <row r="2042" ht="14.25" customHeight="1">
      <c r="A2042" s="9"/>
      <c r="B2042" s="8"/>
      <c r="C2042" s="8"/>
      <c r="D2042" s="8"/>
      <c r="E2042" s="8"/>
      <c r="F2042" s="8"/>
      <c r="G2042" s="8"/>
      <c r="H2042" s="8"/>
      <c r="I2042" s="10"/>
      <c r="J2042" s="10"/>
      <c r="K2042" s="18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</row>
    <row r="2043" ht="14.25" customHeight="1">
      <c r="A2043" s="9"/>
      <c r="B2043" s="8"/>
      <c r="C2043" s="8"/>
      <c r="D2043" s="8"/>
      <c r="E2043" s="8"/>
      <c r="F2043" s="8"/>
      <c r="G2043" s="8"/>
      <c r="H2043" s="8"/>
      <c r="I2043" s="10"/>
      <c r="J2043" s="10"/>
      <c r="K2043" s="18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</row>
    <row r="2044" ht="14.25" customHeight="1">
      <c r="A2044" s="9"/>
      <c r="B2044" s="8"/>
      <c r="C2044" s="8"/>
      <c r="D2044" s="8"/>
      <c r="E2044" s="8"/>
      <c r="F2044" s="8"/>
      <c r="G2044" s="8"/>
      <c r="H2044" s="8"/>
      <c r="I2044" s="10"/>
      <c r="J2044" s="10"/>
      <c r="K2044" s="18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</row>
    <row r="2045" ht="14.25" customHeight="1">
      <c r="A2045" s="9"/>
      <c r="B2045" s="8"/>
      <c r="C2045" s="8"/>
      <c r="D2045" s="8"/>
      <c r="E2045" s="8"/>
      <c r="F2045" s="8"/>
      <c r="G2045" s="8"/>
      <c r="H2045" s="8"/>
      <c r="I2045" s="10"/>
      <c r="J2045" s="10"/>
      <c r="K2045" s="18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</row>
    <row r="2046" ht="14.25" customHeight="1">
      <c r="A2046" s="9"/>
      <c r="B2046" s="8"/>
      <c r="C2046" s="8"/>
      <c r="D2046" s="8"/>
      <c r="E2046" s="8"/>
      <c r="F2046" s="8"/>
      <c r="G2046" s="8"/>
      <c r="H2046" s="8"/>
      <c r="I2046" s="10"/>
      <c r="J2046" s="10"/>
      <c r="K2046" s="18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</row>
    <row r="2047" ht="14.25" customHeight="1">
      <c r="A2047" s="9"/>
      <c r="B2047" s="8"/>
      <c r="C2047" s="8"/>
      <c r="D2047" s="8"/>
      <c r="E2047" s="8"/>
      <c r="F2047" s="8"/>
      <c r="G2047" s="8"/>
      <c r="H2047" s="8"/>
      <c r="I2047" s="10"/>
      <c r="J2047" s="10"/>
      <c r="K2047" s="18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</row>
    <row r="2048" ht="14.25" customHeight="1">
      <c r="A2048" s="9"/>
      <c r="B2048" s="8"/>
      <c r="C2048" s="8"/>
      <c r="D2048" s="8"/>
      <c r="E2048" s="8"/>
      <c r="F2048" s="8"/>
      <c r="G2048" s="8"/>
      <c r="H2048" s="8"/>
      <c r="I2048" s="10"/>
      <c r="J2048" s="10"/>
      <c r="K2048" s="18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</row>
    <row r="2049" ht="14.25" customHeight="1">
      <c r="A2049" s="9"/>
      <c r="B2049" s="8"/>
      <c r="C2049" s="8"/>
      <c r="D2049" s="8"/>
      <c r="E2049" s="8"/>
      <c r="F2049" s="8"/>
      <c r="G2049" s="8"/>
      <c r="H2049" s="8"/>
      <c r="I2049" s="10"/>
      <c r="J2049" s="10"/>
      <c r="K2049" s="18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</row>
    <row r="2050" ht="14.25" customHeight="1">
      <c r="A2050" s="9"/>
      <c r="B2050" s="8"/>
      <c r="C2050" s="8"/>
      <c r="D2050" s="8"/>
      <c r="E2050" s="8"/>
      <c r="F2050" s="8"/>
      <c r="G2050" s="8"/>
      <c r="H2050" s="8"/>
      <c r="I2050" s="10"/>
      <c r="J2050" s="10"/>
      <c r="K2050" s="18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</row>
    <row r="2051" ht="14.25" customHeight="1">
      <c r="A2051" s="9"/>
      <c r="B2051" s="8"/>
      <c r="C2051" s="8"/>
      <c r="D2051" s="8"/>
      <c r="E2051" s="8"/>
      <c r="F2051" s="8"/>
      <c r="G2051" s="8"/>
      <c r="H2051" s="8"/>
      <c r="I2051" s="10"/>
      <c r="J2051" s="10"/>
      <c r="K2051" s="18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</row>
    <row r="2052" ht="14.25" customHeight="1">
      <c r="A2052" s="9"/>
      <c r="B2052" s="8"/>
      <c r="C2052" s="8"/>
      <c r="D2052" s="8"/>
      <c r="E2052" s="8"/>
      <c r="F2052" s="8"/>
      <c r="G2052" s="8"/>
      <c r="H2052" s="8"/>
      <c r="I2052" s="10"/>
      <c r="J2052" s="10"/>
      <c r="K2052" s="18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</row>
    <row r="2053" ht="14.25" customHeight="1">
      <c r="A2053" s="9"/>
      <c r="B2053" s="8"/>
      <c r="C2053" s="8"/>
      <c r="D2053" s="8"/>
      <c r="E2053" s="8"/>
      <c r="F2053" s="8"/>
      <c r="G2053" s="8"/>
      <c r="H2053" s="8"/>
      <c r="I2053" s="10"/>
      <c r="J2053" s="10"/>
      <c r="K2053" s="18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</row>
    <row r="2054" ht="14.25" customHeight="1">
      <c r="A2054" s="9"/>
      <c r="B2054" s="8"/>
      <c r="C2054" s="8"/>
      <c r="D2054" s="8"/>
      <c r="E2054" s="8"/>
      <c r="F2054" s="8"/>
      <c r="G2054" s="8"/>
      <c r="H2054" s="8"/>
      <c r="I2054" s="10"/>
      <c r="J2054" s="10"/>
      <c r="K2054" s="18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</row>
    <row r="2055" ht="14.25" customHeight="1">
      <c r="A2055" s="9"/>
      <c r="B2055" s="8"/>
      <c r="C2055" s="8"/>
      <c r="D2055" s="8"/>
      <c r="E2055" s="8"/>
      <c r="F2055" s="8"/>
      <c r="G2055" s="8"/>
      <c r="H2055" s="8"/>
      <c r="I2055" s="10"/>
      <c r="J2055" s="10"/>
      <c r="K2055" s="18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</row>
    <row r="2056" ht="14.25" customHeight="1">
      <c r="A2056" s="9"/>
      <c r="B2056" s="8"/>
      <c r="C2056" s="8"/>
      <c r="D2056" s="8"/>
      <c r="E2056" s="8"/>
      <c r="F2056" s="8"/>
      <c r="G2056" s="8"/>
      <c r="H2056" s="8"/>
      <c r="I2056" s="10"/>
      <c r="J2056" s="10"/>
      <c r="K2056" s="18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</row>
    <row r="2057" ht="14.25" customHeight="1">
      <c r="A2057" s="9"/>
      <c r="B2057" s="8"/>
      <c r="C2057" s="8"/>
      <c r="D2057" s="8"/>
      <c r="E2057" s="8"/>
      <c r="F2057" s="8"/>
      <c r="G2057" s="8"/>
      <c r="H2057" s="8"/>
      <c r="I2057" s="10"/>
      <c r="J2057" s="10"/>
      <c r="K2057" s="18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</row>
    <row r="2058" ht="14.25" customHeight="1">
      <c r="A2058" s="9"/>
      <c r="B2058" s="8"/>
      <c r="C2058" s="8"/>
      <c r="D2058" s="8"/>
      <c r="E2058" s="8"/>
      <c r="F2058" s="8"/>
      <c r="G2058" s="8"/>
      <c r="H2058" s="8"/>
      <c r="I2058" s="10"/>
      <c r="J2058" s="10"/>
      <c r="K2058" s="18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</row>
    <row r="2059" ht="14.25" customHeight="1">
      <c r="A2059" s="9"/>
      <c r="B2059" s="8"/>
      <c r="C2059" s="8"/>
      <c r="D2059" s="8"/>
      <c r="E2059" s="8"/>
      <c r="F2059" s="8"/>
      <c r="G2059" s="8"/>
      <c r="H2059" s="8"/>
      <c r="I2059" s="10"/>
      <c r="J2059" s="10"/>
      <c r="K2059" s="18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</row>
    <row r="2060" ht="14.25" customHeight="1">
      <c r="A2060" s="9"/>
      <c r="B2060" s="8"/>
      <c r="C2060" s="8"/>
      <c r="D2060" s="8"/>
      <c r="E2060" s="8"/>
      <c r="F2060" s="8"/>
      <c r="G2060" s="8"/>
      <c r="H2060" s="8"/>
      <c r="I2060" s="10"/>
      <c r="J2060" s="10"/>
      <c r="K2060" s="18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</row>
    <row r="2061" ht="14.25" customHeight="1">
      <c r="A2061" s="9"/>
      <c r="B2061" s="8"/>
      <c r="C2061" s="8"/>
      <c r="D2061" s="8"/>
      <c r="E2061" s="8"/>
      <c r="F2061" s="8"/>
      <c r="G2061" s="8"/>
      <c r="H2061" s="8"/>
      <c r="I2061" s="10"/>
      <c r="J2061" s="10"/>
      <c r="K2061" s="18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</row>
    <row r="2062" ht="14.25" customHeight="1">
      <c r="A2062" s="9"/>
      <c r="B2062" s="8"/>
      <c r="C2062" s="8"/>
      <c r="D2062" s="8"/>
      <c r="E2062" s="8"/>
      <c r="F2062" s="8"/>
      <c r="G2062" s="8"/>
      <c r="H2062" s="8"/>
      <c r="I2062" s="10"/>
      <c r="J2062" s="10"/>
      <c r="K2062" s="18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</row>
    <row r="2063" ht="14.25" customHeight="1">
      <c r="A2063" s="9"/>
      <c r="B2063" s="8"/>
      <c r="C2063" s="8"/>
      <c r="D2063" s="8"/>
      <c r="E2063" s="8"/>
      <c r="F2063" s="8"/>
      <c r="G2063" s="8"/>
      <c r="H2063" s="8"/>
      <c r="I2063" s="10"/>
      <c r="J2063" s="10"/>
      <c r="K2063" s="18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</row>
    <row r="2064" ht="14.25" customHeight="1">
      <c r="A2064" s="9"/>
      <c r="B2064" s="8"/>
      <c r="C2064" s="8"/>
      <c r="D2064" s="8"/>
      <c r="E2064" s="8"/>
      <c r="F2064" s="8"/>
      <c r="G2064" s="8"/>
      <c r="H2064" s="8"/>
      <c r="I2064" s="10"/>
      <c r="J2064" s="10"/>
      <c r="K2064" s="18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</row>
    <row r="2065" ht="14.25" customHeight="1">
      <c r="A2065" s="9"/>
      <c r="B2065" s="8"/>
      <c r="C2065" s="8"/>
      <c r="D2065" s="8"/>
      <c r="E2065" s="8"/>
      <c r="F2065" s="8"/>
      <c r="G2065" s="8"/>
      <c r="H2065" s="8"/>
      <c r="I2065" s="10"/>
      <c r="J2065" s="10"/>
      <c r="K2065" s="18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</row>
    <row r="2066" ht="14.25" customHeight="1">
      <c r="A2066" s="9"/>
      <c r="B2066" s="8"/>
      <c r="C2066" s="8"/>
      <c r="D2066" s="8"/>
      <c r="E2066" s="8"/>
      <c r="F2066" s="8"/>
      <c r="G2066" s="8"/>
      <c r="H2066" s="8"/>
      <c r="I2066" s="10"/>
      <c r="J2066" s="10"/>
      <c r="K2066" s="18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</row>
    <row r="2067" ht="14.25" customHeight="1">
      <c r="A2067" s="9"/>
      <c r="B2067" s="8"/>
      <c r="C2067" s="8"/>
      <c r="D2067" s="8"/>
      <c r="E2067" s="8"/>
      <c r="F2067" s="8"/>
      <c r="G2067" s="8"/>
      <c r="H2067" s="8"/>
      <c r="I2067" s="10"/>
      <c r="J2067" s="10"/>
      <c r="K2067" s="18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</row>
    <row r="2068" ht="14.25" customHeight="1">
      <c r="A2068" s="9"/>
      <c r="B2068" s="8"/>
      <c r="C2068" s="8"/>
      <c r="D2068" s="8"/>
      <c r="E2068" s="8"/>
      <c r="F2068" s="8"/>
      <c r="G2068" s="8"/>
      <c r="H2068" s="8"/>
      <c r="I2068" s="10"/>
      <c r="J2068" s="10"/>
      <c r="K2068" s="18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</row>
    <row r="2069" ht="14.25" customHeight="1">
      <c r="A2069" s="9"/>
      <c r="B2069" s="8"/>
      <c r="C2069" s="8"/>
      <c r="D2069" s="8"/>
      <c r="E2069" s="8"/>
      <c r="F2069" s="8"/>
      <c r="G2069" s="8"/>
      <c r="H2069" s="8"/>
      <c r="I2069" s="10"/>
      <c r="J2069" s="10"/>
      <c r="K2069" s="18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</row>
    <row r="2070" ht="14.25" customHeight="1">
      <c r="A2070" s="9"/>
      <c r="B2070" s="8"/>
      <c r="C2070" s="8"/>
      <c r="D2070" s="8"/>
      <c r="E2070" s="8"/>
      <c r="F2070" s="8"/>
      <c r="G2070" s="8"/>
      <c r="H2070" s="8"/>
      <c r="I2070" s="10"/>
      <c r="J2070" s="10"/>
      <c r="K2070" s="18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</row>
    <row r="2071" ht="14.25" customHeight="1">
      <c r="A2071" s="9"/>
      <c r="B2071" s="8"/>
      <c r="C2071" s="8"/>
      <c r="D2071" s="8"/>
      <c r="E2071" s="8"/>
      <c r="F2071" s="8"/>
      <c r="G2071" s="8"/>
      <c r="H2071" s="8"/>
      <c r="I2071" s="10"/>
      <c r="J2071" s="10"/>
      <c r="K2071" s="18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</row>
    <row r="2072" ht="14.25" customHeight="1">
      <c r="A2072" s="9"/>
      <c r="B2072" s="8"/>
      <c r="C2072" s="8"/>
      <c r="D2072" s="8"/>
      <c r="E2072" s="8"/>
      <c r="F2072" s="8"/>
      <c r="G2072" s="8"/>
      <c r="H2072" s="8"/>
      <c r="I2072" s="10"/>
      <c r="J2072" s="10"/>
      <c r="K2072" s="18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</row>
    <row r="2073" ht="14.25" customHeight="1">
      <c r="A2073" s="9"/>
      <c r="B2073" s="8"/>
      <c r="C2073" s="8"/>
      <c r="D2073" s="8"/>
      <c r="E2073" s="8"/>
      <c r="F2073" s="8"/>
      <c r="G2073" s="8"/>
      <c r="H2073" s="8"/>
      <c r="I2073" s="10"/>
      <c r="J2073" s="10"/>
      <c r="K2073" s="18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</row>
    <row r="2074" ht="14.25" customHeight="1">
      <c r="A2074" s="9"/>
      <c r="B2074" s="8"/>
      <c r="C2074" s="8"/>
      <c r="D2074" s="8"/>
      <c r="E2074" s="8"/>
      <c r="F2074" s="8"/>
      <c r="G2074" s="8"/>
      <c r="H2074" s="8"/>
      <c r="I2074" s="10"/>
      <c r="J2074" s="10"/>
      <c r="K2074" s="18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</row>
    <row r="2075" ht="14.25" customHeight="1">
      <c r="A2075" s="9"/>
      <c r="B2075" s="8"/>
      <c r="C2075" s="8"/>
      <c r="D2075" s="8"/>
      <c r="E2075" s="8"/>
      <c r="F2075" s="8"/>
      <c r="G2075" s="8"/>
      <c r="H2075" s="8"/>
      <c r="I2075" s="10"/>
      <c r="J2075" s="10"/>
      <c r="K2075" s="18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</row>
    <row r="2076" ht="14.25" customHeight="1">
      <c r="A2076" s="9"/>
      <c r="B2076" s="8"/>
      <c r="C2076" s="8"/>
      <c r="D2076" s="8"/>
      <c r="E2076" s="8"/>
      <c r="F2076" s="8"/>
      <c r="G2076" s="8"/>
      <c r="H2076" s="8"/>
      <c r="I2076" s="10"/>
      <c r="J2076" s="10"/>
      <c r="K2076" s="18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</row>
    <row r="2077" ht="14.25" customHeight="1">
      <c r="A2077" s="9"/>
      <c r="B2077" s="8"/>
      <c r="C2077" s="8"/>
      <c r="D2077" s="8"/>
      <c r="E2077" s="8"/>
      <c r="F2077" s="8"/>
      <c r="G2077" s="8"/>
      <c r="H2077" s="8"/>
      <c r="I2077" s="10"/>
      <c r="J2077" s="10"/>
      <c r="K2077" s="18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</row>
    <row r="2078" ht="14.25" customHeight="1">
      <c r="A2078" s="9"/>
      <c r="B2078" s="8"/>
      <c r="C2078" s="8"/>
      <c r="D2078" s="8"/>
      <c r="E2078" s="8"/>
      <c r="F2078" s="8"/>
      <c r="G2078" s="8"/>
      <c r="H2078" s="8"/>
      <c r="I2078" s="10"/>
      <c r="J2078" s="10"/>
      <c r="K2078" s="18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</row>
    <row r="2079" ht="14.25" customHeight="1">
      <c r="A2079" s="9"/>
      <c r="B2079" s="8"/>
      <c r="C2079" s="8"/>
      <c r="D2079" s="8"/>
      <c r="E2079" s="8"/>
      <c r="F2079" s="8"/>
      <c r="G2079" s="8"/>
      <c r="H2079" s="8"/>
      <c r="I2079" s="10"/>
      <c r="J2079" s="10"/>
      <c r="K2079" s="18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</row>
    <row r="2080" ht="14.25" customHeight="1">
      <c r="A2080" s="9"/>
      <c r="B2080" s="8"/>
      <c r="C2080" s="8"/>
      <c r="D2080" s="8"/>
      <c r="E2080" s="8"/>
      <c r="F2080" s="8"/>
      <c r="G2080" s="8"/>
      <c r="H2080" s="8"/>
      <c r="I2080" s="10"/>
      <c r="J2080" s="10"/>
      <c r="K2080" s="18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</row>
    <row r="2081" ht="14.25" customHeight="1">
      <c r="A2081" s="9"/>
      <c r="B2081" s="8"/>
      <c r="C2081" s="8"/>
      <c r="D2081" s="8"/>
      <c r="E2081" s="8"/>
      <c r="F2081" s="8"/>
      <c r="G2081" s="8"/>
      <c r="H2081" s="8"/>
      <c r="I2081" s="10"/>
      <c r="J2081" s="10"/>
      <c r="K2081" s="18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</row>
    <row r="2082" ht="14.25" customHeight="1">
      <c r="A2082" s="9"/>
      <c r="B2082" s="8"/>
      <c r="C2082" s="8"/>
      <c r="D2082" s="8"/>
      <c r="E2082" s="8"/>
      <c r="F2082" s="8"/>
      <c r="G2082" s="8"/>
      <c r="H2082" s="8"/>
      <c r="I2082" s="10"/>
      <c r="J2082" s="10"/>
      <c r="K2082" s="18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</row>
    <row r="2083" ht="14.25" customHeight="1">
      <c r="A2083" s="9"/>
      <c r="B2083" s="8"/>
      <c r="C2083" s="8"/>
      <c r="D2083" s="8"/>
      <c r="E2083" s="8"/>
      <c r="F2083" s="8"/>
      <c r="G2083" s="8"/>
      <c r="H2083" s="8"/>
      <c r="I2083" s="10"/>
      <c r="J2083" s="10"/>
      <c r="K2083" s="18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</row>
    <row r="2084" ht="14.25" customHeight="1">
      <c r="A2084" s="9"/>
      <c r="B2084" s="8"/>
      <c r="C2084" s="8"/>
      <c r="D2084" s="8"/>
      <c r="E2084" s="8"/>
      <c r="F2084" s="8"/>
      <c r="G2084" s="8"/>
      <c r="H2084" s="8"/>
      <c r="I2084" s="10"/>
      <c r="J2084" s="10"/>
      <c r="K2084" s="18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</row>
    <row r="2085" ht="14.25" customHeight="1">
      <c r="A2085" s="9"/>
      <c r="B2085" s="8"/>
      <c r="C2085" s="8"/>
      <c r="D2085" s="8"/>
      <c r="E2085" s="8"/>
      <c r="F2085" s="8"/>
      <c r="G2085" s="8"/>
      <c r="H2085" s="8"/>
      <c r="I2085" s="10"/>
      <c r="J2085" s="10"/>
      <c r="K2085" s="18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</row>
    <row r="2086" ht="14.25" customHeight="1">
      <c r="A2086" s="9"/>
      <c r="B2086" s="8"/>
      <c r="C2086" s="8"/>
      <c r="D2086" s="8"/>
      <c r="E2086" s="8"/>
      <c r="F2086" s="8"/>
      <c r="G2086" s="8"/>
      <c r="H2086" s="8"/>
      <c r="I2086" s="10"/>
      <c r="J2086" s="10"/>
      <c r="K2086" s="18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</row>
    <row r="2087" ht="14.25" customHeight="1">
      <c r="A2087" s="9"/>
      <c r="B2087" s="8"/>
      <c r="C2087" s="8"/>
      <c r="D2087" s="8"/>
      <c r="E2087" s="8"/>
      <c r="F2087" s="8"/>
      <c r="G2087" s="8"/>
      <c r="H2087" s="8"/>
      <c r="I2087" s="10"/>
      <c r="J2087" s="10"/>
      <c r="K2087" s="18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</row>
    <row r="2088" ht="14.25" customHeight="1">
      <c r="A2088" s="9"/>
      <c r="B2088" s="8"/>
      <c r="C2088" s="8"/>
      <c r="D2088" s="8"/>
      <c r="E2088" s="8"/>
      <c r="F2088" s="8"/>
      <c r="G2088" s="8"/>
      <c r="H2088" s="8"/>
      <c r="I2088" s="10"/>
      <c r="J2088" s="10"/>
      <c r="K2088" s="18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</row>
    <row r="2089" ht="14.25" customHeight="1">
      <c r="A2089" s="9"/>
      <c r="B2089" s="8"/>
      <c r="C2089" s="8"/>
      <c r="D2089" s="8"/>
      <c r="E2089" s="8"/>
      <c r="F2089" s="8"/>
      <c r="G2089" s="8"/>
      <c r="H2089" s="8"/>
      <c r="I2089" s="10"/>
      <c r="J2089" s="10"/>
      <c r="K2089" s="18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</row>
    <row r="2090" ht="14.25" customHeight="1">
      <c r="A2090" s="9"/>
      <c r="B2090" s="8"/>
      <c r="C2090" s="8"/>
      <c r="D2090" s="8"/>
      <c r="E2090" s="8"/>
      <c r="F2090" s="8"/>
      <c r="G2090" s="8"/>
      <c r="H2090" s="8"/>
      <c r="I2090" s="10"/>
      <c r="J2090" s="10"/>
      <c r="K2090" s="18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</row>
    <row r="2091" ht="14.25" customHeight="1">
      <c r="A2091" s="9"/>
      <c r="B2091" s="8"/>
      <c r="C2091" s="8"/>
      <c r="D2091" s="8"/>
      <c r="E2091" s="8"/>
      <c r="F2091" s="8"/>
      <c r="G2091" s="8"/>
      <c r="H2091" s="8"/>
      <c r="I2091" s="10"/>
      <c r="J2091" s="10"/>
      <c r="K2091" s="18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</row>
    <row r="2092" ht="14.25" customHeight="1">
      <c r="A2092" s="9"/>
      <c r="B2092" s="8"/>
      <c r="C2092" s="8"/>
      <c r="D2092" s="8"/>
      <c r="E2092" s="8"/>
      <c r="F2092" s="8"/>
      <c r="G2092" s="8"/>
      <c r="H2092" s="8"/>
      <c r="I2092" s="10"/>
      <c r="J2092" s="10"/>
      <c r="K2092" s="18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</row>
    <row r="2093" ht="14.25" customHeight="1">
      <c r="A2093" s="9"/>
      <c r="B2093" s="8"/>
      <c r="C2093" s="8"/>
      <c r="D2093" s="8"/>
      <c r="E2093" s="8"/>
      <c r="F2093" s="8"/>
      <c r="G2093" s="8"/>
      <c r="H2093" s="8"/>
      <c r="I2093" s="10"/>
      <c r="J2093" s="10"/>
      <c r="K2093" s="18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</row>
    <row r="2094" ht="14.25" customHeight="1">
      <c r="A2094" s="9"/>
      <c r="B2094" s="8"/>
      <c r="C2094" s="8"/>
      <c r="D2094" s="8"/>
      <c r="E2094" s="8"/>
      <c r="F2094" s="8"/>
      <c r="G2094" s="8"/>
      <c r="H2094" s="8"/>
      <c r="I2094" s="10"/>
      <c r="J2094" s="10"/>
      <c r="K2094" s="18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</row>
    <row r="2095" ht="14.25" customHeight="1">
      <c r="A2095" s="9"/>
      <c r="B2095" s="8"/>
      <c r="C2095" s="8"/>
      <c r="D2095" s="8"/>
      <c r="E2095" s="8"/>
      <c r="F2095" s="8"/>
      <c r="G2095" s="8"/>
      <c r="H2095" s="8"/>
      <c r="I2095" s="10"/>
      <c r="J2095" s="10"/>
      <c r="K2095" s="18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</row>
    <row r="2096" ht="14.25" customHeight="1">
      <c r="A2096" s="9"/>
      <c r="B2096" s="8"/>
      <c r="C2096" s="8"/>
      <c r="D2096" s="8"/>
      <c r="E2096" s="8"/>
      <c r="F2096" s="8"/>
      <c r="G2096" s="8"/>
      <c r="H2096" s="8"/>
      <c r="I2096" s="10"/>
      <c r="J2096" s="10"/>
      <c r="K2096" s="18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</row>
    <row r="2097" ht="14.25" customHeight="1">
      <c r="A2097" s="9"/>
      <c r="B2097" s="8"/>
      <c r="C2097" s="8"/>
      <c r="D2097" s="8"/>
      <c r="E2097" s="8"/>
      <c r="F2097" s="8"/>
      <c r="G2097" s="8"/>
      <c r="H2097" s="8"/>
      <c r="I2097" s="10"/>
      <c r="J2097" s="10"/>
      <c r="K2097" s="18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</row>
    <row r="2098" ht="14.25" customHeight="1">
      <c r="A2098" s="9"/>
      <c r="B2098" s="8"/>
      <c r="C2098" s="8"/>
      <c r="D2098" s="8"/>
      <c r="E2098" s="8"/>
      <c r="F2098" s="8"/>
      <c r="G2098" s="8"/>
      <c r="H2098" s="8"/>
      <c r="I2098" s="10"/>
      <c r="J2098" s="10"/>
      <c r="K2098" s="18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</row>
    <row r="2099" ht="14.25" customHeight="1">
      <c r="A2099" s="9"/>
      <c r="B2099" s="8"/>
      <c r="C2099" s="8"/>
      <c r="D2099" s="8"/>
      <c r="E2099" s="8"/>
      <c r="F2099" s="8"/>
      <c r="G2099" s="8"/>
      <c r="H2099" s="8"/>
      <c r="I2099" s="10"/>
      <c r="J2099" s="10"/>
      <c r="K2099" s="18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</row>
    <row r="2100" ht="14.25" customHeight="1">
      <c r="A2100" s="9"/>
      <c r="B2100" s="8"/>
      <c r="C2100" s="8"/>
      <c r="D2100" s="8"/>
      <c r="E2100" s="8"/>
      <c r="F2100" s="8"/>
      <c r="G2100" s="8"/>
      <c r="H2100" s="8"/>
      <c r="I2100" s="10"/>
      <c r="J2100" s="10"/>
      <c r="K2100" s="18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</row>
    <row r="2101" ht="14.25" customHeight="1">
      <c r="A2101" s="9"/>
      <c r="B2101" s="8"/>
      <c r="C2101" s="8"/>
      <c r="D2101" s="8"/>
      <c r="E2101" s="8"/>
      <c r="F2101" s="8"/>
      <c r="G2101" s="8"/>
      <c r="H2101" s="8"/>
      <c r="I2101" s="10"/>
      <c r="J2101" s="10"/>
      <c r="K2101" s="18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</row>
    <row r="2102" ht="14.25" customHeight="1">
      <c r="A2102" s="9"/>
      <c r="B2102" s="8"/>
      <c r="C2102" s="8"/>
      <c r="D2102" s="8"/>
      <c r="E2102" s="8"/>
      <c r="F2102" s="8"/>
      <c r="G2102" s="8"/>
      <c r="H2102" s="8"/>
      <c r="I2102" s="10"/>
      <c r="J2102" s="10"/>
      <c r="K2102" s="18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</row>
    <row r="2103" ht="14.25" customHeight="1">
      <c r="A2103" s="9"/>
      <c r="B2103" s="8"/>
      <c r="C2103" s="8"/>
      <c r="D2103" s="8"/>
      <c r="E2103" s="8"/>
      <c r="F2103" s="8"/>
      <c r="G2103" s="8"/>
      <c r="H2103" s="8"/>
      <c r="I2103" s="10"/>
      <c r="J2103" s="10"/>
      <c r="K2103" s="18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</row>
    <row r="2104" ht="14.25" customHeight="1">
      <c r="A2104" s="9"/>
      <c r="B2104" s="8"/>
      <c r="C2104" s="8"/>
      <c r="D2104" s="8"/>
      <c r="E2104" s="8"/>
      <c r="F2104" s="8"/>
      <c r="G2104" s="8"/>
      <c r="H2104" s="8"/>
      <c r="I2104" s="10"/>
      <c r="J2104" s="10"/>
      <c r="K2104" s="18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</row>
    <row r="2105" ht="14.25" customHeight="1">
      <c r="A2105" s="9"/>
      <c r="B2105" s="8"/>
      <c r="C2105" s="8"/>
      <c r="D2105" s="8"/>
      <c r="E2105" s="8"/>
      <c r="F2105" s="8"/>
      <c r="G2105" s="8"/>
      <c r="H2105" s="8"/>
      <c r="I2105" s="10"/>
      <c r="J2105" s="10"/>
      <c r="K2105" s="18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</row>
    <row r="2106" ht="14.25" customHeight="1">
      <c r="A2106" s="9"/>
      <c r="B2106" s="8"/>
      <c r="C2106" s="8"/>
      <c r="D2106" s="8"/>
      <c r="E2106" s="8"/>
      <c r="F2106" s="8"/>
      <c r="G2106" s="8"/>
      <c r="H2106" s="8"/>
      <c r="I2106" s="10"/>
      <c r="J2106" s="10"/>
      <c r="K2106" s="18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</row>
    <row r="2107" ht="14.25" customHeight="1">
      <c r="A2107" s="9"/>
      <c r="B2107" s="8"/>
      <c r="C2107" s="8"/>
      <c r="D2107" s="8"/>
      <c r="E2107" s="8"/>
      <c r="F2107" s="8"/>
      <c r="G2107" s="8"/>
      <c r="H2107" s="8"/>
      <c r="I2107" s="10"/>
      <c r="J2107" s="10"/>
      <c r="K2107" s="18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</row>
    <row r="2108" ht="14.25" customHeight="1">
      <c r="A2108" s="9"/>
      <c r="B2108" s="8"/>
      <c r="C2108" s="8"/>
      <c r="D2108" s="8"/>
      <c r="E2108" s="8"/>
      <c r="F2108" s="8"/>
      <c r="G2108" s="8"/>
      <c r="H2108" s="8"/>
      <c r="I2108" s="10"/>
      <c r="J2108" s="10"/>
      <c r="K2108" s="18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</row>
    <row r="2109" ht="14.25" customHeight="1">
      <c r="A2109" s="9"/>
      <c r="B2109" s="8"/>
      <c r="C2109" s="8"/>
      <c r="D2109" s="8"/>
      <c r="E2109" s="8"/>
      <c r="F2109" s="8"/>
      <c r="G2109" s="8"/>
      <c r="H2109" s="8"/>
      <c r="I2109" s="10"/>
      <c r="J2109" s="10"/>
      <c r="K2109" s="18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</row>
    <row r="2110" ht="14.25" customHeight="1">
      <c r="A2110" s="9"/>
      <c r="B2110" s="8"/>
      <c r="C2110" s="8"/>
      <c r="D2110" s="8"/>
      <c r="E2110" s="8"/>
      <c r="F2110" s="8"/>
      <c r="G2110" s="8"/>
      <c r="H2110" s="8"/>
      <c r="I2110" s="10"/>
      <c r="J2110" s="10"/>
      <c r="K2110" s="18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</row>
    <row r="2111" ht="14.25" customHeight="1">
      <c r="A2111" s="9"/>
      <c r="B2111" s="8"/>
      <c r="C2111" s="8"/>
      <c r="D2111" s="8"/>
      <c r="E2111" s="8"/>
      <c r="F2111" s="8"/>
      <c r="G2111" s="8"/>
      <c r="H2111" s="8"/>
      <c r="I2111" s="10"/>
      <c r="J2111" s="10"/>
      <c r="K2111" s="18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</row>
    <row r="2112" ht="14.25" customHeight="1">
      <c r="A2112" s="9"/>
      <c r="B2112" s="8"/>
      <c r="C2112" s="8"/>
      <c r="D2112" s="8"/>
      <c r="E2112" s="8"/>
      <c r="F2112" s="8"/>
      <c r="G2112" s="8"/>
      <c r="H2112" s="8"/>
      <c r="I2112" s="10"/>
      <c r="J2112" s="10"/>
      <c r="K2112" s="18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</row>
    <row r="2113" ht="14.25" customHeight="1">
      <c r="A2113" s="9"/>
      <c r="B2113" s="8"/>
      <c r="C2113" s="8"/>
      <c r="D2113" s="8"/>
      <c r="E2113" s="8"/>
      <c r="F2113" s="8"/>
      <c r="G2113" s="8"/>
      <c r="H2113" s="8"/>
      <c r="I2113" s="10"/>
      <c r="J2113" s="10"/>
      <c r="K2113" s="18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</row>
    <row r="2114" ht="14.25" customHeight="1">
      <c r="A2114" s="9"/>
      <c r="B2114" s="8"/>
      <c r="C2114" s="8"/>
      <c r="D2114" s="8"/>
      <c r="E2114" s="8"/>
      <c r="F2114" s="8"/>
      <c r="G2114" s="8"/>
      <c r="H2114" s="8"/>
      <c r="I2114" s="10"/>
      <c r="J2114" s="10"/>
      <c r="K2114" s="18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</row>
    <row r="2115" ht="14.25" customHeight="1">
      <c r="A2115" s="9"/>
      <c r="B2115" s="8"/>
      <c r="C2115" s="8"/>
      <c r="D2115" s="8"/>
      <c r="E2115" s="8"/>
      <c r="F2115" s="8"/>
      <c r="G2115" s="8"/>
      <c r="H2115" s="8"/>
      <c r="I2115" s="10"/>
      <c r="J2115" s="10"/>
      <c r="K2115" s="18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</row>
    <row r="2116" ht="14.25" customHeight="1">
      <c r="A2116" s="9"/>
      <c r="B2116" s="8"/>
      <c r="C2116" s="8"/>
      <c r="D2116" s="8"/>
      <c r="E2116" s="8"/>
      <c r="F2116" s="8"/>
      <c r="G2116" s="8"/>
      <c r="H2116" s="8"/>
      <c r="I2116" s="10"/>
      <c r="J2116" s="10"/>
      <c r="K2116" s="18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</row>
    <row r="2117" ht="14.25" customHeight="1">
      <c r="A2117" s="9"/>
      <c r="B2117" s="8"/>
      <c r="C2117" s="8"/>
      <c r="D2117" s="8"/>
      <c r="E2117" s="8"/>
      <c r="F2117" s="8"/>
      <c r="G2117" s="8"/>
      <c r="H2117" s="8"/>
      <c r="I2117" s="10"/>
      <c r="J2117" s="10"/>
      <c r="K2117" s="18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</row>
    <row r="2118" ht="14.25" customHeight="1">
      <c r="A2118" s="9"/>
      <c r="B2118" s="8"/>
      <c r="C2118" s="8"/>
      <c r="D2118" s="8"/>
      <c r="E2118" s="8"/>
      <c r="F2118" s="8"/>
      <c r="G2118" s="8"/>
      <c r="H2118" s="8"/>
      <c r="I2118" s="10"/>
      <c r="J2118" s="10"/>
      <c r="K2118" s="18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</row>
    <row r="2119" ht="14.25" customHeight="1">
      <c r="A2119" s="9"/>
      <c r="B2119" s="8"/>
      <c r="C2119" s="8"/>
      <c r="D2119" s="8"/>
      <c r="E2119" s="8"/>
      <c r="F2119" s="8"/>
      <c r="G2119" s="8"/>
      <c r="H2119" s="8"/>
      <c r="I2119" s="10"/>
      <c r="J2119" s="10"/>
      <c r="K2119" s="18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</row>
    <row r="2120" ht="14.25" customHeight="1">
      <c r="A2120" s="9"/>
      <c r="B2120" s="8"/>
      <c r="C2120" s="8"/>
      <c r="D2120" s="8"/>
      <c r="E2120" s="8"/>
      <c r="F2120" s="8"/>
      <c r="G2120" s="8"/>
      <c r="H2120" s="8"/>
      <c r="I2120" s="10"/>
      <c r="J2120" s="10"/>
      <c r="K2120" s="18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</row>
    <row r="2121" ht="14.25" customHeight="1">
      <c r="A2121" s="9"/>
      <c r="B2121" s="8"/>
      <c r="C2121" s="8"/>
      <c r="D2121" s="8"/>
      <c r="E2121" s="8"/>
      <c r="F2121" s="8"/>
      <c r="G2121" s="8"/>
      <c r="H2121" s="8"/>
      <c r="I2121" s="10"/>
      <c r="J2121" s="10"/>
      <c r="K2121" s="18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</row>
    <row r="2122" ht="14.25" customHeight="1">
      <c r="A2122" s="9"/>
      <c r="B2122" s="8"/>
      <c r="C2122" s="8"/>
      <c r="D2122" s="8"/>
      <c r="E2122" s="8"/>
      <c r="F2122" s="8"/>
      <c r="G2122" s="8"/>
      <c r="H2122" s="8"/>
      <c r="I2122" s="10"/>
      <c r="J2122" s="10"/>
      <c r="K2122" s="18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</row>
    <row r="2123" ht="14.25" customHeight="1">
      <c r="A2123" s="9"/>
      <c r="B2123" s="8"/>
      <c r="C2123" s="8"/>
      <c r="D2123" s="8"/>
      <c r="E2123" s="8"/>
      <c r="F2123" s="8"/>
      <c r="G2123" s="8"/>
      <c r="H2123" s="8"/>
      <c r="I2123" s="10"/>
      <c r="J2123" s="10"/>
      <c r="K2123" s="18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</row>
    <row r="2124" ht="14.25" customHeight="1">
      <c r="A2124" s="9"/>
      <c r="B2124" s="8"/>
      <c r="C2124" s="8"/>
      <c r="D2124" s="8"/>
      <c r="E2124" s="8"/>
      <c r="F2124" s="8"/>
      <c r="G2124" s="8"/>
      <c r="H2124" s="8"/>
      <c r="I2124" s="10"/>
      <c r="J2124" s="10"/>
      <c r="K2124" s="18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</row>
    <row r="2125" ht="14.25" customHeight="1">
      <c r="A2125" s="9"/>
      <c r="B2125" s="8"/>
      <c r="C2125" s="8"/>
      <c r="D2125" s="8"/>
      <c r="E2125" s="8"/>
      <c r="F2125" s="8"/>
      <c r="G2125" s="8"/>
      <c r="H2125" s="8"/>
      <c r="I2125" s="10"/>
      <c r="J2125" s="10"/>
      <c r="K2125" s="18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</row>
    <row r="2126" ht="14.25" customHeight="1">
      <c r="A2126" s="9"/>
      <c r="B2126" s="8"/>
      <c r="C2126" s="8"/>
      <c r="D2126" s="8"/>
      <c r="E2126" s="8"/>
      <c r="F2126" s="8"/>
      <c r="G2126" s="8"/>
      <c r="H2126" s="8"/>
      <c r="I2126" s="10"/>
      <c r="J2126" s="10"/>
      <c r="K2126" s="18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</row>
    <row r="2127" ht="14.25" customHeight="1">
      <c r="A2127" s="9"/>
      <c r="B2127" s="8"/>
      <c r="C2127" s="8"/>
      <c r="D2127" s="8"/>
      <c r="E2127" s="8"/>
      <c r="F2127" s="8"/>
      <c r="G2127" s="8"/>
      <c r="H2127" s="8"/>
      <c r="I2127" s="10"/>
      <c r="J2127" s="10"/>
      <c r="K2127" s="18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</row>
    <row r="2128" ht="14.25" customHeight="1">
      <c r="A2128" s="9"/>
      <c r="B2128" s="8"/>
      <c r="C2128" s="8"/>
      <c r="D2128" s="8"/>
      <c r="E2128" s="8"/>
      <c r="F2128" s="8"/>
      <c r="G2128" s="8"/>
      <c r="H2128" s="8"/>
      <c r="I2128" s="10"/>
      <c r="J2128" s="10"/>
      <c r="K2128" s="18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</row>
    <row r="2129" ht="14.25" customHeight="1">
      <c r="A2129" s="9"/>
      <c r="B2129" s="8"/>
      <c r="C2129" s="8"/>
      <c r="D2129" s="8"/>
      <c r="E2129" s="8"/>
      <c r="F2129" s="8"/>
      <c r="G2129" s="8"/>
      <c r="H2129" s="8"/>
      <c r="I2129" s="10"/>
      <c r="J2129" s="10"/>
      <c r="K2129" s="18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</row>
    <row r="2130" ht="14.25" customHeight="1">
      <c r="A2130" s="9"/>
      <c r="B2130" s="8"/>
      <c r="C2130" s="8"/>
      <c r="D2130" s="8"/>
      <c r="E2130" s="8"/>
      <c r="F2130" s="8"/>
      <c r="G2130" s="8"/>
      <c r="H2130" s="8"/>
      <c r="I2130" s="10"/>
      <c r="J2130" s="10"/>
      <c r="K2130" s="18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</row>
  </sheetData>
  <autoFilter ref="$A$2:$L$1203"/>
  <mergeCells count="1">
    <mergeCell ref="A1:J1"/>
  </mergeCells>
  <printOptions/>
  <pageMargins bottom="0.25" footer="0.0" header="0.0" left="0.2" right="0.2" top="0.75"/>
  <pageSetup scale="97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3" width="21.57"/>
    <col customWidth="1" min="4" max="5" width="14.43"/>
    <col customWidth="1" min="6" max="6" width="26.57"/>
    <col customWidth="1" min="7" max="7" width="14.43"/>
    <col customWidth="1" min="8" max="8" width="25.86"/>
    <col customWidth="1" min="9" max="11" width="14.43"/>
    <col customWidth="1" min="12" max="26" width="8.71"/>
  </cols>
  <sheetData>
    <row r="1" ht="37.5" customHeight="1">
      <c r="A1" s="1" t="s">
        <v>1759</v>
      </c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38" t="s">
        <v>5</v>
      </c>
      <c r="B2" s="39" t="s">
        <v>6</v>
      </c>
      <c r="C2" s="39" t="s">
        <v>7</v>
      </c>
      <c r="D2" s="39" t="s">
        <v>8</v>
      </c>
      <c r="E2" s="39" t="s">
        <v>9</v>
      </c>
      <c r="F2" s="39" t="s">
        <v>10</v>
      </c>
      <c r="G2" s="39" t="s">
        <v>11</v>
      </c>
      <c r="H2" s="39" t="s">
        <v>12</v>
      </c>
      <c r="I2" s="39" t="s">
        <v>13</v>
      </c>
      <c r="J2" s="39" t="s">
        <v>14</v>
      </c>
      <c r="K2" s="40" t="s">
        <v>1774</v>
      </c>
      <c r="L2" s="39" t="s">
        <v>16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41" t="s">
        <v>1777</v>
      </c>
      <c r="B3" s="42" t="s">
        <v>1779</v>
      </c>
      <c r="C3" s="42" t="s">
        <v>379</v>
      </c>
      <c r="D3" s="42" t="s">
        <v>94</v>
      </c>
      <c r="E3" s="42" t="s">
        <v>21</v>
      </c>
      <c r="F3" s="42" t="s">
        <v>1782</v>
      </c>
      <c r="G3" s="42" t="s">
        <v>23</v>
      </c>
      <c r="H3" s="42" t="s">
        <v>207</v>
      </c>
      <c r="I3" s="43">
        <v>42887.0</v>
      </c>
      <c r="J3" s="29"/>
      <c r="K3" s="44">
        <v>43983.0</v>
      </c>
      <c r="L3" s="45">
        <v>3.0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41" t="s">
        <v>31</v>
      </c>
      <c r="B4" s="42" t="s">
        <v>1789</v>
      </c>
      <c r="C4" s="42" t="s">
        <v>1791</v>
      </c>
      <c r="D4" s="42" t="s">
        <v>317</v>
      </c>
      <c r="E4" s="42" t="s">
        <v>21</v>
      </c>
      <c r="F4" s="42" t="s">
        <v>1794</v>
      </c>
      <c r="G4" s="42" t="s">
        <v>46</v>
      </c>
      <c r="H4" s="42" t="s">
        <v>171</v>
      </c>
      <c r="I4" s="43">
        <v>43617.0</v>
      </c>
      <c r="J4" s="29"/>
      <c r="K4" s="44">
        <v>44713.0</v>
      </c>
      <c r="L4" s="42">
        <v>3.0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41" t="s">
        <v>1795</v>
      </c>
      <c r="B5" s="42" t="s">
        <v>1796</v>
      </c>
      <c r="C5" s="32"/>
      <c r="D5" s="32"/>
      <c r="E5" s="42" t="s">
        <v>884</v>
      </c>
      <c r="F5" s="42" t="s">
        <v>1670</v>
      </c>
      <c r="G5" s="42" t="s">
        <v>36</v>
      </c>
      <c r="H5" s="42" t="s">
        <v>287</v>
      </c>
      <c r="I5" s="43">
        <v>42887.0</v>
      </c>
      <c r="J5" s="29"/>
      <c r="K5" s="44">
        <v>43983.0</v>
      </c>
      <c r="L5" s="45">
        <v>3.0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41" t="s">
        <v>411</v>
      </c>
      <c r="B6" s="42" t="s">
        <v>1798</v>
      </c>
      <c r="C6" s="42" t="s">
        <v>1799</v>
      </c>
      <c r="D6" s="42" t="s">
        <v>282</v>
      </c>
      <c r="E6" s="42" t="s">
        <v>21</v>
      </c>
      <c r="F6" s="42" t="s">
        <v>1800</v>
      </c>
      <c r="G6" s="42" t="s">
        <v>46</v>
      </c>
      <c r="H6" s="42" t="s">
        <v>207</v>
      </c>
      <c r="I6" s="43">
        <v>42887.0</v>
      </c>
      <c r="J6" s="29"/>
      <c r="K6" s="44">
        <v>43983.0</v>
      </c>
      <c r="L6" s="45">
        <v>3.0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A7" s="41" t="s">
        <v>1805</v>
      </c>
      <c r="B7" s="42" t="s">
        <v>1806</v>
      </c>
      <c r="C7" s="42" t="s">
        <v>1808</v>
      </c>
      <c r="D7" s="42" t="s">
        <v>222</v>
      </c>
      <c r="E7" s="42" t="s">
        <v>21</v>
      </c>
      <c r="F7" s="42" t="s">
        <v>1809</v>
      </c>
      <c r="G7" s="42" t="s">
        <v>46</v>
      </c>
      <c r="H7" s="42" t="s">
        <v>241</v>
      </c>
      <c r="I7" s="43">
        <v>43617.0</v>
      </c>
      <c r="J7" s="29"/>
      <c r="K7" s="44">
        <v>44713.0</v>
      </c>
      <c r="L7" s="42">
        <v>3.0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41" t="s">
        <v>1811</v>
      </c>
      <c r="B8" s="42" t="s">
        <v>1812</v>
      </c>
      <c r="C8" s="32"/>
      <c r="D8" s="32"/>
      <c r="E8" s="42" t="s">
        <v>187</v>
      </c>
      <c r="F8" s="42" t="s">
        <v>1814</v>
      </c>
      <c r="G8" s="42" t="s">
        <v>36</v>
      </c>
      <c r="H8" s="42" t="s">
        <v>287</v>
      </c>
      <c r="I8" s="43">
        <v>42887.0</v>
      </c>
      <c r="J8" s="29"/>
      <c r="K8" s="44">
        <v>43983.0</v>
      </c>
      <c r="L8" s="45">
        <v>3.0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4.25" customHeight="1">
      <c r="A9" s="41" t="s">
        <v>1815</v>
      </c>
      <c r="B9" s="42" t="s">
        <v>1816</v>
      </c>
      <c r="C9" s="42" t="s">
        <v>1818</v>
      </c>
      <c r="D9" s="42" t="s">
        <v>89</v>
      </c>
      <c r="E9" s="42" t="s">
        <v>21</v>
      </c>
      <c r="F9" s="42" t="s">
        <v>1819</v>
      </c>
      <c r="G9" s="42" t="s">
        <v>23</v>
      </c>
      <c r="H9" s="42" t="s">
        <v>331</v>
      </c>
      <c r="I9" s="43">
        <v>43252.0</v>
      </c>
      <c r="J9" s="29"/>
      <c r="K9" s="44">
        <v>44348.0</v>
      </c>
      <c r="L9" s="45">
        <v>3.0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customHeight="1">
      <c r="A10" s="41" t="s">
        <v>1820</v>
      </c>
      <c r="B10" s="42" t="s">
        <v>1275</v>
      </c>
      <c r="C10" s="42" t="s">
        <v>1822</v>
      </c>
      <c r="D10" s="42" t="s">
        <v>20</v>
      </c>
      <c r="E10" s="42" t="s">
        <v>21</v>
      </c>
      <c r="F10" s="42" t="s">
        <v>1823</v>
      </c>
      <c r="G10" s="42" t="s">
        <v>23</v>
      </c>
      <c r="H10" s="42" t="s">
        <v>328</v>
      </c>
      <c r="I10" s="43">
        <v>43252.0</v>
      </c>
      <c r="J10" s="29"/>
      <c r="K10" s="44">
        <v>44348.0</v>
      </c>
      <c r="L10" s="45">
        <v>3.0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4.25" customHeight="1">
      <c r="A11" s="41" t="s">
        <v>127</v>
      </c>
      <c r="B11" s="42" t="s">
        <v>1826</v>
      </c>
      <c r="C11" s="42" t="s">
        <v>142</v>
      </c>
      <c r="D11" s="42" t="s">
        <v>143</v>
      </c>
      <c r="E11" s="42" t="s">
        <v>21</v>
      </c>
      <c r="F11" s="42" t="s">
        <v>1829</v>
      </c>
      <c r="G11" s="42" t="s">
        <v>36</v>
      </c>
      <c r="H11" s="42" t="s">
        <v>126</v>
      </c>
      <c r="I11" s="43">
        <v>43617.0</v>
      </c>
      <c r="J11" s="43">
        <v>44713.0</v>
      </c>
      <c r="K11" s="44">
        <v>45809.0</v>
      </c>
      <c r="L11" s="42">
        <v>4.0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4.25" customHeight="1">
      <c r="A12" s="41" t="s">
        <v>1831</v>
      </c>
      <c r="B12" s="42" t="s">
        <v>1832</v>
      </c>
      <c r="C12" s="32"/>
      <c r="D12" s="42" t="s">
        <v>27</v>
      </c>
      <c r="E12" s="42" t="s">
        <v>27</v>
      </c>
      <c r="F12" s="42" t="s">
        <v>103</v>
      </c>
      <c r="G12" s="42" t="s">
        <v>30</v>
      </c>
      <c r="H12" s="42" t="s">
        <v>103</v>
      </c>
      <c r="I12" s="43">
        <v>42401.0</v>
      </c>
      <c r="J12" s="29"/>
      <c r="K12" s="44">
        <v>44713.0</v>
      </c>
      <c r="L12" s="45">
        <v>3.0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4.25" customHeight="1">
      <c r="A13" s="41" t="s">
        <v>1834</v>
      </c>
      <c r="B13" s="42" t="s">
        <v>1835</v>
      </c>
      <c r="C13" s="42" t="s">
        <v>1836</v>
      </c>
      <c r="D13" s="42" t="s">
        <v>94</v>
      </c>
      <c r="E13" s="42" t="s">
        <v>21</v>
      </c>
      <c r="F13" s="42" t="s">
        <v>1838</v>
      </c>
      <c r="G13" s="42" t="s">
        <v>46</v>
      </c>
      <c r="H13" s="42" t="s">
        <v>207</v>
      </c>
      <c r="I13" s="43">
        <v>42887.0</v>
      </c>
      <c r="J13" s="43">
        <v>43983.0</v>
      </c>
      <c r="K13" s="44">
        <v>45078.0</v>
      </c>
      <c r="L13" s="45">
        <v>4.0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4.25" customHeight="1">
      <c r="A14" s="41" t="s">
        <v>1840</v>
      </c>
      <c r="B14" s="42" t="s">
        <v>1841</v>
      </c>
      <c r="C14" s="42" t="s">
        <v>182</v>
      </c>
      <c r="D14" s="42" t="s">
        <v>183</v>
      </c>
      <c r="E14" s="42" t="s">
        <v>21</v>
      </c>
      <c r="F14" s="42" t="s">
        <v>1823</v>
      </c>
      <c r="G14" s="42" t="s">
        <v>46</v>
      </c>
      <c r="H14" s="42" t="s">
        <v>184</v>
      </c>
      <c r="I14" s="43">
        <v>42887.0</v>
      </c>
      <c r="J14" s="29"/>
      <c r="K14" s="44">
        <v>43983.0</v>
      </c>
      <c r="L14" s="45">
        <v>3.0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customHeight="1">
      <c r="A15" s="41" t="s">
        <v>1842</v>
      </c>
      <c r="B15" s="42" t="s">
        <v>1843</v>
      </c>
      <c r="C15" s="42" t="s">
        <v>401</v>
      </c>
      <c r="D15" s="42" t="s">
        <v>44</v>
      </c>
      <c r="E15" s="42" t="s">
        <v>21</v>
      </c>
      <c r="F15" s="42" t="s">
        <v>1819</v>
      </c>
      <c r="G15" s="42" t="s">
        <v>36</v>
      </c>
      <c r="H15" s="42" t="s">
        <v>211</v>
      </c>
      <c r="I15" s="43">
        <v>43252.0</v>
      </c>
      <c r="J15" s="29"/>
      <c r="K15" s="44">
        <v>44348.0</v>
      </c>
      <c r="L15" s="45">
        <v>3.0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41" t="s">
        <v>1846</v>
      </c>
      <c r="B16" s="42" t="s">
        <v>194</v>
      </c>
      <c r="C16" s="32"/>
      <c r="D16" s="42" t="s">
        <v>27</v>
      </c>
      <c r="E16" s="42" t="s">
        <v>27</v>
      </c>
      <c r="F16" s="42" t="s">
        <v>155</v>
      </c>
      <c r="G16" s="42" t="s">
        <v>46</v>
      </c>
      <c r="H16" s="42" t="s">
        <v>155</v>
      </c>
      <c r="I16" s="43">
        <v>43132.0</v>
      </c>
      <c r="J16" s="43">
        <v>44348.0</v>
      </c>
      <c r="K16" s="44">
        <v>45444.0</v>
      </c>
      <c r="L16" s="45">
        <v>4.0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>
      <c r="A17" s="41" t="s">
        <v>1849</v>
      </c>
      <c r="B17" s="42" t="s">
        <v>1851</v>
      </c>
      <c r="C17" s="42" t="s">
        <v>1852</v>
      </c>
      <c r="D17" s="42" t="s">
        <v>143</v>
      </c>
      <c r="E17" s="42" t="s">
        <v>21</v>
      </c>
      <c r="F17" s="42" t="s">
        <v>1853</v>
      </c>
      <c r="G17" s="42" t="s">
        <v>46</v>
      </c>
      <c r="H17" s="42" t="s">
        <v>287</v>
      </c>
      <c r="I17" s="43">
        <v>42887.0</v>
      </c>
      <c r="J17" s="29"/>
      <c r="K17" s="44">
        <v>43983.0</v>
      </c>
      <c r="L17" s="45">
        <v>3.0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41" t="s">
        <v>1854</v>
      </c>
      <c r="B18" s="42" t="s">
        <v>1855</v>
      </c>
      <c r="C18" s="42" t="s">
        <v>1042</v>
      </c>
      <c r="D18" s="42" t="s">
        <v>420</v>
      </c>
      <c r="E18" s="42" t="s">
        <v>21</v>
      </c>
      <c r="F18" s="42" t="s">
        <v>1838</v>
      </c>
      <c r="G18" s="42" t="s">
        <v>23</v>
      </c>
      <c r="H18" s="42" t="s">
        <v>149</v>
      </c>
      <c r="I18" s="43">
        <v>42522.0</v>
      </c>
      <c r="J18" s="29"/>
      <c r="K18" s="44">
        <v>44713.0</v>
      </c>
      <c r="L18" s="45">
        <v>3.0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41" t="s">
        <v>1857</v>
      </c>
      <c r="B19" s="42" t="s">
        <v>1858</v>
      </c>
      <c r="C19" s="42" t="s">
        <v>129</v>
      </c>
      <c r="D19" s="42" t="s">
        <v>313</v>
      </c>
      <c r="E19" s="42" t="s">
        <v>21</v>
      </c>
      <c r="F19" s="42" t="s">
        <v>1859</v>
      </c>
      <c r="G19" s="42" t="s">
        <v>137</v>
      </c>
      <c r="H19" s="42" t="s">
        <v>207</v>
      </c>
      <c r="I19" s="43">
        <v>42887.0</v>
      </c>
      <c r="J19" s="29"/>
      <c r="K19" s="44">
        <v>43983.0</v>
      </c>
      <c r="L19" s="45">
        <v>3.0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41" t="s">
        <v>1861</v>
      </c>
      <c r="B20" s="42" t="s">
        <v>1863</v>
      </c>
      <c r="C20" s="42" t="s">
        <v>1864</v>
      </c>
      <c r="D20" s="42" t="s">
        <v>34</v>
      </c>
      <c r="E20" s="42" t="s">
        <v>21</v>
      </c>
      <c r="F20" s="42" t="s">
        <v>1853</v>
      </c>
      <c r="G20" s="42" t="s">
        <v>36</v>
      </c>
      <c r="H20" s="42" t="s">
        <v>287</v>
      </c>
      <c r="I20" s="43">
        <v>42887.0</v>
      </c>
      <c r="J20" s="29"/>
      <c r="K20" s="44">
        <v>43983.0</v>
      </c>
      <c r="L20" s="45">
        <v>3.0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41" t="s">
        <v>1867</v>
      </c>
      <c r="B21" s="42" t="s">
        <v>1868</v>
      </c>
      <c r="C21" s="42" t="s">
        <v>1411</v>
      </c>
      <c r="D21" s="42" t="s">
        <v>323</v>
      </c>
      <c r="E21" s="42" t="s">
        <v>21</v>
      </c>
      <c r="F21" s="42" t="s">
        <v>1809</v>
      </c>
      <c r="G21" s="42" t="s">
        <v>23</v>
      </c>
      <c r="H21" s="42" t="s">
        <v>57</v>
      </c>
      <c r="I21" s="43">
        <v>43617.0</v>
      </c>
      <c r="J21" s="29"/>
      <c r="K21" s="44">
        <v>44713.0</v>
      </c>
      <c r="L21" s="42">
        <v>3.0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41" t="s">
        <v>1870</v>
      </c>
      <c r="B22" s="42" t="s">
        <v>194</v>
      </c>
      <c r="C22" s="42" t="s">
        <v>1871</v>
      </c>
      <c r="D22" s="42" t="s">
        <v>143</v>
      </c>
      <c r="E22" s="42" t="s">
        <v>21</v>
      </c>
      <c r="F22" s="42" t="s">
        <v>1872</v>
      </c>
      <c r="G22" s="42" t="s">
        <v>137</v>
      </c>
      <c r="H22" s="42" t="s">
        <v>287</v>
      </c>
      <c r="I22" s="43">
        <v>42887.0</v>
      </c>
      <c r="J22" s="29"/>
      <c r="K22" s="44">
        <v>43983.0</v>
      </c>
      <c r="L22" s="45">
        <v>3.0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41" t="s">
        <v>1875</v>
      </c>
      <c r="B23" s="42" t="s">
        <v>1876</v>
      </c>
      <c r="C23" s="32"/>
      <c r="D23" s="42" t="s">
        <v>27</v>
      </c>
      <c r="E23" s="42" t="s">
        <v>714</v>
      </c>
      <c r="F23" s="42" t="s">
        <v>1877</v>
      </c>
      <c r="G23" s="42" t="s">
        <v>23</v>
      </c>
      <c r="H23" s="42" t="s">
        <v>879</v>
      </c>
      <c r="I23" s="43">
        <v>42828.0</v>
      </c>
      <c r="J23" s="43">
        <v>43983.0</v>
      </c>
      <c r="K23" s="44">
        <v>45078.0</v>
      </c>
      <c r="L23" s="45">
        <v>4.0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41" t="s">
        <v>265</v>
      </c>
      <c r="B24" s="42" t="s">
        <v>1879</v>
      </c>
      <c r="C24" s="42" t="s">
        <v>396</v>
      </c>
      <c r="D24" s="42" t="s">
        <v>44</v>
      </c>
      <c r="E24" s="42" t="s">
        <v>21</v>
      </c>
      <c r="F24" s="42" t="s">
        <v>1794</v>
      </c>
      <c r="G24" s="42" t="s">
        <v>23</v>
      </c>
      <c r="H24" s="42" t="s">
        <v>397</v>
      </c>
      <c r="I24" s="43">
        <v>43617.0</v>
      </c>
      <c r="J24" s="29"/>
      <c r="K24" s="44">
        <v>44713.0</v>
      </c>
      <c r="L24" s="42">
        <v>3.0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41" t="s">
        <v>1882</v>
      </c>
      <c r="B25" s="42" t="s">
        <v>1826</v>
      </c>
      <c r="C25" s="42" t="s">
        <v>616</v>
      </c>
      <c r="D25" s="42" t="s">
        <v>108</v>
      </c>
      <c r="E25" s="42" t="s">
        <v>21</v>
      </c>
      <c r="F25" s="42" t="s">
        <v>1794</v>
      </c>
      <c r="G25" s="42" t="s">
        <v>46</v>
      </c>
      <c r="H25" s="42" t="s">
        <v>110</v>
      </c>
      <c r="I25" s="43">
        <v>43617.0</v>
      </c>
      <c r="J25" s="29"/>
      <c r="K25" s="44">
        <v>44713.0</v>
      </c>
      <c r="L25" s="42">
        <v>3.0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41" t="s">
        <v>1885</v>
      </c>
      <c r="B26" s="42" t="s">
        <v>1886</v>
      </c>
      <c r="C26" s="42" t="s">
        <v>1036</v>
      </c>
      <c r="D26" s="42" t="s">
        <v>20</v>
      </c>
      <c r="E26" s="42" t="s">
        <v>21</v>
      </c>
      <c r="F26" s="42" t="s">
        <v>1794</v>
      </c>
      <c r="G26" s="42" t="s">
        <v>23</v>
      </c>
      <c r="H26" s="42" t="s">
        <v>233</v>
      </c>
      <c r="I26" s="43">
        <v>43617.0</v>
      </c>
      <c r="J26" s="29"/>
      <c r="K26" s="44">
        <v>44713.0</v>
      </c>
      <c r="L26" s="42">
        <v>3.0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41" t="s">
        <v>1888</v>
      </c>
      <c r="B27" s="42" t="s">
        <v>375</v>
      </c>
      <c r="C27" s="32"/>
      <c r="D27" s="42" t="s">
        <v>27</v>
      </c>
      <c r="E27" s="42" t="s">
        <v>1889</v>
      </c>
      <c r="F27" s="42" t="s">
        <v>370</v>
      </c>
      <c r="G27" s="42" t="s">
        <v>1890</v>
      </c>
      <c r="H27" s="42" t="s">
        <v>370</v>
      </c>
      <c r="I27" s="43">
        <v>42767.0</v>
      </c>
      <c r="J27" s="43">
        <v>44348.0</v>
      </c>
      <c r="K27" s="44">
        <v>45444.0</v>
      </c>
      <c r="L27" s="45">
        <v>4.0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41" t="s">
        <v>1892</v>
      </c>
      <c r="B28" s="42" t="s">
        <v>1893</v>
      </c>
      <c r="C28" s="42" t="s">
        <v>1894</v>
      </c>
      <c r="D28" s="42" t="s">
        <v>222</v>
      </c>
      <c r="E28" s="42" t="s">
        <v>21</v>
      </c>
      <c r="F28" s="42" t="s">
        <v>1895</v>
      </c>
      <c r="G28" s="42" t="s">
        <v>23</v>
      </c>
      <c r="H28" s="42" t="s">
        <v>149</v>
      </c>
      <c r="I28" s="43">
        <v>42522.0</v>
      </c>
      <c r="J28" s="29"/>
      <c r="K28" s="44">
        <v>44713.0</v>
      </c>
      <c r="L28" s="45">
        <v>3.0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41" t="s">
        <v>1896</v>
      </c>
      <c r="B29" s="42" t="s">
        <v>1858</v>
      </c>
      <c r="C29" s="42" t="s">
        <v>1898</v>
      </c>
      <c r="D29" s="42" t="s">
        <v>130</v>
      </c>
      <c r="E29" s="42" t="s">
        <v>21</v>
      </c>
      <c r="F29" s="42" t="s">
        <v>1823</v>
      </c>
      <c r="G29" s="42" t="s">
        <v>23</v>
      </c>
      <c r="H29" s="42" t="s">
        <v>85</v>
      </c>
      <c r="I29" s="43">
        <v>42887.0</v>
      </c>
      <c r="J29" s="29"/>
      <c r="K29" s="44">
        <v>43983.0</v>
      </c>
      <c r="L29" s="45">
        <v>3.0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46" t="s">
        <v>1899</v>
      </c>
      <c r="B30" s="47" t="s">
        <v>1907</v>
      </c>
      <c r="C30" s="47" t="s">
        <v>1288</v>
      </c>
      <c r="D30" s="47" t="s">
        <v>94</v>
      </c>
      <c r="E30" s="42" t="s">
        <v>21</v>
      </c>
      <c r="F30" s="47" t="s">
        <v>1908</v>
      </c>
      <c r="G30" s="47" t="s">
        <v>46</v>
      </c>
      <c r="H30" s="42" t="s">
        <v>126</v>
      </c>
      <c r="I30" s="43">
        <v>43617.0</v>
      </c>
      <c r="J30" s="48"/>
      <c r="K30" s="44">
        <v>44713.0</v>
      </c>
      <c r="L30" s="42">
        <v>3.0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41" t="s">
        <v>1912</v>
      </c>
      <c r="B31" s="42" t="s">
        <v>1913</v>
      </c>
      <c r="C31" s="42" t="s">
        <v>569</v>
      </c>
      <c r="D31" s="42" t="s">
        <v>313</v>
      </c>
      <c r="E31" s="42" t="s">
        <v>21</v>
      </c>
      <c r="F31" s="42" t="s">
        <v>1823</v>
      </c>
      <c r="G31" s="42" t="s">
        <v>23</v>
      </c>
      <c r="H31" s="42" t="s">
        <v>582</v>
      </c>
      <c r="I31" s="43">
        <v>42887.0</v>
      </c>
      <c r="J31" s="29"/>
      <c r="K31" s="44">
        <v>43983.0</v>
      </c>
      <c r="L31" s="45">
        <v>3.0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41" t="s">
        <v>381</v>
      </c>
      <c r="B32" s="45" t="s">
        <v>1916</v>
      </c>
      <c r="C32" s="45" t="s">
        <v>752</v>
      </c>
      <c r="D32" s="45" t="s">
        <v>282</v>
      </c>
      <c r="E32" s="42" t="s">
        <v>21</v>
      </c>
      <c r="F32" s="32"/>
      <c r="G32" s="32"/>
      <c r="H32" s="45" t="s">
        <v>913</v>
      </c>
      <c r="I32" s="43">
        <v>43252.0</v>
      </c>
      <c r="J32" s="29"/>
      <c r="K32" s="44">
        <v>44348.0</v>
      </c>
      <c r="L32" s="45">
        <v>3.0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41" t="s">
        <v>1917</v>
      </c>
      <c r="B33" s="42" t="s">
        <v>1919</v>
      </c>
      <c r="C33" s="32"/>
      <c r="D33" s="42" t="s">
        <v>27</v>
      </c>
      <c r="E33" s="42" t="s">
        <v>1889</v>
      </c>
      <c r="F33" s="42" t="s">
        <v>370</v>
      </c>
      <c r="G33" s="42" t="s">
        <v>247</v>
      </c>
      <c r="H33" s="42" t="s">
        <v>370</v>
      </c>
      <c r="I33" s="43">
        <v>43132.0</v>
      </c>
      <c r="J33" s="43">
        <v>44348.0</v>
      </c>
      <c r="K33" s="44">
        <v>45444.0</v>
      </c>
      <c r="L33" s="45">
        <v>4.0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41" t="s">
        <v>1922</v>
      </c>
      <c r="B34" s="42" t="s">
        <v>1923</v>
      </c>
      <c r="C34" s="42" t="s">
        <v>1925</v>
      </c>
      <c r="D34" s="42" t="s">
        <v>282</v>
      </c>
      <c r="E34" s="42" t="s">
        <v>21</v>
      </c>
      <c r="F34" s="42" t="s">
        <v>1926</v>
      </c>
      <c r="G34" s="42" t="s">
        <v>46</v>
      </c>
      <c r="H34" s="42" t="s">
        <v>126</v>
      </c>
      <c r="I34" s="43">
        <v>43617.0</v>
      </c>
      <c r="J34" s="43">
        <v>44713.0</v>
      </c>
      <c r="K34" s="44">
        <v>45809.0</v>
      </c>
      <c r="L34" s="42">
        <v>4.0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41" t="s">
        <v>1928</v>
      </c>
      <c r="B35" s="42" t="s">
        <v>1816</v>
      </c>
      <c r="C35" s="42" t="s">
        <v>151</v>
      </c>
      <c r="D35" s="42" t="s">
        <v>20</v>
      </c>
      <c r="E35" s="42" t="s">
        <v>21</v>
      </c>
      <c r="F35" s="42" t="s">
        <v>1794</v>
      </c>
      <c r="G35" s="42" t="s">
        <v>23</v>
      </c>
      <c r="H35" s="42" t="s">
        <v>152</v>
      </c>
      <c r="I35" s="43">
        <v>43617.0</v>
      </c>
      <c r="J35" s="29"/>
      <c r="K35" s="44">
        <v>44713.0</v>
      </c>
      <c r="L35" s="42">
        <v>3.0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41" t="s">
        <v>1929</v>
      </c>
      <c r="B36" s="42" t="s">
        <v>1931</v>
      </c>
      <c r="C36" s="42" t="s">
        <v>1932</v>
      </c>
      <c r="D36" s="42" t="s">
        <v>130</v>
      </c>
      <c r="E36" s="42" t="s">
        <v>21</v>
      </c>
      <c r="F36" s="42" t="s">
        <v>1933</v>
      </c>
      <c r="G36" s="42" t="s">
        <v>23</v>
      </c>
      <c r="H36" s="42" t="s">
        <v>72</v>
      </c>
      <c r="I36" s="43">
        <v>42522.0</v>
      </c>
      <c r="J36" s="29"/>
      <c r="K36" s="44">
        <v>44348.0</v>
      </c>
      <c r="L36" s="45">
        <v>3.0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46" t="s">
        <v>1934</v>
      </c>
      <c r="B37" s="47" t="s">
        <v>1935</v>
      </c>
      <c r="C37" s="47" t="s">
        <v>1937</v>
      </c>
      <c r="D37" s="47" t="s">
        <v>282</v>
      </c>
      <c r="E37" s="47" t="s">
        <v>21</v>
      </c>
      <c r="F37" s="42" t="s">
        <v>1782</v>
      </c>
      <c r="G37" s="42" t="s">
        <v>137</v>
      </c>
      <c r="H37" s="47" t="s">
        <v>135</v>
      </c>
      <c r="I37" s="43">
        <v>43252.0</v>
      </c>
      <c r="J37" s="29"/>
      <c r="K37" s="44">
        <v>44348.0</v>
      </c>
      <c r="L37" s="45">
        <v>3.0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41" t="s">
        <v>1939</v>
      </c>
      <c r="B38" s="42" t="s">
        <v>1940</v>
      </c>
      <c r="C38" s="32"/>
      <c r="D38" s="42" t="s">
        <v>1941</v>
      </c>
      <c r="E38" s="42" t="s">
        <v>21</v>
      </c>
      <c r="F38" s="42" t="s">
        <v>155</v>
      </c>
      <c r="G38" s="42" t="s">
        <v>270</v>
      </c>
      <c r="H38" s="42" t="s">
        <v>155</v>
      </c>
      <c r="I38" s="43">
        <v>43132.0</v>
      </c>
      <c r="J38" s="43">
        <v>44348.0</v>
      </c>
      <c r="K38" s="44">
        <v>45444.0</v>
      </c>
      <c r="L38" s="45">
        <v>4.0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41" t="s">
        <v>1939</v>
      </c>
      <c r="B39" s="42" t="s">
        <v>1943</v>
      </c>
      <c r="C39" s="32"/>
      <c r="D39" s="42" t="s">
        <v>27</v>
      </c>
      <c r="E39" s="42" t="s">
        <v>21</v>
      </c>
      <c r="F39" s="42" t="s">
        <v>103</v>
      </c>
      <c r="G39" s="42" t="s">
        <v>1613</v>
      </c>
      <c r="H39" s="42" t="s">
        <v>103</v>
      </c>
      <c r="I39" s="43">
        <v>42401.0</v>
      </c>
      <c r="J39" s="29"/>
      <c r="K39" s="44">
        <v>44713.0</v>
      </c>
      <c r="L39" s="45">
        <v>3.0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41" t="s">
        <v>1947</v>
      </c>
      <c r="B40" s="42" t="s">
        <v>1948</v>
      </c>
      <c r="C40" s="42" t="s">
        <v>552</v>
      </c>
      <c r="D40" s="42" t="s">
        <v>224</v>
      </c>
      <c r="E40" s="42" t="s">
        <v>21</v>
      </c>
      <c r="F40" s="42" t="s">
        <v>1823</v>
      </c>
      <c r="G40" s="42" t="s">
        <v>23</v>
      </c>
      <c r="H40" s="42" t="s">
        <v>184</v>
      </c>
      <c r="I40" s="43">
        <v>42887.0</v>
      </c>
      <c r="J40" s="29"/>
      <c r="K40" s="44">
        <v>43983.0</v>
      </c>
      <c r="L40" s="45">
        <v>3.0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41" t="s">
        <v>1949</v>
      </c>
      <c r="B41" s="42" t="s">
        <v>1950</v>
      </c>
      <c r="C41" s="42" t="s">
        <v>526</v>
      </c>
      <c r="D41" s="42" t="s">
        <v>527</v>
      </c>
      <c r="E41" s="42" t="s">
        <v>21</v>
      </c>
      <c r="F41" s="42" t="s">
        <v>1952</v>
      </c>
      <c r="G41" s="42" t="s">
        <v>36</v>
      </c>
      <c r="H41" s="42" t="s">
        <v>1952</v>
      </c>
      <c r="I41" s="43" t="s">
        <v>1953</v>
      </c>
      <c r="J41" s="29"/>
      <c r="K41" s="47" t="s">
        <v>1954</v>
      </c>
      <c r="L41" s="45">
        <v>3.0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41" t="s">
        <v>433</v>
      </c>
      <c r="B42" s="42" t="s">
        <v>1956</v>
      </c>
      <c r="C42" s="42" t="s">
        <v>1957</v>
      </c>
      <c r="D42" s="42" t="s">
        <v>130</v>
      </c>
      <c r="E42" s="42" t="s">
        <v>21</v>
      </c>
      <c r="F42" s="42" t="s">
        <v>1794</v>
      </c>
      <c r="G42" s="42" t="s">
        <v>46</v>
      </c>
      <c r="H42" s="42" t="s">
        <v>152</v>
      </c>
      <c r="I42" s="43">
        <v>43617.0</v>
      </c>
      <c r="J42" s="29"/>
      <c r="K42" s="44">
        <v>44713.0</v>
      </c>
      <c r="L42" s="42">
        <v>3.0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41" t="s">
        <v>1958</v>
      </c>
      <c r="B43" s="42" t="s">
        <v>1959</v>
      </c>
      <c r="C43" s="42" t="s">
        <v>1568</v>
      </c>
      <c r="D43" s="42" t="s">
        <v>323</v>
      </c>
      <c r="E43" s="42" t="s">
        <v>21</v>
      </c>
      <c r="F43" s="42" t="s">
        <v>1838</v>
      </c>
      <c r="G43" s="42" t="s">
        <v>137</v>
      </c>
      <c r="H43" s="42" t="s">
        <v>135</v>
      </c>
      <c r="I43" s="43">
        <v>43252.0</v>
      </c>
      <c r="J43" s="43">
        <v>44348.0</v>
      </c>
      <c r="K43" s="44">
        <v>45444.0</v>
      </c>
      <c r="L43" s="45">
        <v>4.0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41" t="s">
        <v>1961</v>
      </c>
      <c r="B44" s="42" t="s">
        <v>1963</v>
      </c>
      <c r="C44" s="42" t="s">
        <v>1115</v>
      </c>
      <c r="D44" s="42" t="s">
        <v>282</v>
      </c>
      <c r="E44" s="42" t="s">
        <v>21</v>
      </c>
      <c r="F44" s="42" t="s">
        <v>1964</v>
      </c>
      <c r="G44" s="42" t="s">
        <v>46</v>
      </c>
      <c r="H44" s="42" t="s">
        <v>251</v>
      </c>
      <c r="I44" s="43">
        <v>43617.0</v>
      </c>
      <c r="J44" s="29"/>
      <c r="K44" s="44">
        <v>44713.0</v>
      </c>
      <c r="L44" s="42">
        <v>3.0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41" t="s">
        <v>1966</v>
      </c>
      <c r="B45" s="42" t="s">
        <v>1968</v>
      </c>
      <c r="C45" s="42" t="s">
        <v>1969</v>
      </c>
      <c r="D45" s="42" t="s">
        <v>89</v>
      </c>
      <c r="E45" s="42" t="s">
        <v>21</v>
      </c>
      <c r="F45" s="42" t="s">
        <v>1964</v>
      </c>
      <c r="G45" s="42" t="s">
        <v>36</v>
      </c>
      <c r="H45" s="42" t="s">
        <v>171</v>
      </c>
      <c r="I45" s="43">
        <v>43617.0</v>
      </c>
      <c r="J45" s="29"/>
      <c r="K45" s="44">
        <v>44713.0</v>
      </c>
      <c r="L45" s="42">
        <v>3.0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41" t="s">
        <v>1972</v>
      </c>
      <c r="B46" s="42" t="s">
        <v>1974</v>
      </c>
      <c r="C46" s="42" t="s">
        <v>1975</v>
      </c>
      <c r="D46" s="42" t="s">
        <v>317</v>
      </c>
      <c r="E46" s="42" t="s">
        <v>21</v>
      </c>
      <c r="F46" s="42" t="s">
        <v>1823</v>
      </c>
      <c r="G46" s="42" t="s">
        <v>46</v>
      </c>
      <c r="H46" s="42" t="s">
        <v>258</v>
      </c>
      <c r="I46" s="43">
        <v>42887.0</v>
      </c>
      <c r="J46" s="29"/>
      <c r="K46" s="44">
        <v>43983.0</v>
      </c>
      <c r="L46" s="45">
        <v>3.0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41" t="s">
        <v>490</v>
      </c>
      <c r="B47" s="42" t="s">
        <v>1978</v>
      </c>
      <c r="C47" s="42" t="s">
        <v>146</v>
      </c>
      <c r="D47" s="42" t="s">
        <v>94</v>
      </c>
      <c r="E47" s="42" t="s">
        <v>21</v>
      </c>
      <c r="F47" s="42" t="s">
        <v>1979</v>
      </c>
      <c r="G47" s="42" t="s">
        <v>36</v>
      </c>
      <c r="H47" s="42" t="s">
        <v>147</v>
      </c>
      <c r="I47" s="44">
        <v>42887.0</v>
      </c>
      <c r="J47" s="32"/>
      <c r="K47" s="44">
        <v>43983.0</v>
      </c>
      <c r="L47" s="45">
        <v>3.0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41" t="s">
        <v>1980</v>
      </c>
      <c r="B48" s="42" t="s">
        <v>1981</v>
      </c>
      <c r="C48" s="42" t="s">
        <v>1982</v>
      </c>
      <c r="D48" s="42" t="s">
        <v>1471</v>
      </c>
      <c r="E48" s="42" t="s">
        <v>21</v>
      </c>
      <c r="F48" s="42" t="s">
        <v>445</v>
      </c>
      <c r="G48" s="42" t="s">
        <v>1203</v>
      </c>
      <c r="H48" s="42" t="s">
        <v>445</v>
      </c>
      <c r="I48" s="43">
        <v>42765.0</v>
      </c>
      <c r="J48" s="43">
        <v>43983.0</v>
      </c>
      <c r="K48" s="44">
        <v>45078.0</v>
      </c>
      <c r="L48" s="45">
        <v>4.0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41" t="s">
        <v>1984</v>
      </c>
      <c r="B49" s="42" t="s">
        <v>1826</v>
      </c>
      <c r="C49" s="42" t="s">
        <v>1985</v>
      </c>
      <c r="D49" s="42" t="s">
        <v>78</v>
      </c>
      <c r="E49" s="42" t="s">
        <v>21</v>
      </c>
      <c r="F49" s="42" t="s">
        <v>1933</v>
      </c>
      <c r="G49" s="42" t="s">
        <v>23</v>
      </c>
      <c r="H49" s="42" t="s">
        <v>244</v>
      </c>
      <c r="I49" s="43">
        <v>42887.0</v>
      </c>
      <c r="J49" s="29"/>
      <c r="K49" s="44">
        <v>43983.0</v>
      </c>
      <c r="L49" s="45">
        <v>3.0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41" t="s">
        <v>1987</v>
      </c>
      <c r="B50" s="42" t="s">
        <v>1974</v>
      </c>
      <c r="C50" s="42" t="s">
        <v>1313</v>
      </c>
      <c r="D50" s="42" t="s">
        <v>282</v>
      </c>
      <c r="E50" s="42" t="s">
        <v>21</v>
      </c>
      <c r="F50" s="42" t="s">
        <v>1989</v>
      </c>
      <c r="G50" s="42" t="s">
        <v>23</v>
      </c>
      <c r="H50" s="42" t="s">
        <v>135</v>
      </c>
      <c r="I50" s="43">
        <v>42887.0</v>
      </c>
      <c r="J50" s="43">
        <v>44348.0</v>
      </c>
      <c r="K50" s="44">
        <v>45444.0</v>
      </c>
      <c r="L50" s="45">
        <v>4.0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41" t="s">
        <v>1991</v>
      </c>
      <c r="B51" s="42" t="s">
        <v>1886</v>
      </c>
      <c r="C51" s="32"/>
      <c r="D51" s="42" t="s">
        <v>27</v>
      </c>
      <c r="E51" s="42" t="s">
        <v>21</v>
      </c>
      <c r="F51" s="42" t="s">
        <v>155</v>
      </c>
      <c r="G51" s="42" t="s">
        <v>822</v>
      </c>
      <c r="H51" s="42" t="s">
        <v>155</v>
      </c>
      <c r="I51" s="43">
        <v>43132.0</v>
      </c>
      <c r="J51" s="43">
        <v>44348.0</v>
      </c>
      <c r="K51" s="44">
        <v>45444.0</v>
      </c>
      <c r="L51" s="45">
        <v>4.0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41" t="s">
        <v>1993</v>
      </c>
      <c r="B52" s="42" t="s">
        <v>1994</v>
      </c>
      <c r="C52" s="42" t="s">
        <v>146</v>
      </c>
      <c r="D52" s="42" t="s">
        <v>94</v>
      </c>
      <c r="E52" s="42" t="s">
        <v>21</v>
      </c>
      <c r="F52" s="42" t="s">
        <v>1782</v>
      </c>
      <c r="G52" s="42" t="s">
        <v>137</v>
      </c>
      <c r="H52" s="42" t="s">
        <v>207</v>
      </c>
      <c r="I52" s="43">
        <v>42887.0</v>
      </c>
      <c r="J52" s="29"/>
      <c r="K52" s="44">
        <v>43983.0</v>
      </c>
      <c r="L52" s="45">
        <v>3.0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41" t="s">
        <v>1993</v>
      </c>
      <c r="B53" s="42" t="s">
        <v>1997</v>
      </c>
      <c r="C53" s="42" t="s">
        <v>652</v>
      </c>
      <c r="D53" s="42" t="s">
        <v>55</v>
      </c>
      <c r="E53" s="42" t="s">
        <v>21</v>
      </c>
      <c r="F53" s="42" t="s">
        <v>1964</v>
      </c>
      <c r="G53" s="42" t="s">
        <v>46</v>
      </c>
      <c r="H53" s="42" t="s">
        <v>57</v>
      </c>
      <c r="I53" s="43">
        <v>43617.0</v>
      </c>
      <c r="J53" s="29"/>
      <c r="K53" s="44">
        <v>44713.0</v>
      </c>
      <c r="L53" s="42">
        <v>3.0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41" t="s">
        <v>1999</v>
      </c>
      <c r="B54" s="42" t="s">
        <v>2000</v>
      </c>
      <c r="C54" s="32"/>
      <c r="D54" s="42" t="s">
        <v>224</v>
      </c>
      <c r="E54" s="42" t="s">
        <v>21</v>
      </c>
      <c r="F54" s="42" t="s">
        <v>1823</v>
      </c>
      <c r="G54" s="42" t="s">
        <v>46</v>
      </c>
      <c r="H54" s="42" t="s">
        <v>225</v>
      </c>
      <c r="I54" s="43">
        <v>43252.0</v>
      </c>
      <c r="J54" s="29"/>
      <c r="K54" s="44">
        <v>44348.0</v>
      </c>
      <c r="L54" s="45">
        <v>3.0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41" t="s">
        <v>2001</v>
      </c>
      <c r="B55" s="42" t="s">
        <v>2002</v>
      </c>
      <c r="C55" s="42" t="s">
        <v>191</v>
      </c>
      <c r="D55" s="42" t="s">
        <v>44</v>
      </c>
      <c r="E55" s="42" t="s">
        <v>21</v>
      </c>
      <c r="F55" s="42" t="s">
        <v>2004</v>
      </c>
      <c r="G55" s="42" t="s">
        <v>137</v>
      </c>
      <c r="H55" s="42" t="s">
        <v>149</v>
      </c>
      <c r="I55" s="43">
        <v>42522.0</v>
      </c>
      <c r="J55" s="29"/>
      <c r="K55" s="44">
        <v>44713.0</v>
      </c>
      <c r="L55" s="45">
        <v>3.0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41" t="s">
        <v>516</v>
      </c>
      <c r="B56" s="42" t="s">
        <v>2006</v>
      </c>
      <c r="C56" s="42" t="s">
        <v>2007</v>
      </c>
      <c r="D56" s="42" t="s">
        <v>317</v>
      </c>
      <c r="E56" s="42" t="s">
        <v>21</v>
      </c>
      <c r="F56" s="42" t="s">
        <v>1933</v>
      </c>
      <c r="G56" s="42" t="s">
        <v>46</v>
      </c>
      <c r="H56" s="42" t="s">
        <v>425</v>
      </c>
      <c r="I56" s="43">
        <v>43252.0</v>
      </c>
      <c r="J56" s="29"/>
      <c r="K56" s="44">
        <v>44348.0</v>
      </c>
      <c r="L56" s="45">
        <v>3.0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41" t="s">
        <v>1445</v>
      </c>
      <c r="B57" s="42" t="s">
        <v>1948</v>
      </c>
      <c r="C57" s="42" t="s">
        <v>2008</v>
      </c>
      <c r="D57" s="42" t="s">
        <v>20</v>
      </c>
      <c r="E57" s="42" t="s">
        <v>21</v>
      </c>
      <c r="F57" s="42" t="s">
        <v>1809</v>
      </c>
      <c r="G57" s="42" t="s">
        <v>36</v>
      </c>
      <c r="H57" s="42" t="s">
        <v>233</v>
      </c>
      <c r="I57" s="43">
        <v>43617.0</v>
      </c>
      <c r="J57" s="29"/>
      <c r="K57" s="44">
        <v>44713.0</v>
      </c>
      <c r="L57" s="42">
        <v>3.0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41" t="s">
        <v>532</v>
      </c>
      <c r="B58" s="42" t="s">
        <v>2010</v>
      </c>
      <c r="C58" s="42" t="s">
        <v>661</v>
      </c>
      <c r="D58" s="42" t="s">
        <v>282</v>
      </c>
      <c r="E58" s="42" t="s">
        <v>21</v>
      </c>
      <c r="F58" s="42" t="s">
        <v>1819</v>
      </c>
      <c r="G58" s="42" t="s">
        <v>23</v>
      </c>
      <c r="H58" s="42" t="s">
        <v>795</v>
      </c>
      <c r="I58" s="43">
        <v>42522.0</v>
      </c>
      <c r="J58" s="29"/>
      <c r="K58" s="44">
        <v>44348.0</v>
      </c>
      <c r="L58" s="45">
        <v>3.0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41" t="s">
        <v>532</v>
      </c>
      <c r="B59" s="42" t="s">
        <v>1974</v>
      </c>
      <c r="C59" s="42" t="s">
        <v>523</v>
      </c>
      <c r="D59" s="42" t="s">
        <v>282</v>
      </c>
      <c r="E59" s="42" t="s">
        <v>21</v>
      </c>
      <c r="F59" s="42" t="s">
        <v>1794</v>
      </c>
      <c r="G59" s="42" t="s">
        <v>36</v>
      </c>
      <c r="H59" s="42" t="s">
        <v>251</v>
      </c>
      <c r="I59" s="43">
        <v>43617.0</v>
      </c>
      <c r="J59" s="29"/>
      <c r="K59" s="44">
        <v>44713.0</v>
      </c>
      <c r="L59" s="42">
        <v>3.0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41" t="s">
        <v>532</v>
      </c>
      <c r="B60" s="42" t="s">
        <v>2015</v>
      </c>
      <c r="C60" s="42" t="s">
        <v>407</v>
      </c>
      <c r="D60" s="42" t="s">
        <v>317</v>
      </c>
      <c r="E60" s="42" t="s">
        <v>21</v>
      </c>
      <c r="F60" s="42" t="s">
        <v>1809</v>
      </c>
      <c r="G60" s="42" t="s">
        <v>23</v>
      </c>
      <c r="H60" s="42" t="s">
        <v>119</v>
      </c>
      <c r="I60" s="43">
        <v>43617.0</v>
      </c>
      <c r="J60" s="29"/>
      <c r="K60" s="44">
        <v>44713.0</v>
      </c>
      <c r="L60" s="42">
        <v>3.0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41" t="s">
        <v>2017</v>
      </c>
      <c r="B61" s="42" t="s">
        <v>2018</v>
      </c>
      <c r="C61" s="32"/>
      <c r="D61" s="32"/>
      <c r="E61" s="42" t="s">
        <v>2019</v>
      </c>
      <c r="F61" s="42" t="s">
        <v>2020</v>
      </c>
      <c r="G61" s="42" t="s">
        <v>36</v>
      </c>
      <c r="H61" s="42" t="s">
        <v>126</v>
      </c>
      <c r="I61" s="43">
        <v>43617.0</v>
      </c>
      <c r="J61" s="29"/>
      <c r="K61" s="44">
        <v>44713.0</v>
      </c>
      <c r="L61" s="42">
        <v>3.0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41" t="s">
        <v>540</v>
      </c>
      <c r="B62" s="42" t="s">
        <v>2022</v>
      </c>
      <c r="C62" s="42" t="s">
        <v>543</v>
      </c>
      <c r="D62" s="42" t="s">
        <v>108</v>
      </c>
      <c r="E62" s="42" t="s">
        <v>21</v>
      </c>
      <c r="F62" s="42" t="s">
        <v>1823</v>
      </c>
      <c r="G62" s="42" t="s">
        <v>46</v>
      </c>
      <c r="H62" s="42" t="s">
        <v>689</v>
      </c>
      <c r="I62" s="43">
        <v>42887.0</v>
      </c>
      <c r="J62" s="29"/>
      <c r="K62" s="44">
        <v>43983.0</v>
      </c>
      <c r="L62" s="45">
        <v>3.0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41" t="s">
        <v>2025</v>
      </c>
      <c r="B63" s="42" t="s">
        <v>1907</v>
      </c>
      <c r="C63" s="42" t="s">
        <v>2026</v>
      </c>
      <c r="D63" s="42" t="s">
        <v>78</v>
      </c>
      <c r="E63" s="42" t="s">
        <v>21</v>
      </c>
      <c r="F63" s="42" t="s">
        <v>1964</v>
      </c>
      <c r="G63" s="42" t="s">
        <v>36</v>
      </c>
      <c r="H63" s="42" t="s">
        <v>434</v>
      </c>
      <c r="I63" s="43">
        <v>43617.0</v>
      </c>
      <c r="J63" s="29"/>
      <c r="K63" s="44">
        <v>44713.0</v>
      </c>
      <c r="L63" s="42">
        <v>3.0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41" t="s">
        <v>2029</v>
      </c>
      <c r="B64" s="42" t="s">
        <v>2030</v>
      </c>
      <c r="C64" s="42" t="s">
        <v>2031</v>
      </c>
      <c r="D64" s="42" t="s">
        <v>143</v>
      </c>
      <c r="E64" s="42" t="s">
        <v>21</v>
      </c>
      <c r="F64" s="42" t="s">
        <v>495</v>
      </c>
      <c r="G64" s="42" t="s">
        <v>36</v>
      </c>
      <c r="H64" s="42" t="s">
        <v>126</v>
      </c>
      <c r="I64" s="43">
        <v>43617.0</v>
      </c>
      <c r="J64" s="29"/>
      <c r="K64" s="44">
        <v>44713.0</v>
      </c>
      <c r="L64" s="42">
        <v>3.0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41" t="s">
        <v>2033</v>
      </c>
      <c r="B65" s="42" t="s">
        <v>2034</v>
      </c>
      <c r="C65" s="32"/>
      <c r="D65" s="32"/>
      <c r="E65" s="42" t="s">
        <v>162</v>
      </c>
      <c r="F65" s="42" t="s">
        <v>2035</v>
      </c>
      <c r="G65" s="42" t="s">
        <v>36</v>
      </c>
      <c r="H65" s="42" t="s">
        <v>287</v>
      </c>
      <c r="I65" s="43">
        <v>42887.0</v>
      </c>
      <c r="J65" s="29"/>
      <c r="K65" s="44">
        <v>43983.0</v>
      </c>
      <c r="L65" s="45">
        <v>3.0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41" t="s">
        <v>2036</v>
      </c>
      <c r="B66" s="42" t="s">
        <v>2037</v>
      </c>
      <c r="C66" s="42" t="s">
        <v>594</v>
      </c>
      <c r="D66" s="42" t="s">
        <v>34</v>
      </c>
      <c r="E66" s="42" t="s">
        <v>21</v>
      </c>
      <c r="F66" s="42" t="s">
        <v>1823</v>
      </c>
      <c r="G66" s="42" t="s">
        <v>36</v>
      </c>
      <c r="H66" s="42" t="s">
        <v>344</v>
      </c>
      <c r="I66" s="43">
        <v>42887.0</v>
      </c>
      <c r="J66" s="29"/>
      <c r="K66" s="44">
        <v>43983.0</v>
      </c>
      <c r="L66" s="45">
        <v>3.0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41" t="s">
        <v>2040</v>
      </c>
      <c r="B67" s="42" t="s">
        <v>2041</v>
      </c>
      <c r="C67" s="42" t="s">
        <v>535</v>
      </c>
      <c r="D67" s="42" t="s">
        <v>222</v>
      </c>
      <c r="E67" s="42" t="s">
        <v>21</v>
      </c>
      <c r="F67" s="42" t="s">
        <v>1823</v>
      </c>
      <c r="G67" s="42" t="s">
        <v>23</v>
      </c>
      <c r="H67" s="42" t="s">
        <v>344</v>
      </c>
      <c r="I67" s="43">
        <v>42887.0</v>
      </c>
      <c r="J67" s="29"/>
      <c r="K67" s="44">
        <v>43983.0</v>
      </c>
      <c r="L67" s="45">
        <v>3.0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41" t="s">
        <v>2044</v>
      </c>
      <c r="B68" s="42" t="s">
        <v>2045</v>
      </c>
      <c r="C68" s="42" t="s">
        <v>151</v>
      </c>
      <c r="D68" s="42" t="s">
        <v>20</v>
      </c>
      <c r="E68" s="42" t="s">
        <v>21</v>
      </c>
      <c r="F68" s="42" t="s">
        <v>1823</v>
      </c>
      <c r="G68" s="42" t="s">
        <v>23</v>
      </c>
      <c r="H68" s="42" t="s">
        <v>72</v>
      </c>
      <c r="I68" s="43">
        <v>43252.0</v>
      </c>
      <c r="J68" s="29"/>
      <c r="K68" s="44">
        <v>44348.0</v>
      </c>
      <c r="L68" s="45">
        <v>3.0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41" t="s">
        <v>593</v>
      </c>
      <c r="B69" s="42" t="s">
        <v>554</v>
      </c>
      <c r="C69" s="42" t="s">
        <v>1866</v>
      </c>
      <c r="D69" s="42" t="s">
        <v>178</v>
      </c>
      <c r="E69" s="42" t="s">
        <v>21</v>
      </c>
      <c r="F69" s="42" t="s">
        <v>1823</v>
      </c>
      <c r="G69" s="42" t="s">
        <v>46</v>
      </c>
      <c r="H69" s="42" t="s">
        <v>80</v>
      </c>
      <c r="I69" s="43">
        <v>43252.0</v>
      </c>
      <c r="J69" s="29"/>
      <c r="K69" s="44">
        <v>44348.0</v>
      </c>
      <c r="L69" s="45">
        <v>3.0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41" t="s">
        <v>601</v>
      </c>
      <c r="B70" s="42" t="s">
        <v>2048</v>
      </c>
      <c r="C70" s="42" t="s">
        <v>1405</v>
      </c>
      <c r="D70" s="42" t="s">
        <v>282</v>
      </c>
      <c r="E70" s="42" t="s">
        <v>21</v>
      </c>
      <c r="F70" s="42" t="s">
        <v>2049</v>
      </c>
      <c r="G70" s="42" t="s">
        <v>1273</v>
      </c>
      <c r="H70" s="42" t="s">
        <v>207</v>
      </c>
      <c r="I70" s="43">
        <v>42887.0</v>
      </c>
      <c r="J70" s="29"/>
      <c r="K70" s="44">
        <v>43983.0</v>
      </c>
      <c r="L70" s="45">
        <v>3.0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41" t="s">
        <v>1434</v>
      </c>
      <c r="B71" s="42" t="s">
        <v>1974</v>
      </c>
      <c r="C71" s="42" t="s">
        <v>2051</v>
      </c>
      <c r="D71" s="42" t="s">
        <v>458</v>
      </c>
      <c r="E71" s="42" t="s">
        <v>21</v>
      </c>
      <c r="F71" s="42" t="s">
        <v>1964</v>
      </c>
      <c r="G71" s="42" t="s">
        <v>36</v>
      </c>
      <c r="H71" s="42" t="s">
        <v>119</v>
      </c>
      <c r="I71" s="43">
        <v>43617.0</v>
      </c>
      <c r="J71" s="29"/>
      <c r="K71" s="44">
        <v>44713.0</v>
      </c>
      <c r="L71" s="42">
        <v>3.0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41" t="s">
        <v>2055</v>
      </c>
      <c r="B72" s="42" t="s">
        <v>194</v>
      </c>
      <c r="C72" s="42" t="s">
        <v>2056</v>
      </c>
      <c r="D72" s="42" t="s">
        <v>94</v>
      </c>
      <c r="E72" s="42" t="s">
        <v>21</v>
      </c>
      <c r="F72" s="42" t="s">
        <v>2059</v>
      </c>
      <c r="G72" s="42" t="s">
        <v>36</v>
      </c>
      <c r="H72" s="42" t="s">
        <v>147</v>
      </c>
      <c r="I72" s="43">
        <v>42887.0</v>
      </c>
      <c r="J72" s="29"/>
      <c r="K72" s="44">
        <v>43983.0</v>
      </c>
      <c r="L72" s="45">
        <v>3.0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41" t="s">
        <v>2060</v>
      </c>
      <c r="B73" s="42" t="s">
        <v>1974</v>
      </c>
      <c r="C73" s="32"/>
      <c r="D73" s="42" t="s">
        <v>27</v>
      </c>
      <c r="E73" s="42" t="s">
        <v>21</v>
      </c>
      <c r="F73" s="42" t="s">
        <v>155</v>
      </c>
      <c r="G73" s="42" t="s">
        <v>30</v>
      </c>
      <c r="H73" s="42" t="s">
        <v>155</v>
      </c>
      <c r="I73" s="43">
        <v>43132.0</v>
      </c>
      <c r="J73" s="43">
        <v>44348.0</v>
      </c>
      <c r="K73" s="44">
        <v>45444.0</v>
      </c>
      <c r="L73" s="45">
        <v>4.0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46" t="s">
        <v>2061</v>
      </c>
      <c r="B74" s="47" t="s">
        <v>2062</v>
      </c>
      <c r="C74" s="47" t="s">
        <v>2063</v>
      </c>
      <c r="D74" s="47" t="s">
        <v>1311</v>
      </c>
      <c r="E74" s="47" t="s">
        <v>21</v>
      </c>
      <c r="F74" s="42" t="s">
        <v>1859</v>
      </c>
      <c r="G74" s="42" t="s">
        <v>137</v>
      </c>
      <c r="H74" s="47" t="s">
        <v>207</v>
      </c>
      <c r="I74" s="43">
        <v>42887.0</v>
      </c>
      <c r="J74" s="29"/>
      <c r="K74" s="44">
        <v>43983.0</v>
      </c>
      <c r="L74" s="45">
        <v>3.0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41" t="s">
        <v>2065</v>
      </c>
      <c r="B75" s="45" t="s">
        <v>2066</v>
      </c>
      <c r="C75" s="45" t="s">
        <v>994</v>
      </c>
      <c r="D75" s="45" t="s">
        <v>222</v>
      </c>
      <c r="E75" s="42" t="s">
        <v>21</v>
      </c>
      <c r="F75" s="32"/>
      <c r="G75" s="32"/>
      <c r="H75" s="45" t="s">
        <v>913</v>
      </c>
      <c r="I75" s="43">
        <v>43252.0</v>
      </c>
      <c r="J75" s="29"/>
      <c r="K75" s="44">
        <v>44348.0</v>
      </c>
      <c r="L75" s="45">
        <v>3.0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41" t="s">
        <v>2065</v>
      </c>
      <c r="B76" s="42" t="s">
        <v>2069</v>
      </c>
      <c r="C76" s="42" t="s">
        <v>2070</v>
      </c>
      <c r="D76" s="42" t="s">
        <v>94</v>
      </c>
      <c r="E76" s="42" t="s">
        <v>21</v>
      </c>
      <c r="F76" s="42" t="s">
        <v>1794</v>
      </c>
      <c r="G76" s="42" t="s">
        <v>36</v>
      </c>
      <c r="H76" s="42" t="s">
        <v>37</v>
      </c>
      <c r="I76" s="43">
        <v>43617.0</v>
      </c>
      <c r="J76" s="29"/>
      <c r="K76" s="44">
        <v>44713.0</v>
      </c>
      <c r="L76" s="42">
        <v>3.0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46" t="s">
        <v>2072</v>
      </c>
      <c r="B77" s="47" t="s">
        <v>2073</v>
      </c>
      <c r="C77" s="47" t="s">
        <v>151</v>
      </c>
      <c r="D77" s="47" t="s">
        <v>20</v>
      </c>
      <c r="E77" s="47" t="s">
        <v>21</v>
      </c>
      <c r="F77" s="42" t="s">
        <v>1794</v>
      </c>
      <c r="G77" s="42" t="s">
        <v>23</v>
      </c>
      <c r="H77" s="47" t="s">
        <v>152</v>
      </c>
      <c r="I77" s="43">
        <v>43617.0</v>
      </c>
      <c r="J77" s="29"/>
      <c r="K77" s="44">
        <v>44713.0</v>
      </c>
      <c r="L77" s="42">
        <v>3.0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46" t="s">
        <v>2076</v>
      </c>
      <c r="B78" s="42" t="s">
        <v>2077</v>
      </c>
      <c r="C78" s="42" t="s">
        <v>2078</v>
      </c>
      <c r="D78" s="42" t="s">
        <v>222</v>
      </c>
      <c r="E78" s="47" t="s">
        <v>21</v>
      </c>
      <c r="F78" s="42" t="s">
        <v>1823</v>
      </c>
      <c r="G78" s="42" t="s">
        <v>36</v>
      </c>
      <c r="H78" s="47" t="s">
        <v>425</v>
      </c>
      <c r="I78" s="43">
        <v>43252.0</v>
      </c>
      <c r="J78" s="29"/>
      <c r="K78" s="44">
        <v>44348.0</v>
      </c>
      <c r="L78" s="45">
        <v>3.0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41" t="s">
        <v>2080</v>
      </c>
      <c r="B79" s="42" t="s">
        <v>2081</v>
      </c>
      <c r="C79" s="42" t="s">
        <v>1957</v>
      </c>
      <c r="D79" s="42" t="s">
        <v>130</v>
      </c>
      <c r="E79" s="42" t="s">
        <v>21</v>
      </c>
      <c r="F79" s="42" t="s">
        <v>2020</v>
      </c>
      <c r="G79" s="42" t="s">
        <v>46</v>
      </c>
      <c r="H79" s="42" t="s">
        <v>126</v>
      </c>
      <c r="I79" s="43">
        <v>43617.0</v>
      </c>
      <c r="J79" s="29"/>
      <c r="K79" s="44">
        <v>44713.0</v>
      </c>
      <c r="L79" s="42">
        <v>3.0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41" t="s">
        <v>2083</v>
      </c>
      <c r="B80" s="42" t="s">
        <v>2084</v>
      </c>
      <c r="C80" s="42" t="s">
        <v>1884</v>
      </c>
      <c r="D80" s="42" t="s">
        <v>343</v>
      </c>
      <c r="E80" s="42" t="s">
        <v>21</v>
      </c>
      <c r="F80" s="42" t="s">
        <v>1809</v>
      </c>
      <c r="G80" s="42" t="s">
        <v>23</v>
      </c>
      <c r="H80" s="42" t="s">
        <v>241</v>
      </c>
      <c r="I80" s="43">
        <v>43617.0</v>
      </c>
      <c r="J80" s="29"/>
      <c r="K80" s="44">
        <v>44713.0</v>
      </c>
      <c r="L80" s="42">
        <v>3.0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41" t="s">
        <v>2086</v>
      </c>
      <c r="B81" s="42" t="s">
        <v>2087</v>
      </c>
      <c r="C81" s="32"/>
      <c r="D81" s="42" t="s">
        <v>27</v>
      </c>
      <c r="E81" s="42" t="s">
        <v>27</v>
      </c>
      <c r="F81" s="42" t="s">
        <v>155</v>
      </c>
      <c r="G81" s="42" t="s">
        <v>1203</v>
      </c>
      <c r="H81" s="42" t="s">
        <v>155</v>
      </c>
      <c r="I81" s="43">
        <v>43132.0</v>
      </c>
      <c r="J81" s="43">
        <v>44348.0</v>
      </c>
      <c r="K81" s="44">
        <v>45444.0</v>
      </c>
      <c r="L81" s="45">
        <v>4.0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41" t="s">
        <v>2086</v>
      </c>
      <c r="B82" s="42" t="s">
        <v>2090</v>
      </c>
      <c r="C82" s="32"/>
      <c r="D82" s="42" t="s">
        <v>224</v>
      </c>
      <c r="E82" s="42" t="s">
        <v>21</v>
      </c>
      <c r="F82" s="42" t="s">
        <v>1823</v>
      </c>
      <c r="G82" s="42" t="s">
        <v>23</v>
      </c>
      <c r="H82" s="42" t="s">
        <v>225</v>
      </c>
      <c r="I82" s="43">
        <v>43252.0</v>
      </c>
      <c r="J82" s="29"/>
      <c r="K82" s="44">
        <v>44348.0</v>
      </c>
      <c r="L82" s="45">
        <v>3.0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41" t="s">
        <v>2093</v>
      </c>
      <c r="B83" s="42" t="s">
        <v>2094</v>
      </c>
      <c r="C83" s="42" t="s">
        <v>2095</v>
      </c>
      <c r="D83" s="42" t="s">
        <v>222</v>
      </c>
      <c r="E83" s="42" t="s">
        <v>21</v>
      </c>
      <c r="F83" s="42" t="s">
        <v>1979</v>
      </c>
      <c r="G83" s="42" t="s">
        <v>46</v>
      </c>
      <c r="H83" s="42" t="s">
        <v>344</v>
      </c>
      <c r="I83" s="43">
        <v>42887.0</v>
      </c>
      <c r="J83" s="29"/>
      <c r="K83" s="44">
        <v>43983.0</v>
      </c>
      <c r="L83" s="45">
        <v>3.0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41" t="s">
        <v>2097</v>
      </c>
      <c r="B84" s="42" t="s">
        <v>2098</v>
      </c>
      <c r="C84" s="32"/>
      <c r="D84" s="42" t="s">
        <v>27</v>
      </c>
      <c r="E84" s="42" t="s">
        <v>21</v>
      </c>
      <c r="F84" s="42" t="s">
        <v>155</v>
      </c>
      <c r="G84" s="42" t="s">
        <v>1026</v>
      </c>
      <c r="H84" s="42" t="s">
        <v>155</v>
      </c>
      <c r="I84" s="43">
        <v>43132.0</v>
      </c>
      <c r="J84" s="43">
        <v>44348.0</v>
      </c>
      <c r="K84" s="44">
        <v>45444.0</v>
      </c>
      <c r="L84" s="45">
        <v>4.0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41" t="s">
        <v>679</v>
      </c>
      <c r="B85" s="42" t="s">
        <v>2101</v>
      </c>
      <c r="C85" s="42" t="s">
        <v>2102</v>
      </c>
      <c r="D85" s="42" t="s">
        <v>641</v>
      </c>
      <c r="E85" s="42" t="s">
        <v>21</v>
      </c>
      <c r="F85" s="42" t="s">
        <v>1794</v>
      </c>
      <c r="G85" s="42" t="s">
        <v>23</v>
      </c>
      <c r="H85" s="42" t="s">
        <v>37</v>
      </c>
      <c r="I85" s="43">
        <v>43617.0</v>
      </c>
      <c r="J85" s="29"/>
      <c r="K85" s="44">
        <v>44713.0</v>
      </c>
      <c r="L85" s="42">
        <v>3.0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41" t="s">
        <v>2105</v>
      </c>
      <c r="B86" s="42" t="s">
        <v>1956</v>
      </c>
      <c r="C86" s="42" t="s">
        <v>2106</v>
      </c>
      <c r="D86" s="42" t="s">
        <v>130</v>
      </c>
      <c r="E86" s="42" t="s">
        <v>21</v>
      </c>
      <c r="F86" s="42" t="s">
        <v>1964</v>
      </c>
      <c r="G86" s="42" t="s">
        <v>46</v>
      </c>
      <c r="H86" s="42" t="s">
        <v>152</v>
      </c>
      <c r="I86" s="43">
        <v>43617.0</v>
      </c>
      <c r="J86" s="29"/>
      <c r="K86" s="44">
        <v>44713.0</v>
      </c>
      <c r="L86" s="42">
        <v>3.0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41" t="s">
        <v>2108</v>
      </c>
      <c r="B87" s="42" t="s">
        <v>1956</v>
      </c>
      <c r="C87" s="42" t="s">
        <v>146</v>
      </c>
      <c r="D87" s="42" t="s">
        <v>94</v>
      </c>
      <c r="E87" s="42" t="s">
        <v>21</v>
      </c>
      <c r="F87" s="42" t="s">
        <v>1809</v>
      </c>
      <c r="G87" s="42" t="s">
        <v>23</v>
      </c>
      <c r="H87" s="42" t="s">
        <v>37</v>
      </c>
      <c r="I87" s="43">
        <v>43617.0</v>
      </c>
      <c r="J87" s="29"/>
      <c r="K87" s="44">
        <v>44713.0</v>
      </c>
      <c r="L87" s="42">
        <v>3.0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41" t="s">
        <v>690</v>
      </c>
      <c r="B88" s="42" t="s">
        <v>2110</v>
      </c>
      <c r="C88" s="42" t="s">
        <v>2111</v>
      </c>
      <c r="D88" s="42" t="s">
        <v>78</v>
      </c>
      <c r="E88" s="42" t="s">
        <v>21</v>
      </c>
      <c r="F88" s="42" t="s">
        <v>1794</v>
      </c>
      <c r="G88" s="42" t="s">
        <v>36</v>
      </c>
      <c r="H88" s="42" t="s">
        <v>434</v>
      </c>
      <c r="I88" s="43">
        <v>43617.0</v>
      </c>
      <c r="J88" s="29"/>
      <c r="K88" s="44">
        <v>44713.0</v>
      </c>
      <c r="L88" s="42">
        <v>3.0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41" t="s">
        <v>2113</v>
      </c>
      <c r="B89" s="42" t="s">
        <v>2115</v>
      </c>
      <c r="C89" s="42" t="s">
        <v>243</v>
      </c>
      <c r="D89" s="42" t="s">
        <v>78</v>
      </c>
      <c r="E89" s="42" t="s">
        <v>21</v>
      </c>
      <c r="F89" s="42" t="s">
        <v>1933</v>
      </c>
      <c r="G89" s="42" t="s">
        <v>46</v>
      </c>
      <c r="H89" s="42" t="s">
        <v>80</v>
      </c>
      <c r="I89" s="43">
        <v>42887.0</v>
      </c>
      <c r="J89" s="29"/>
      <c r="K89" s="44">
        <v>44348.0</v>
      </c>
      <c r="L89" s="45">
        <v>3.0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46" t="s">
        <v>2117</v>
      </c>
      <c r="B90" s="47" t="s">
        <v>2119</v>
      </c>
      <c r="C90" s="32"/>
      <c r="D90" s="42" t="s">
        <v>27</v>
      </c>
      <c r="E90" s="47" t="s">
        <v>706</v>
      </c>
      <c r="F90" s="42" t="s">
        <v>2121</v>
      </c>
      <c r="G90" s="42" t="s">
        <v>23</v>
      </c>
      <c r="H90" s="47" t="s">
        <v>879</v>
      </c>
      <c r="I90" s="43">
        <v>42828.0</v>
      </c>
      <c r="J90" s="43">
        <v>43983.0</v>
      </c>
      <c r="K90" s="44">
        <v>45078.0</v>
      </c>
      <c r="L90" s="45">
        <v>4.0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41" t="s">
        <v>2123</v>
      </c>
      <c r="B91" s="42" t="s">
        <v>2125</v>
      </c>
      <c r="C91" s="32"/>
      <c r="D91" s="32"/>
      <c r="E91" s="42" t="s">
        <v>27</v>
      </c>
      <c r="F91" s="42" t="s">
        <v>290</v>
      </c>
      <c r="G91" s="42" t="s">
        <v>1613</v>
      </c>
      <c r="H91" s="42" t="s">
        <v>287</v>
      </c>
      <c r="I91" s="43">
        <v>42887.0</v>
      </c>
      <c r="J91" s="29"/>
      <c r="K91" s="44">
        <v>43983.0</v>
      </c>
      <c r="L91" s="45">
        <v>3.0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41" t="s">
        <v>2126</v>
      </c>
      <c r="B92" s="42" t="s">
        <v>2128</v>
      </c>
      <c r="C92" s="42" t="s">
        <v>1042</v>
      </c>
      <c r="D92" s="42" t="s">
        <v>420</v>
      </c>
      <c r="E92" s="42" t="s">
        <v>21</v>
      </c>
      <c r="F92" s="42" t="s">
        <v>2059</v>
      </c>
      <c r="G92" s="42" t="s">
        <v>36</v>
      </c>
      <c r="H92" s="42" t="s">
        <v>582</v>
      </c>
      <c r="I92" s="43">
        <v>42887.0</v>
      </c>
      <c r="J92" s="29"/>
      <c r="K92" s="44">
        <v>43983.0</v>
      </c>
      <c r="L92" s="45">
        <v>3.0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41" t="s">
        <v>723</v>
      </c>
      <c r="B93" s="42" t="s">
        <v>194</v>
      </c>
      <c r="C93" s="42" t="s">
        <v>2132</v>
      </c>
      <c r="D93" s="42" t="s">
        <v>512</v>
      </c>
      <c r="E93" s="42" t="s">
        <v>21</v>
      </c>
      <c r="F93" s="42" t="s">
        <v>1794</v>
      </c>
      <c r="G93" s="42" t="s">
        <v>46</v>
      </c>
      <c r="H93" s="42" t="s">
        <v>171</v>
      </c>
      <c r="I93" s="43">
        <v>43617.0</v>
      </c>
      <c r="J93" s="29"/>
      <c r="K93" s="44">
        <v>44713.0</v>
      </c>
      <c r="L93" s="42">
        <v>3.0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41" t="s">
        <v>2133</v>
      </c>
      <c r="B94" s="42" t="s">
        <v>2135</v>
      </c>
      <c r="C94" s="42" t="s">
        <v>2136</v>
      </c>
      <c r="D94" s="42" t="s">
        <v>94</v>
      </c>
      <c r="E94" s="42" t="s">
        <v>21</v>
      </c>
      <c r="F94" s="42" t="s">
        <v>1979</v>
      </c>
      <c r="G94" s="42" t="s">
        <v>23</v>
      </c>
      <c r="H94" s="42" t="s">
        <v>147</v>
      </c>
      <c r="I94" s="43">
        <v>42887.0</v>
      </c>
      <c r="J94" s="29"/>
      <c r="K94" s="44">
        <v>43983.0</v>
      </c>
      <c r="L94" s="45">
        <v>3.0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41" t="s">
        <v>2138</v>
      </c>
      <c r="B95" s="42" t="s">
        <v>2140</v>
      </c>
      <c r="C95" s="42" t="s">
        <v>652</v>
      </c>
      <c r="D95" s="42" t="s">
        <v>55</v>
      </c>
      <c r="E95" s="42" t="s">
        <v>21</v>
      </c>
      <c r="F95" s="42" t="s">
        <v>1964</v>
      </c>
      <c r="G95" s="42" t="s">
        <v>23</v>
      </c>
      <c r="H95" s="42" t="s">
        <v>57</v>
      </c>
      <c r="I95" s="43">
        <v>43617.0</v>
      </c>
      <c r="J95" s="29"/>
      <c r="K95" s="44">
        <v>44713.0</v>
      </c>
      <c r="L95" s="42">
        <v>3.0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41" t="s">
        <v>2143</v>
      </c>
      <c r="B96" s="42" t="s">
        <v>2074</v>
      </c>
      <c r="C96" s="42" t="s">
        <v>2145</v>
      </c>
      <c r="D96" s="42" t="s">
        <v>458</v>
      </c>
      <c r="E96" s="42" t="s">
        <v>21</v>
      </c>
      <c r="F96" s="42" t="s">
        <v>1809</v>
      </c>
      <c r="G96" s="42" t="s">
        <v>46</v>
      </c>
      <c r="H96" s="42" t="s">
        <v>110</v>
      </c>
      <c r="I96" s="43">
        <v>43617.0</v>
      </c>
      <c r="J96" s="29"/>
      <c r="K96" s="44">
        <v>44713.0</v>
      </c>
      <c r="L96" s="42">
        <v>3.0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41" t="s">
        <v>2147</v>
      </c>
      <c r="B97" s="42" t="s">
        <v>2148</v>
      </c>
      <c r="C97" s="32"/>
      <c r="D97" s="42" t="s">
        <v>27</v>
      </c>
      <c r="E97" s="42" t="s">
        <v>706</v>
      </c>
      <c r="F97" s="42" t="s">
        <v>2035</v>
      </c>
      <c r="G97" s="42" t="s">
        <v>36</v>
      </c>
      <c r="H97" s="42" t="s">
        <v>287</v>
      </c>
      <c r="I97" s="43">
        <v>42887.0</v>
      </c>
      <c r="J97" s="29"/>
      <c r="K97" s="44">
        <v>43983.0</v>
      </c>
      <c r="L97" s="45">
        <v>3.0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41" t="s">
        <v>2150</v>
      </c>
      <c r="B98" s="42" t="s">
        <v>1779</v>
      </c>
      <c r="C98" s="42" t="s">
        <v>254</v>
      </c>
      <c r="D98" s="42" t="s">
        <v>143</v>
      </c>
      <c r="E98" s="42" t="s">
        <v>21</v>
      </c>
      <c r="F98" s="42" t="s">
        <v>144</v>
      </c>
      <c r="G98" s="42" t="s">
        <v>23</v>
      </c>
      <c r="H98" s="42" t="s">
        <v>135</v>
      </c>
      <c r="I98" s="43">
        <v>43252.0</v>
      </c>
      <c r="J98" s="29"/>
      <c r="K98" s="44">
        <v>44348.0</v>
      </c>
      <c r="L98" s="45">
        <v>3.0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41" t="s">
        <v>2153</v>
      </c>
      <c r="B99" s="42" t="s">
        <v>2154</v>
      </c>
      <c r="C99" s="42" t="s">
        <v>2156</v>
      </c>
      <c r="D99" s="42" t="s">
        <v>348</v>
      </c>
      <c r="E99" s="42" t="s">
        <v>21</v>
      </c>
      <c r="F99" s="42" t="s">
        <v>2158</v>
      </c>
      <c r="G99" s="42" t="s">
        <v>23</v>
      </c>
      <c r="H99" s="42" t="s">
        <v>135</v>
      </c>
      <c r="I99" s="43">
        <v>43252.0</v>
      </c>
      <c r="J99" s="29"/>
      <c r="K99" s="44">
        <v>44348.0</v>
      </c>
      <c r="L99" s="45">
        <v>3.0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41" t="s">
        <v>2159</v>
      </c>
      <c r="B100" s="42" t="s">
        <v>2160</v>
      </c>
      <c r="C100" s="42" t="s">
        <v>2161</v>
      </c>
      <c r="D100" s="42" t="s">
        <v>130</v>
      </c>
      <c r="E100" s="42" t="s">
        <v>21</v>
      </c>
      <c r="F100" s="42" t="s">
        <v>1823</v>
      </c>
      <c r="G100" s="42" t="s">
        <v>46</v>
      </c>
      <c r="H100" s="42" t="s">
        <v>85</v>
      </c>
      <c r="I100" s="43">
        <v>42887.0</v>
      </c>
      <c r="J100" s="29"/>
      <c r="K100" s="44">
        <v>43983.0</v>
      </c>
      <c r="L100" s="45">
        <v>3.0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41" t="s">
        <v>2163</v>
      </c>
      <c r="B101" s="42" t="s">
        <v>1974</v>
      </c>
      <c r="C101" s="42" t="s">
        <v>1527</v>
      </c>
      <c r="D101" s="42" t="s">
        <v>20</v>
      </c>
      <c r="E101" s="42" t="s">
        <v>21</v>
      </c>
      <c r="F101" s="42" t="s">
        <v>1794</v>
      </c>
      <c r="G101" s="42" t="s">
        <v>46</v>
      </c>
      <c r="H101" s="42" t="s">
        <v>233</v>
      </c>
      <c r="I101" s="43">
        <v>43617.0</v>
      </c>
      <c r="J101" s="29"/>
      <c r="K101" s="44">
        <v>44713.0</v>
      </c>
      <c r="L101" s="42">
        <v>3.0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41" t="s">
        <v>752</v>
      </c>
      <c r="B102" s="42" t="s">
        <v>2165</v>
      </c>
      <c r="C102" s="42" t="s">
        <v>407</v>
      </c>
      <c r="D102" s="42" t="s">
        <v>317</v>
      </c>
      <c r="E102" s="42" t="s">
        <v>21</v>
      </c>
      <c r="F102" s="42" t="s">
        <v>1809</v>
      </c>
      <c r="G102" s="42" t="s">
        <v>23</v>
      </c>
      <c r="H102" s="42" t="s">
        <v>119</v>
      </c>
      <c r="I102" s="43">
        <v>43617.0</v>
      </c>
      <c r="J102" s="29"/>
      <c r="K102" s="44">
        <v>44713.0</v>
      </c>
      <c r="L102" s="42">
        <v>3.0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41" t="s">
        <v>2169</v>
      </c>
      <c r="B103" s="42" t="s">
        <v>2171</v>
      </c>
      <c r="C103" s="42" t="s">
        <v>2173</v>
      </c>
      <c r="D103" s="42" t="s">
        <v>183</v>
      </c>
      <c r="E103" s="42" t="s">
        <v>21</v>
      </c>
      <c r="F103" s="42" t="s">
        <v>1823</v>
      </c>
      <c r="G103" s="42" t="s">
        <v>46</v>
      </c>
      <c r="H103" s="42" t="s">
        <v>184</v>
      </c>
      <c r="I103" s="43">
        <v>42887.0</v>
      </c>
      <c r="J103" s="29"/>
      <c r="K103" s="44">
        <v>43983.0</v>
      </c>
      <c r="L103" s="45">
        <v>3.0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41" t="s">
        <v>2175</v>
      </c>
      <c r="B104" s="42" t="s">
        <v>2176</v>
      </c>
      <c r="C104" s="42" t="s">
        <v>448</v>
      </c>
      <c r="D104" s="42" t="s">
        <v>143</v>
      </c>
      <c r="E104" s="42" t="s">
        <v>21</v>
      </c>
      <c r="F104" s="42" t="s">
        <v>2158</v>
      </c>
      <c r="G104" s="42" t="s">
        <v>36</v>
      </c>
      <c r="H104" s="42" t="s">
        <v>135</v>
      </c>
      <c r="I104" s="43">
        <v>43252.0</v>
      </c>
      <c r="J104" s="29"/>
      <c r="K104" s="44">
        <v>44348.0</v>
      </c>
      <c r="L104" s="45">
        <v>3.0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41" t="s">
        <v>2179</v>
      </c>
      <c r="B105" s="42" t="s">
        <v>2180</v>
      </c>
      <c r="C105" s="42" t="s">
        <v>1610</v>
      </c>
      <c r="D105" s="42" t="s">
        <v>183</v>
      </c>
      <c r="E105" s="42" t="s">
        <v>21</v>
      </c>
      <c r="F105" s="42" t="s">
        <v>1933</v>
      </c>
      <c r="G105" s="42" t="s">
        <v>46</v>
      </c>
      <c r="H105" s="42" t="s">
        <v>184</v>
      </c>
      <c r="I105" s="43">
        <v>42887.0</v>
      </c>
      <c r="J105" s="29"/>
      <c r="K105" s="44">
        <v>43983.0</v>
      </c>
      <c r="L105" s="45">
        <v>3.0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41" t="s">
        <v>2181</v>
      </c>
      <c r="B106" s="42" t="s">
        <v>2182</v>
      </c>
      <c r="C106" s="42" t="s">
        <v>2183</v>
      </c>
      <c r="D106" s="42" t="s">
        <v>458</v>
      </c>
      <c r="E106" s="42" t="s">
        <v>21</v>
      </c>
      <c r="F106" s="42" t="s">
        <v>1794</v>
      </c>
      <c r="G106" s="42" t="s">
        <v>36</v>
      </c>
      <c r="H106" s="42" t="s">
        <v>110</v>
      </c>
      <c r="I106" s="43">
        <v>43617.0</v>
      </c>
      <c r="J106" s="29"/>
      <c r="K106" s="44">
        <v>44713.0</v>
      </c>
      <c r="L106" s="42">
        <v>3.0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41" t="s">
        <v>2184</v>
      </c>
      <c r="B107" s="42" t="s">
        <v>2185</v>
      </c>
      <c r="C107" s="42" t="s">
        <v>151</v>
      </c>
      <c r="D107" s="42" t="s">
        <v>20</v>
      </c>
      <c r="E107" s="42" t="s">
        <v>21</v>
      </c>
      <c r="F107" s="42" t="s">
        <v>1819</v>
      </c>
      <c r="G107" s="42" t="s">
        <v>23</v>
      </c>
      <c r="H107" s="42" t="s">
        <v>85</v>
      </c>
      <c r="I107" s="43">
        <v>42887.0</v>
      </c>
      <c r="J107" s="29"/>
      <c r="K107" s="44">
        <v>43983.0</v>
      </c>
      <c r="L107" s="45">
        <v>3.0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41" t="s">
        <v>2186</v>
      </c>
      <c r="B108" s="42" t="s">
        <v>2187</v>
      </c>
      <c r="C108" s="42" t="s">
        <v>1086</v>
      </c>
      <c r="D108" s="42" t="s">
        <v>44</v>
      </c>
      <c r="E108" s="42" t="s">
        <v>21</v>
      </c>
      <c r="F108" s="42" t="s">
        <v>1823</v>
      </c>
      <c r="G108" s="42" t="s">
        <v>23</v>
      </c>
      <c r="H108" s="42" t="s">
        <v>331</v>
      </c>
      <c r="I108" s="43">
        <v>42887.0</v>
      </c>
      <c r="J108" s="29"/>
      <c r="K108" s="44">
        <v>44348.0</v>
      </c>
      <c r="L108" s="45">
        <v>3.0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41" t="s">
        <v>833</v>
      </c>
      <c r="B109" s="42" t="s">
        <v>2190</v>
      </c>
      <c r="C109" s="42" t="s">
        <v>834</v>
      </c>
      <c r="D109" s="42" t="s">
        <v>458</v>
      </c>
      <c r="E109" s="42" t="s">
        <v>21</v>
      </c>
      <c r="F109" s="42" t="s">
        <v>1809</v>
      </c>
      <c r="G109" s="42" t="s">
        <v>46</v>
      </c>
      <c r="H109" s="42" t="s">
        <v>110</v>
      </c>
      <c r="I109" s="43">
        <v>43617.0</v>
      </c>
      <c r="J109" s="29"/>
      <c r="K109" s="44">
        <v>44713.0</v>
      </c>
      <c r="L109" s="42">
        <v>3.0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41" t="s">
        <v>1567</v>
      </c>
      <c r="B110" s="42" t="s">
        <v>2069</v>
      </c>
      <c r="C110" s="42" t="s">
        <v>54</v>
      </c>
      <c r="D110" s="42" t="s">
        <v>317</v>
      </c>
      <c r="E110" s="42" t="s">
        <v>21</v>
      </c>
      <c r="F110" s="42" t="s">
        <v>1794</v>
      </c>
      <c r="G110" s="42" t="s">
        <v>46</v>
      </c>
      <c r="H110" s="42" t="s">
        <v>119</v>
      </c>
      <c r="I110" s="43">
        <v>43617.0</v>
      </c>
      <c r="J110" s="29"/>
      <c r="K110" s="44">
        <v>44713.0</v>
      </c>
      <c r="L110" s="42">
        <v>3.0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41" t="s">
        <v>2193</v>
      </c>
      <c r="B111" s="42" t="s">
        <v>2194</v>
      </c>
      <c r="C111" s="42" t="s">
        <v>170</v>
      </c>
      <c r="D111" s="42" t="s">
        <v>89</v>
      </c>
      <c r="E111" s="42" t="s">
        <v>21</v>
      </c>
      <c r="F111" s="42" t="s">
        <v>1823</v>
      </c>
      <c r="G111" s="42" t="s">
        <v>36</v>
      </c>
      <c r="H111" s="42" t="s">
        <v>331</v>
      </c>
      <c r="I111" s="43">
        <v>43252.0</v>
      </c>
      <c r="J111" s="29"/>
      <c r="K111" s="44">
        <v>44348.0</v>
      </c>
      <c r="L111" s="45">
        <v>3.0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41" t="s">
        <v>2197</v>
      </c>
      <c r="B112" s="42" t="s">
        <v>2198</v>
      </c>
      <c r="C112" s="32"/>
      <c r="D112" s="32"/>
      <c r="E112" s="42" t="s">
        <v>2201</v>
      </c>
      <c r="F112" s="42" t="s">
        <v>2203</v>
      </c>
      <c r="G112" s="42" t="s">
        <v>23</v>
      </c>
      <c r="H112" s="42" t="s">
        <v>135</v>
      </c>
      <c r="I112" s="43">
        <v>43252.0</v>
      </c>
      <c r="J112" s="29"/>
      <c r="K112" s="44">
        <v>44348.0</v>
      </c>
      <c r="L112" s="45">
        <v>3.0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41" t="s">
        <v>2204</v>
      </c>
      <c r="B113" s="42" t="s">
        <v>2205</v>
      </c>
      <c r="C113" s="42" t="s">
        <v>1920</v>
      </c>
      <c r="D113" s="42" t="s">
        <v>34</v>
      </c>
      <c r="E113" s="42" t="s">
        <v>21</v>
      </c>
      <c r="F113" s="42" t="s">
        <v>1838</v>
      </c>
      <c r="G113" s="42" t="s">
        <v>23</v>
      </c>
      <c r="H113" s="42" t="s">
        <v>207</v>
      </c>
      <c r="I113" s="43">
        <v>42887.0</v>
      </c>
      <c r="J113" s="43">
        <v>43983.0</v>
      </c>
      <c r="K113" s="44">
        <v>45078.0</v>
      </c>
      <c r="L113" s="45">
        <v>4.0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41" t="s">
        <v>849</v>
      </c>
      <c r="B114" s="42" t="s">
        <v>1843</v>
      </c>
      <c r="C114" s="42" t="s">
        <v>850</v>
      </c>
      <c r="D114" s="42" t="s">
        <v>851</v>
      </c>
      <c r="E114" s="42" t="s">
        <v>21</v>
      </c>
      <c r="F114" s="42" t="s">
        <v>2208</v>
      </c>
      <c r="G114" s="42" t="s">
        <v>137</v>
      </c>
      <c r="H114" s="42" t="s">
        <v>126</v>
      </c>
      <c r="I114" s="43">
        <v>43617.0</v>
      </c>
      <c r="J114" s="43">
        <v>44713.0</v>
      </c>
      <c r="K114" s="44">
        <v>45809.0</v>
      </c>
      <c r="L114" s="42">
        <v>4.0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41" t="s">
        <v>857</v>
      </c>
      <c r="B115" s="42" t="s">
        <v>2209</v>
      </c>
      <c r="C115" s="42" t="s">
        <v>401</v>
      </c>
      <c r="D115" s="42" t="s">
        <v>44</v>
      </c>
      <c r="E115" s="42" t="s">
        <v>21</v>
      </c>
      <c r="F115" s="42" t="s">
        <v>1979</v>
      </c>
      <c r="G115" s="42" t="s">
        <v>23</v>
      </c>
      <c r="H115" s="42" t="s">
        <v>689</v>
      </c>
      <c r="I115" s="43">
        <v>42887.0</v>
      </c>
      <c r="J115" s="29"/>
      <c r="K115" s="44">
        <v>43983.0</v>
      </c>
      <c r="L115" s="45">
        <v>3.0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41" t="s">
        <v>2211</v>
      </c>
      <c r="B116" s="42" t="s">
        <v>2212</v>
      </c>
      <c r="C116" s="32"/>
      <c r="D116" s="32"/>
      <c r="E116" s="42" t="s">
        <v>124</v>
      </c>
      <c r="F116" s="42" t="s">
        <v>2213</v>
      </c>
      <c r="G116" s="42" t="s">
        <v>36</v>
      </c>
      <c r="H116" s="42" t="s">
        <v>126</v>
      </c>
      <c r="I116" s="43">
        <v>43617.0</v>
      </c>
      <c r="J116" s="29"/>
      <c r="K116" s="44">
        <v>44713.0</v>
      </c>
      <c r="L116" s="42">
        <v>3.0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41" t="s">
        <v>2215</v>
      </c>
      <c r="B117" s="42" t="s">
        <v>2216</v>
      </c>
      <c r="C117" s="32"/>
      <c r="D117" s="42" t="s">
        <v>27</v>
      </c>
      <c r="E117" s="42" t="s">
        <v>21</v>
      </c>
      <c r="F117" s="42" t="s">
        <v>155</v>
      </c>
      <c r="G117" s="42" t="s">
        <v>772</v>
      </c>
      <c r="H117" s="42" t="s">
        <v>155</v>
      </c>
      <c r="I117" s="43">
        <v>43132.0</v>
      </c>
      <c r="J117" s="43">
        <v>44348.0</v>
      </c>
      <c r="K117" s="44">
        <v>45444.0</v>
      </c>
      <c r="L117" s="45">
        <v>4.0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41" t="s">
        <v>2217</v>
      </c>
      <c r="B118" s="42" t="s">
        <v>2218</v>
      </c>
      <c r="C118" s="42" t="s">
        <v>672</v>
      </c>
      <c r="D118" s="42" t="s">
        <v>143</v>
      </c>
      <c r="E118" s="42" t="s">
        <v>21</v>
      </c>
      <c r="F118" s="42" t="s">
        <v>1800</v>
      </c>
      <c r="G118" s="42" t="s">
        <v>36</v>
      </c>
      <c r="H118" s="42" t="s">
        <v>207</v>
      </c>
      <c r="I118" s="43">
        <v>42887.0</v>
      </c>
      <c r="J118" s="29"/>
      <c r="K118" s="44">
        <v>43983.0</v>
      </c>
      <c r="L118" s="45">
        <v>3.0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41" t="s">
        <v>871</v>
      </c>
      <c r="B119" s="42" t="s">
        <v>1935</v>
      </c>
      <c r="C119" s="42" t="s">
        <v>977</v>
      </c>
      <c r="D119" s="42" t="s">
        <v>94</v>
      </c>
      <c r="E119" s="42" t="s">
        <v>21</v>
      </c>
      <c r="F119" s="42" t="s">
        <v>1838</v>
      </c>
      <c r="G119" s="42" t="s">
        <v>46</v>
      </c>
      <c r="H119" s="42" t="s">
        <v>207</v>
      </c>
      <c r="I119" s="43">
        <v>42887.0</v>
      </c>
      <c r="J119" s="43">
        <v>43983.0</v>
      </c>
      <c r="K119" s="44">
        <v>45078.0</v>
      </c>
      <c r="L119" s="45">
        <v>4.0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41" t="s">
        <v>2224</v>
      </c>
      <c r="B120" s="42" t="s">
        <v>2225</v>
      </c>
      <c r="C120" s="42" t="s">
        <v>2226</v>
      </c>
      <c r="D120" s="42" t="s">
        <v>130</v>
      </c>
      <c r="E120" s="42" t="s">
        <v>21</v>
      </c>
      <c r="F120" s="42" t="s">
        <v>1819</v>
      </c>
      <c r="G120" s="42" t="s">
        <v>46</v>
      </c>
      <c r="H120" s="42" t="s">
        <v>85</v>
      </c>
      <c r="I120" s="43">
        <v>42887.0</v>
      </c>
      <c r="J120" s="29"/>
      <c r="K120" s="44">
        <v>43983.0</v>
      </c>
      <c r="L120" s="45">
        <v>3.0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41" t="s">
        <v>2224</v>
      </c>
      <c r="B121" s="42" t="s">
        <v>2228</v>
      </c>
      <c r="C121" s="42" t="s">
        <v>2229</v>
      </c>
      <c r="D121" s="42" t="s">
        <v>130</v>
      </c>
      <c r="E121" s="42" t="s">
        <v>21</v>
      </c>
      <c r="F121" s="42" t="s">
        <v>1819</v>
      </c>
      <c r="G121" s="42" t="s">
        <v>46</v>
      </c>
      <c r="H121" s="42" t="s">
        <v>85</v>
      </c>
      <c r="I121" s="43">
        <v>42887.0</v>
      </c>
      <c r="J121" s="29"/>
      <c r="K121" s="44">
        <v>43983.0</v>
      </c>
      <c r="L121" s="45">
        <v>3.0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41" t="s">
        <v>2233</v>
      </c>
      <c r="B122" s="42" t="s">
        <v>2234</v>
      </c>
      <c r="C122" s="42" t="s">
        <v>2235</v>
      </c>
      <c r="D122" s="42" t="s">
        <v>224</v>
      </c>
      <c r="E122" s="42" t="s">
        <v>21</v>
      </c>
      <c r="F122" s="42" t="s">
        <v>1823</v>
      </c>
      <c r="G122" s="42" t="s">
        <v>46</v>
      </c>
      <c r="H122" s="42" t="s">
        <v>225</v>
      </c>
      <c r="I122" s="43">
        <v>42522.0</v>
      </c>
      <c r="J122" s="29"/>
      <c r="K122" s="44">
        <v>44348.0</v>
      </c>
      <c r="L122" s="45">
        <v>3.0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41" t="s">
        <v>2237</v>
      </c>
      <c r="B123" s="42" t="s">
        <v>2045</v>
      </c>
      <c r="C123" s="42" t="s">
        <v>2238</v>
      </c>
      <c r="D123" s="42" t="s">
        <v>34</v>
      </c>
      <c r="E123" s="42" t="s">
        <v>21</v>
      </c>
      <c r="F123" s="42" t="s">
        <v>1782</v>
      </c>
      <c r="G123" s="42" t="s">
        <v>36</v>
      </c>
      <c r="H123" s="42" t="s">
        <v>207</v>
      </c>
      <c r="I123" s="43">
        <v>42887.0</v>
      </c>
      <c r="J123" s="29"/>
      <c r="K123" s="44">
        <v>43983.0</v>
      </c>
      <c r="L123" s="45">
        <v>3.0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41" t="s">
        <v>908</v>
      </c>
      <c r="B124" s="42" t="s">
        <v>2239</v>
      </c>
      <c r="C124" s="42" t="s">
        <v>1373</v>
      </c>
      <c r="D124" s="42" t="s">
        <v>317</v>
      </c>
      <c r="E124" s="42" t="s">
        <v>21</v>
      </c>
      <c r="F124" s="42" t="s">
        <v>1823</v>
      </c>
      <c r="G124" s="42" t="s">
        <v>23</v>
      </c>
      <c r="H124" s="42" t="s">
        <v>425</v>
      </c>
      <c r="I124" s="43">
        <v>42156.0</v>
      </c>
      <c r="J124" s="29"/>
      <c r="K124" s="44">
        <v>44348.0</v>
      </c>
      <c r="L124" s="45">
        <v>3.0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41" t="s">
        <v>916</v>
      </c>
      <c r="B125" s="42" t="s">
        <v>2242</v>
      </c>
      <c r="C125" s="42" t="s">
        <v>347</v>
      </c>
      <c r="D125" s="42" t="s">
        <v>348</v>
      </c>
      <c r="E125" s="42" t="s">
        <v>21</v>
      </c>
      <c r="F125" s="42" t="s">
        <v>2245</v>
      </c>
      <c r="G125" s="42" t="s">
        <v>137</v>
      </c>
      <c r="H125" s="42" t="s">
        <v>207</v>
      </c>
      <c r="I125" s="43">
        <v>42887.0</v>
      </c>
      <c r="J125" s="43">
        <v>43983.0</v>
      </c>
      <c r="K125" s="44">
        <v>45078.0</v>
      </c>
      <c r="L125" s="45">
        <v>4.0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41" t="s">
        <v>2246</v>
      </c>
      <c r="B126" s="42" t="s">
        <v>2247</v>
      </c>
      <c r="C126" s="42" t="s">
        <v>2136</v>
      </c>
      <c r="D126" s="42" t="s">
        <v>94</v>
      </c>
      <c r="E126" s="42" t="s">
        <v>21</v>
      </c>
      <c r="F126" s="42" t="s">
        <v>1979</v>
      </c>
      <c r="G126" s="42" t="s">
        <v>23</v>
      </c>
      <c r="H126" s="42" t="s">
        <v>147</v>
      </c>
      <c r="I126" s="43">
        <v>42887.0</v>
      </c>
      <c r="J126" s="29"/>
      <c r="K126" s="44">
        <v>43983.0</v>
      </c>
      <c r="L126" s="45">
        <v>3.0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41" t="s">
        <v>1018</v>
      </c>
      <c r="B127" s="42" t="s">
        <v>2249</v>
      </c>
      <c r="C127" s="42" t="s">
        <v>146</v>
      </c>
      <c r="D127" s="42" t="s">
        <v>94</v>
      </c>
      <c r="E127" s="42" t="s">
        <v>21</v>
      </c>
      <c r="F127" s="42" t="s">
        <v>1823</v>
      </c>
      <c r="G127" s="42" t="s">
        <v>36</v>
      </c>
      <c r="H127" s="42" t="s">
        <v>295</v>
      </c>
      <c r="I127" s="43">
        <v>42156.0</v>
      </c>
      <c r="J127" s="29"/>
      <c r="K127" s="44">
        <v>44348.0</v>
      </c>
      <c r="L127" s="45">
        <v>3.0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41" t="s">
        <v>2251</v>
      </c>
      <c r="B128" s="42" t="s">
        <v>2209</v>
      </c>
      <c r="C128" s="42" t="s">
        <v>236</v>
      </c>
      <c r="D128" s="42" t="s">
        <v>89</v>
      </c>
      <c r="E128" s="42" t="s">
        <v>21</v>
      </c>
      <c r="F128" s="42" t="s">
        <v>1809</v>
      </c>
      <c r="G128" s="42" t="s">
        <v>23</v>
      </c>
      <c r="H128" s="42" t="s">
        <v>171</v>
      </c>
      <c r="I128" s="43">
        <v>43617.0</v>
      </c>
      <c r="J128" s="29"/>
      <c r="K128" s="44">
        <v>44713.0</v>
      </c>
      <c r="L128" s="42">
        <v>3.0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41" t="s">
        <v>2252</v>
      </c>
      <c r="B129" s="42" t="s">
        <v>2253</v>
      </c>
      <c r="C129" s="42" t="s">
        <v>396</v>
      </c>
      <c r="D129" s="42" t="s">
        <v>44</v>
      </c>
      <c r="E129" s="42" t="s">
        <v>21</v>
      </c>
      <c r="F129" s="42" t="s">
        <v>1794</v>
      </c>
      <c r="G129" s="42" t="s">
        <v>23</v>
      </c>
      <c r="H129" s="42" t="s">
        <v>397</v>
      </c>
      <c r="I129" s="43">
        <v>43617.0</v>
      </c>
      <c r="J129" s="29"/>
      <c r="K129" s="44">
        <v>44713.0</v>
      </c>
      <c r="L129" s="42">
        <v>3.0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41" t="s">
        <v>2256</v>
      </c>
      <c r="B130" s="42" t="s">
        <v>2257</v>
      </c>
      <c r="C130" s="42" t="s">
        <v>2258</v>
      </c>
      <c r="D130" s="42" t="s">
        <v>317</v>
      </c>
      <c r="E130" s="42" t="s">
        <v>21</v>
      </c>
      <c r="F130" s="42" t="s">
        <v>2059</v>
      </c>
      <c r="G130" s="42" t="s">
        <v>46</v>
      </c>
      <c r="H130" s="42" t="s">
        <v>258</v>
      </c>
      <c r="I130" s="43">
        <v>42887.0</v>
      </c>
      <c r="J130" s="29"/>
      <c r="K130" s="44">
        <v>43983.0</v>
      </c>
      <c r="L130" s="45">
        <v>3.0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46" t="s">
        <v>2261</v>
      </c>
      <c r="B131" s="47" t="s">
        <v>2190</v>
      </c>
      <c r="C131" s="47" t="s">
        <v>2262</v>
      </c>
      <c r="D131" s="47" t="s">
        <v>1311</v>
      </c>
      <c r="E131" s="47" t="s">
        <v>21</v>
      </c>
      <c r="F131" s="47" t="s">
        <v>1859</v>
      </c>
      <c r="G131" s="47" t="s">
        <v>46</v>
      </c>
      <c r="H131" s="47" t="s">
        <v>207</v>
      </c>
      <c r="I131" s="44">
        <v>42887.0</v>
      </c>
      <c r="J131" s="36"/>
      <c r="K131" s="44">
        <v>43983.0</v>
      </c>
      <c r="L131" s="45">
        <v>3.0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41" t="s">
        <v>2265</v>
      </c>
      <c r="B132" s="42" t="s">
        <v>2266</v>
      </c>
      <c r="C132" s="42" t="s">
        <v>2267</v>
      </c>
      <c r="D132" s="42" t="s">
        <v>44</v>
      </c>
      <c r="E132" s="42" t="s">
        <v>21</v>
      </c>
      <c r="F132" s="42" t="s">
        <v>1964</v>
      </c>
      <c r="G132" s="42" t="s">
        <v>46</v>
      </c>
      <c r="H132" s="42" t="s">
        <v>119</v>
      </c>
      <c r="I132" s="43">
        <v>43617.0</v>
      </c>
      <c r="J132" s="29"/>
      <c r="K132" s="44">
        <v>44713.0</v>
      </c>
      <c r="L132" s="42">
        <v>3.0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41" t="s">
        <v>2270</v>
      </c>
      <c r="B133" s="42" t="s">
        <v>2271</v>
      </c>
      <c r="C133" s="42" t="s">
        <v>2272</v>
      </c>
      <c r="D133" s="42" t="s">
        <v>20</v>
      </c>
      <c r="E133" s="42" t="s">
        <v>21</v>
      </c>
      <c r="F133" s="42" t="s">
        <v>1964</v>
      </c>
      <c r="G133" s="42" t="s">
        <v>23</v>
      </c>
      <c r="H133" s="42" t="s">
        <v>241</v>
      </c>
      <c r="I133" s="43">
        <v>43617.0</v>
      </c>
      <c r="J133" s="29"/>
      <c r="K133" s="44">
        <v>44713.0</v>
      </c>
      <c r="L133" s="42">
        <v>3.0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41" t="s">
        <v>2275</v>
      </c>
      <c r="B134" s="42" t="s">
        <v>2276</v>
      </c>
      <c r="C134" s="42" t="s">
        <v>2277</v>
      </c>
      <c r="D134" s="42" t="s">
        <v>282</v>
      </c>
      <c r="E134" s="42" t="s">
        <v>21</v>
      </c>
      <c r="F134" s="42" t="s">
        <v>2208</v>
      </c>
      <c r="G134" s="42" t="s">
        <v>23</v>
      </c>
      <c r="H134" s="42" t="s">
        <v>126</v>
      </c>
      <c r="I134" s="43">
        <v>43617.0</v>
      </c>
      <c r="J134" s="43">
        <v>44713.0</v>
      </c>
      <c r="K134" s="44">
        <v>45809.0</v>
      </c>
      <c r="L134" s="42">
        <v>4.0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41" t="s">
        <v>949</v>
      </c>
      <c r="B135" s="42" t="s">
        <v>2045</v>
      </c>
      <c r="C135" s="42" t="s">
        <v>77</v>
      </c>
      <c r="D135" s="42" t="s">
        <v>78</v>
      </c>
      <c r="E135" s="42" t="s">
        <v>21</v>
      </c>
      <c r="F135" s="42" t="s">
        <v>1794</v>
      </c>
      <c r="G135" s="42" t="s">
        <v>46</v>
      </c>
      <c r="H135" s="42" t="s">
        <v>434</v>
      </c>
      <c r="I135" s="43">
        <v>43617.0</v>
      </c>
      <c r="J135" s="29"/>
      <c r="K135" s="44">
        <v>44713.0</v>
      </c>
      <c r="L135" s="42">
        <v>3.0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41" t="s">
        <v>2281</v>
      </c>
      <c r="B136" s="42" t="s">
        <v>1398</v>
      </c>
      <c r="C136" s="42" t="s">
        <v>2111</v>
      </c>
      <c r="D136" s="42" t="s">
        <v>78</v>
      </c>
      <c r="E136" s="42" t="s">
        <v>21</v>
      </c>
      <c r="F136" s="42" t="s">
        <v>1989</v>
      </c>
      <c r="G136" s="42" t="s">
        <v>137</v>
      </c>
      <c r="H136" s="42" t="s">
        <v>135</v>
      </c>
      <c r="I136" s="43">
        <v>43252.0</v>
      </c>
      <c r="J136" s="43">
        <v>44348.0</v>
      </c>
      <c r="K136" s="44">
        <v>45444.0</v>
      </c>
      <c r="L136" s="45">
        <v>4.0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41" t="s">
        <v>1039</v>
      </c>
      <c r="B137" s="42" t="s">
        <v>2283</v>
      </c>
      <c r="C137" s="42" t="s">
        <v>403</v>
      </c>
      <c r="D137" s="42" t="s">
        <v>222</v>
      </c>
      <c r="E137" s="42" t="s">
        <v>21</v>
      </c>
      <c r="F137" s="42" t="s">
        <v>1782</v>
      </c>
      <c r="G137" s="42" t="s">
        <v>137</v>
      </c>
      <c r="H137" s="42" t="s">
        <v>207</v>
      </c>
      <c r="I137" s="43">
        <v>42887.0</v>
      </c>
      <c r="J137" s="29"/>
      <c r="K137" s="44">
        <v>43983.0</v>
      </c>
      <c r="L137" s="45">
        <v>3.0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41" t="s">
        <v>2285</v>
      </c>
      <c r="B138" s="42" t="s">
        <v>2286</v>
      </c>
      <c r="C138" s="42" t="s">
        <v>2287</v>
      </c>
      <c r="D138" s="42" t="s">
        <v>20</v>
      </c>
      <c r="E138" s="42" t="s">
        <v>21</v>
      </c>
      <c r="F138" s="42" t="s">
        <v>1933</v>
      </c>
      <c r="G138" s="42" t="s">
        <v>46</v>
      </c>
      <c r="H138" s="42" t="s">
        <v>229</v>
      </c>
      <c r="I138" s="43">
        <v>42887.0</v>
      </c>
      <c r="J138" s="29"/>
      <c r="K138" s="44">
        <v>43983.0</v>
      </c>
      <c r="L138" s="45">
        <v>3.0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41" t="s">
        <v>102</v>
      </c>
      <c r="B139" s="42" t="s">
        <v>1668</v>
      </c>
      <c r="C139" s="42" t="s">
        <v>2292</v>
      </c>
      <c r="D139" s="42" t="s">
        <v>512</v>
      </c>
      <c r="E139" s="42" t="s">
        <v>21</v>
      </c>
      <c r="F139" s="42" t="s">
        <v>1838</v>
      </c>
      <c r="G139" s="42" t="s">
        <v>137</v>
      </c>
      <c r="H139" s="42" t="s">
        <v>207</v>
      </c>
      <c r="I139" s="43">
        <v>42887.0</v>
      </c>
      <c r="J139" s="43">
        <v>43983.0</v>
      </c>
      <c r="K139" s="44">
        <v>45078.0</v>
      </c>
      <c r="L139" s="45">
        <v>4.0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41" t="s">
        <v>102</v>
      </c>
      <c r="B140" s="42" t="s">
        <v>2293</v>
      </c>
      <c r="C140" s="42" t="s">
        <v>448</v>
      </c>
      <c r="D140" s="42" t="s">
        <v>143</v>
      </c>
      <c r="E140" s="42" t="s">
        <v>21</v>
      </c>
      <c r="F140" s="42" t="s">
        <v>2295</v>
      </c>
      <c r="G140" s="42" t="s">
        <v>23</v>
      </c>
      <c r="H140" s="42" t="s">
        <v>126</v>
      </c>
      <c r="I140" s="43">
        <v>43617.0</v>
      </c>
      <c r="J140" s="29"/>
      <c r="K140" s="44">
        <v>44713.0</v>
      </c>
      <c r="L140" s="42">
        <v>3.0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41" t="s">
        <v>971</v>
      </c>
      <c r="B141" s="42" t="s">
        <v>2298</v>
      </c>
      <c r="C141" s="42" t="s">
        <v>301</v>
      </c>
      <c r="D141" s="42" t="s">
        <v>34</v>
      </c>
      <c r="E141" s="42" t="s">
        <v>21</v>
      </c>
      <c r="F141" s="42" t="s">
        <v>2299</v>
      </c>
      <c r="G141" s="42" t="s">
        <v>137</v>
      </c>
      <c r="H141" s="42" t="s">
        <v>135</v>
      </c>
      <c r="I141" s="43">
        <v>43252.0</v>
      </c>
      <c r="J141" s="43">
        <v>44348.0</v>
      </c>
      <c r="K141" s="44">
        <v>45444.0</v>
      </c>
      <c r="L141" s="45">
        <v>4.0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41" t="s">
        <v>2301</v>
      </c>
      <c r="B142" s="42" t="s">
        <v>2302</v>
      </c>
      <c r="C142" s="32"/>
      <c r="D142" s="32"/>
      <c r="E142" s="42" t="s">
        <v>884</v>
      </c>
      <c r="F142" s="42" t="s">
        <v>2303</v>
      </c>
      <c r="G142" s="42" t="s">
        <v>36</v>
      </c>
      <c r="H142" s="42" t="s">
        <v>287</v>
      </c>
      <c r="I142" s="43">
        <v>42887.0</v>
      </c>
      <c r="J142" s="29"/>
      <c r="K142" s="44">
        <v>43983.0</v>
      </c>
      <c r="L142" s="45">
        <v>3.0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41" t="s">
        <v>2305</v>
      </c>
      <c r="B143" s="42" t="s">
        <v>301</v>
      </c>
      <c r="C143" s="42" t="s">
        <v>2306</v>
      </c>
      <c r="D143" s="42" t="s">
        <v>222</v>
      </c>
      <c r="E143" s="42" t="s">
        <v>21</v>
      </c>
      <c r="F143" s="42" t="s">
        <v>1933</v>
      </c>
      <c r="G143" s="42" t="s">
        <v>23</v>
      </c>
      <c r="H143" s="42" t="s">
        <v>2307</v>
      </c>
      <c r="I143" s="43">
        <v>42522.0</v>
      </c>
      <c r="J143" s="43">
        <v>44348.0</v>
      </c>
      <c r="K143" s="44">
        <v>45444.0</v>
      </c>
      <c r="L143" s="45">
        <v>4.0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41" t="s">
        <v>980</v>
      </c>
      <c r="B144" s="42" t="s">
        <v>2309</v>
      </c>
      <c r="C144" s="42" t="s">
        <v>982</v>
      </c>
      <c r="D144" s="42" t="s">
        <v>458</v>
      </c>
      <c r="E144" s="42" t="s">
        <v>21</v>
      </c>
      <c r="F144" s="42" t="s">
        <v>1964</v>
      </c>
      <c r="G144" s="42" t="s">
        <v>36</v>
      </c>
      <c r="H144" s="42" t="s">
        <v>110</v>
      </c>
      <c r="I144" s="43">
        <v>43617.0</v>
      </c>
      <c r="J144" s="29"/>
      <c r="K144" s="44">
        <v>44713.0</v>
      </c>
      <c r="L144" s="42">
        <v>3.0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41" t="s">
        <v>2310</v>
      </c>
      <c r="B145" s="42" t="s">
        <v>2311</v>
      </c>
      <c r="C145" s="32"/>
      <c r="D145" s="42" t="s">
        <v>27</v>
      </c>
      <c r="E145" s="42" t="s">
        <v>1889</v>
      </c>
      <c r="F145" s="42" t="s">
        <v>370</v>
      </c>
      <c r="G145" s="42" t="s">
        <v>291</v>
      </c>
      <c r="H145" s="42" t="s">
        <v>370</v>
      </c>
      <c r="I145" s="43">
        <v>43132.0</v>
      </c>
      <c r="J145" s="43">
        <v>44348.0</v>
      </c>
      <c r="K145" s="44">
        <v>45444.0</v>
      </c>
      <c r="L145" s="45">
        <v>4.0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41" t="s">
        <v>2312</v>
      </c>
      <c r="B146" s="42" t="s">
        <v>353</v>
      </c>
      <c r="C146" s="32"/>
      <c r="D146" s="42" t="s">
        <v>27</v>
      </c>
      <c r="E146" s="42" t="s">
        <v>21</v>
      </c>
      <c r="F146" s="42" t="s">
        <v>445</v>
      </c>
      <c r="G146" s="42" t="s">
        <v>156</v>
      </c>
      <c r="H146" s="42" t="s">
        <v>445</v>
      </c>
      <c r="I146" s="43">
        <v>42765.0</v>
      </c>
      <c r="J146" s="29"/>
      <c r="K146" s="44">
        <v>43983.0</v>
      </c>
      <c r="L146" s="45">
        <v>3.0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41" t="s">
        <v>2313</v>
      </c>
      <c r="B147" s="42" t="s">
        <v>2314</v>
      </c>
      <c r="C147" s="32"/>
      <c r="D147" s="42" t="s">
        <v>27</v>
      </c>
      <c r="E147" s="42" t="s">
        <v>187</v>
      </c>
      <c r="F147" s="42" t="s">
        <v>2004</v>
      </c>
      <c r="G147" s="42" t="s">
        <v>36</v>
      </c>
      <c r="H147" s="42" t="s">
        <v>207</v>
      </c>
      <c r="I147" s="43">
        <v>42887.0</v>
      </c>
      <c r="J147" s="43">
        <v>43983.0</v>
      </c>
      <c r="K147" s="44">
        <v>45078.0</v>
      </c>
      <c r="L147" s="45">
        <v>4.0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41" t="s">
        <v>2315</v>
      </c>
      <c r="B148" s="42" t="s">
        <v>1668</v>
      </c>
      <c r="C148" s="32"/>
      <c r="D148" s="42" t="s">
        <v>27</v>
      </c>
      <c r="E148" s="42" t="s">
        <v>162</v>
      </c>
      <c r="F148" s="42" t="s">
        <v>2121</v>
      </c>
      <c r="G148" s="42" t="s">
        <v>36</v>
      </c>
      <c r="H148" s="42" t="s">
        <v>879</v>
      </c>
      <c r="I148" s="43">
        <v>42828.0</v>
      </c>
      <c r="J148" s="43">
        <v>43983.0</v>
      </c>
      <c r="K148" s="44">
        <v>45078.0</v>
      </c>
      <c r="L148" s="45">
        <v>4.0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41" t="s">
        <v>998</v>
      </c>
      <c r="B149" s="42" t="s">
        <v>2316</v>
      </c>
      <c r="C149" s="42" t="s">
        <v>834</v>
      </c>
      <c r="D149" s="42" t="s">
        <v>222</v>
      </c>
      <c r="E149" s="42" t="s">
        <v>21</v>
      </c>
      <c r="F149" s="42" t="s">
        <v>1838</v>
      </c>
      <c r="G149" s="42" t="s">
        <v>46</v>
      </c>
      <c r="H149" s="42" t="s">
        <v>135</v>
      </c>
      <c r="I149" s="43">
        <v>43252.0</v>
      </c>
      <c r="J149" s="43">
        <v>44348.0</v>
      </c>
      <c r="K149" s="44">
        <v>45444.0</v>
      </c>
      <c r="L149" s="45">
        <v>4.0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41" t="s">
        <v>1001</v>
      </c>
      <c r="B150" s="42" t="s">
        <v>2317</v>
      </c>
      <c r="C150" s="42" t="s">
        <v>1576</v>
      </c>
      <c r="D150" s="42" t="s">
        <v>282</v>
      </c>
      <c r="E150" s="42" t="s">
        <v>21</v>
      </c>
      <c r="F150" s="42" t="s">
        <v>1829</v>
      </c>
      <c r="G150" s="42" t="s">
        <v>137</v>
      </c>
      <c r="H150" s="42" t="s">
        <v>126</v>
      </c>
      <c r="I150" s="43">
        <v>43617.0</v>
      </c>
      <c r="J150" s="43">
        <v>44713.0</v>
      </c>
      <c r="K150" s="44">
        <v>45809.0</v>
      </c>
      <c r="L150" s="42">
        <v>4.0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41" t="s">
        <v>1001</v>
      </c>
      <c r="B151" s="42" t="s">
        <v>2319</v>
      </c>
      <c r="C151" s="42" t="s">
        <v>2320</v>
      </c>
      <c r="D151" s="42" t="s">
        <v>94</v>
      </c>
      <c r="E151" s="42" t="s">
        <v>21</v>
      </c>
      <c r="F151" s="42" t="s">
        <v>1794</v>
      </c>
      <c r="G151" s="42" t="s">
        <v>36</v>
      </c>
      <c r="H151" s="42" t="s">
        <v>37</v>
      </c>
      <c r="I151" s="43">
        <v>43617.0</v>
      </c>
      <c r="J151" s="29"/>
      <c r="K151" s="44">
        <v>44713.0</v>
      </c>
      <c r="L151" s="42">
        <v>3.0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41" t="s">
        <v>2321</v>
      </c>
      <c r="B152" s="42" t="s">
        <v>2322</v>
      </c>
      <c r="C152" s="42" t="s">
        <v>146</v>
      </c>
      <c r="D152" s="42" t="s">
        <v>94</v>
      </c>
      <c r="E152" s="42" t="s">
        <v>21</v>
      </c>
      <c r="F152" s="42" t="s">
        <v>2323</v>
      </c>
      <c r="G152" s="42" t="s">
        <v>46</v>
      </c>
      <c r="H152" s="42" t="s">
        <v>135</v>
      </c>
      <c r="I152" s="43">
        <v>43252.0</v>
      </c>
      <c r="J152" s="29"/>
      <c r="K152" s="44">
        <v>44348.0</v>
      </c>
      <c r="L152" s="45">
        <v>3.0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41" t="s">
        <v>2324</v>
      </c>
      <c r="B153" s="42" t="s">
        <v>2325</v>
      </c>
      <c r="C153" s="42" t="s">
        <v>2326</v>
      </c>
      <c r="D153" s="42" t="s">
        <v>44</v>
      </c>
      <c r="E153" s="42" t="s">
        <v>21</v>
      </c>
      <c r="F153" s="42" t="s">
        <v>2327</v>
      </c>
      <c r="G153" s="42" t="s">
        <v>36</v>
      </c>
      <c r="H153" s="42" t="s">
        <v>126</v>
      </c>
      <c r="I153" s="43">
        <v>43617.0</v>
      </c>
      <c r="J153" s="43">
        <v>44713.0</v>
      </c>
      <c r="K153" s="44">
        <v>45809.0</v>
      </c>
      <c r="L153" s="42">
        <v>4.0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41" t="s">
        <v>2328</v>
      </c>
      <c r="B154" s="42" t="s">
        <v>2329</v>
      </c>
      <c r="C154" s="32"/>
      <c r="D154" s="32"/>
      <c r="E154" s="42" t="s">
        <v>240</v>
      </c>
      <c r="F154" s="42" t="s">
        <v>1794</v>
      </c>
      <c r="G154" s="42" t="s">
        <v>46</v>
      </c>
      <c r="H154" s="42" t="s">
        <v>152</v>
      </c>
      <c r="I154" s="43">
        <v>43617.0</v>
      </c>
      <c r="J154" s="43">
        <v>44348.0</v>
      </c>
      <c r="K154" s="44">
        <v>45444.0</v>
      </c>
      <c r="L154" s="42">
        <v>4.0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41" t="s">
        <v>1015</v>
      </c>
      <c r="B155" s="42" t="s">
        <v>1843</v>
      </c>
      <c r="C155" s="42" t="s">
        <v>1016</v>
      </c>
      <c r="D155" s="42" t="s">
        <v>118</v>
      </c>
      <c r="E155" s="42" t="s">
        <v>21</v>
      </c>
      <c r="F155" s="42" t="s">
        <v>1809</v>
      </c>
      <c r="G155" s="42" t="s">
        <v>46</v>
      </c>
      <c r="H155" s="42" t="s">
        <v>119</v>
      </c>
      <c r="I155" s="43">
        <v>43617.0</v>
      </c>
      <c r="J155" s="29"/>
      <c r="K155" s="44">
        <v>44713.0</v>
      </c>
      <c r="L155" s="42">
        <v>3.0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41" t="s">
        <v>1027</v>
      </c>
      <c r="B156" s="42" t="s">
        <v>2332</v>
      </c>
      <c r="C156" s="42" t="s">
        <v>557</v>
      </c>
      <c r="D156" s="42" t="s">
        <v>317</v>
      </c>
      <c r="E156" s="42" t="s">
        <v>21</v>
      </c>
      <c r="F156" s="42" t="s">
        <v>155</v>
      </c>
      <c r="G156" s="42" t="s">
        <v>167</v>
      </c>
      <c r="H156" s="42" t="s">
        <v>155</v>
      </c>
      <c r="I156" s="43">
        <v>43132.0</v>
      </c>
      <c r="J156" s="43">
        <v>44348.0</v>
      </c>
      <c r="K156" s="44">
        <v>45444.0</v>
      </c>
      <c r="L156" s="45">
        <v>4.0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41" t="s">
        <v>2333</v>
      </c>
      <c r="B157" s="42" t="s">
        <v>2334</v>
      </c>
      <c r="C157" s="42" t="s">
        <v>549</v>
      </c>
      <c r="D157" s="42" t="s">
        <v>78</v>
      </c>
      <c r="E157" s="42" t="s">
        <v>21</v>
      </c>
      <c r="F157" s="42" t="s">
        <v>1819</v>
      </c>
      <c r="G157" s="42" t="s">
        <v>23</v>
      </c>
      <c r="H157" s="42" t="s">
        <v>80</v>
      </c>
      <c r="I157" s="43">
        <v>43252.0</v>
      </c>
      <c r="J157" s="29"/>
      <c r="K157" s="44">
        <v>44348.0</v>
      </c>
      <c r="L157" s="45">
        <v>3.0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41" t="s">
        <v>2336</v>
      </c>
      <c r="B158" s="42" t="s">
        <v>2337</v>
      </c>
      <c r="C158" s="42" t="s">
        <v>215</v>
      </c>
      <c r="D158" s="42" t="s">
        <v>44</v>
      </c>
      <c r="E158" s="42" t="s">
        <v>21</v>
      </c>
      <c r="F158" s="42" t="s">
        <v>2338</v>
      </c>
      <c r="G158" s="42" t="s">
        <v>137</v>
      </c>
      <c r="H158" s="42" t="s">
        <v>126</v>
      </c>
      <c r="I158" s="43">
        <v>43617.0</v>
      </c>
      <c r="J158" s="43">
        <v>44713.0</v>
      </c>
      <c r="K158" s="44">
        <v>45809.0</v>
      </c>
      <c r="L158" s="42">
        <v>4.0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41" t="s">
        <v>1035</v>
      </c>
      <c r="B159" s="42" t="s">
        <v>2339</v>
      </c>
      <c r="C159" s="42" t="s">
        <v>2340</v>
      </c>
      <c r="D159" s="42" t="s">
        <v>78</v>
      </c>
      <c r="E159" s="42" t="s">
        <v>21</v>
      </c>
      <c r="F159" s="42" t="s">
        <v>2341</v>
      </c>
      <c r="G159" s="42" t="s">
        <v>23</v>
      </c>
      <c r="H159" s="42" t="s">
        <v>287</v>
      </c>
      <c r="I159" s="43">
        <v>42887.0</v>
      </c>
      <c r="J159" s="29"/>
      <c r="K159" s="44">
        <v>43983.0</v>
      </c>
      <c r="L159" s="45">
        <v>3.0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41" t="s">
        <v>2343</v>
      </c>
      <c r="B160" s="42" t="s">
        <v>2344</v>
      </c>
      <c r="C160" s="42" t="s">
        <v>2345</v>
      </c>
      <c r="D160" s="42" t="s">
        <v>313</v>
      </c>
      <c r="E160" s="42" t="s">
        <v>21</v>
      </c>
      <c r="F160" s="42" t="s">
        <v>1794</v>
      </c>
      <c r="G160" s="42" t="s">
        <v>23</v>
      </c>
      <c r="H160" s="42" t="s">
        <v>57</v>
      </c>
      <c r="I160" s="43">
        <v>43617.0</v>
      </c>
      <c r="J160" s="29"/>
      <c r="K160" s="44">
        <v>44713.0</v>
      </c>
      <c r="L160" s="42">
        <v>3.0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41" t="s">
        <v>2347</v>
      </c>
      <c r="B161" s="42" t="s">
        <v>2128</v>
      </c>
      <c r="C161" s="42" t="s">
        <v>170</v>
      </c>
      <c r="D161" s="42" t="s">
        <v>89</v>
      </c>
      <c r="E161" s="42" t="s">
        <v>21</v>
      </c>
      <c r="F161" s="42" t="s">
        <v>1933</v>
      </c>
      <c r="G161" s="42" t="s">
        <v>46</v>
      </c>
      <c r="H161" s="42" t="s">
        <v>237</v>
      </c>
      <c r="I161" s="43">
        <v>42887.0</v>
      </c>
      <c r="J161" s="29"/>
      <c r="K161" s="44">
        <v>43983.0</v>
      </c>
      <c r="L161" s="45">
        <v>3.0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41" t="s">
        <v>2348</v>
      </c>
      <c r="B162" s="42" t="s">
        <v>2037</v>
      </c>
      <c r="C162" s="42" t="s">
        <v>2349</v>
      </c>
      <c r="D162" s="42" t="s">
        <v>282</v>
      </c>
      <c r="E162" s="42" t="s">
        <v>21</v>
      </c>
      <c r="F162" s="42" t="s">
        <v>2020</v>
      </c>
      <c r="G162" s="42" t="s">
        <v>137</v>
      </c>
      <c r="H162" s="42" t="s">
        <v>126</v>
      </c>
      <c r="I162" s="43">
        <v>43617.0</v>
      </c>
      <c r="J162" s="29"/>
      <c r="K162" s="44">
        <v>44713.0</v>
      </c>
      <c r="L162" s="42">
        <v>3.0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41" t="s">
        <v>2351</v>
      </c>
      <c r="B163" s="42" t="s">
        <v>1950</v>
      </c>
      <c r="C163" s="42" t="s">
        <v>1285</v>
      </c>
      <c r="D163" s="42" t="s">
        <v>55</v>
      </c>
      <c r="E163" s="42" t="s">
        <v>21</v>
      </c>
      <c r="F163" s="42" t="s">
        <v>1794</v>
      </c>
      <c r="G163" s="42" t="s">
        <v>46</v>
      </c>
      <c r="H163" s="42" t="s">
        <v>57</v>
      </c>
      <c r="I163" s="43">
        <v>43617.0</v>
      </c>
      <c r="J163" s="29"/>
      <c r="K163" s="44">
        <v>44713.0</v>
      </c>
      <c r="L163" s="42">
        <v>3.0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41" t="s">
        <v>2352</v>
      </c>
      <c r="B164" s="42" t="s">
        <v>2353</v>
      </c>
      <c r="C164" s="42" t="s">
        <v>1818</v>
      </c>
      <c r="D164" s="42" t="s">
        <v>89</v>
      </c>
      <c r="E164" s="42" t="s">
        <v>21</v>
      </c>
      <c r="F164" s="42" t="s">
        <v>1819</v>
      </c>
      <c r="G164" s="42" t="s">
        <v>23</v>
      </c>
      <c r="H164" s="42" t="s">
        <v>331</v>
      </c>
      <c r="I164" s="43">
        <v>43252.0</v>
      </c>
      <c r="J164" s="29"/>
      <c r="K164" s="44">
        <v>44348.0</v>
      </c>
      <c r="L164" s="45">
        <v>3.0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4.25" customHeight="1">
      <c r="A165" s="41" t="s">
        <v>2356</v>
      </c>
      <c r="B165" s="42" t="s">
        <v>2357</v>
      </c>
      <c r="C165" s="42" t="s">
        <v>2358</v>
      </c>
      <c r="D165" s="42" t="s">
        <v>94</v>
      </c>
      <c r="E165" s="42" t="s">
        <v>21</v>
      </c>
      <c r="F165" s="42" t="s">
        <v>1823</v>
      </c>
      <c r="G165" s="42" t="s">
        <v>23</v>
      </c>
      <c r="H165" s="42" t="s">
        <v>975</v>
      </c>
      <c r="I165" s="43">
        <v>43252.0</v>
      </c>
      <c r="J165" s="43">
        <v>44348.0</v>
      </c>
      <c r="K165" s="44">
        <v>45444.0</v>
      </c>
      <c r="L165" s="45">
        <v>4.0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41" t="s">
        <v>2361</v>
      </c>
      <c r="B166" s="42" t="s">
        <v>2362</v>
      </c>
      <c r="C166" s="42" t="s">
        <v>2363</v>
      </c>
      <c r="D166" s="42" t="s">
        <v>343</v>
      </c>
      <c r="E166" s="42" t="s">
        <v>21</v>
      </c>
      <c r="F166" s="42" t="s">
        <v>1933</v>
      </c>
      <c r="G166" s="42" t="s">
        <v>23</v>
      </c>
      <c r="H166" s="42" t="s">
        <v>229</v>
      </c>
      <c r="I166" s="43">
        <v>42887.0</v>
      </c>
      <c r="J166" s="29"/>
      <c r="K166" s="44">
        <v>43983.0</v>
      </c>
      <c r="L166" s="45">
        <v>3.0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41" t="s">
        <v>1524</v>
      </c>
      <c r="B167" s="42" t="s">
        <v>1913</v>
      </c>
      <c r="C167" s="42" t="s">
        <v>1148</v>
      </c>
      <c r="D167" s="42" t="s">
        <v>313</v>
      </c>
      <c r="E167" s="42" t="s">
        <v>21</v>
      </c>
      <c r="F167" s="42" t="s">
        <v>1926</v>
      </c>
      <c r="G167" s="42" t="s">
        <v>23</v>
      </c>
      <c r="H167" s="42" t="s">
        <v>126</v>
      </c>
      <c r="I167" s="43">
        <v>43617.0</v>
      </c>
      <c r="J167" s="43">
        <v>44713.0</v>
      </c>
      <c r="K167" s="44">
        <v>45809.0</v>
      </c>
      <c r="L167" s="42">
        <v>4.0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41" t="s">
        <v>1524</v>
      </c>
      <c r="B168" s="42" t="s">
        <v>2317</v>
      </c>
      <c r="C168" s="42" t="s">
        <v>1148</v>
      </c>
      <c r="D168" s="42" t="s">
        <v>313</v>
      </c>
      <c r="E168" s="42" t="s">
        <v>21</v>
      </c>
      <c r="F168" s="42" t="s">
        <v>1926</v>
      </c>
      <c r="G168" s="42" t="s">
        <v>23</v>
      </c>
      <c r="H168" s="42" t="s">
        <v>126</v>
      </c>
      <c r="I168" s="43">
        <v>43617.0</v>
      </c>
      <c r="J168" s="43">
        <v>44713.0</v>
      </c>
      <c r="K168" s="44">
        <v>45809.0</v>
      </c>
      <c r="L168" s="42">
        <v>4.0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41" t="s">
        <v>2367</v>
      </c>
      <c r="B169" s="45" t="s">
        <v>2369</v>
      </c>
      <c r="C169" s="45" t="s">
        <v>2370</v>
      </c>
      <c r="D169" s="45" t="s">
        <v>348</v>
      </c>
      <c r="E169" s="42" t="s">
        <v>21</v>
      </c>
      <c r="F169" s="32"/>
      <c r="G169" s="32"/>
      <c r="H169" s="45" t="s">
        <v>913</v>
      </c>
      <c r="I169" s="43">
        <v>43252.0</v>
      </c>
      <c r="J169" s="29"/>
      <c r="K169" s="44">
        <v>44348.0</v>
      </c>
      <c r="L169" s="45">
        <v>3.0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41" t="s">
        <v>2371</v>
      </c>
      <c r="B170" s="42" t="s">
        <v>2119</v>
      </c>
      <c r="C170" s="32"/>
      <c r="D170" s="42" t="s">
        <v>27</v>
      </c>
      <c r="E170" s="42" t="s">
        <v>27</v>
      </c>
      <c r="F170" s="42" t="s">
        <v>408</v>
      </c>
      <c r="G170" s="42" t="s">
        <v>2373</v>
      </c>
      <c r="H170" s="42" t="s">
        <v>408</v>
      </c>
      <c r="I170" s="43">
        <v>42772.0</v>
      </c>
      <c r="J170" s="43">
        <v>43983.0</v>
      </c>
      <c r="K170" s="44">
        <v>45078.0</v>
      </c>
      <c r="L170" s="45">
        <v>4.0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41" t="s">
        <v>1062</v>
      </c>
      <c r="B171" s="42" t="s">
        <v>1956</v>
      </c>
      <c r="C171" s="42" t="s">
        <v>93</v>
      </c>
      <c r="D171" s="42" t="s">
        <v>94</v>
      </c>
      <c r="E171" s="42" t="s">
        <v>21</v>
      </c>
      <c r="F171" s="42" t="s">
        <v>1819</v>
      </c>
      <c r="G171" s="42" t="s">
        <v>23</v>
      </c>
      <c r="H171" s="42" t="s">
        <v>295</v>
      </c>
      <c r="I171" s="43">
        <v>43252.0</v>
      </c>
      <c r="J171" s="29"/>
      <c r="K171" s="44">
        <v>44348.0</v>
      </c>
      <c r="L171" s="45">
        <v>3.0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46" t="s">
        <v>2376</v>
      </c>
      <c r="B172" s="47" t="s">
        <v>2377</v>
      </c>
      <c r="C172" s="47" t="s">
        <v>1163</v>
      </c>
      <c r="D172" s="47" t="s">
        <v>348</v>
      </c>
      <c r="E172" s="47" t="s">
        <v>21</v>
      </c>
      <c r="F172" s="42" t="s">
        <v>1819</v>
      </c>
      <c r="G172" s="42" t="s">
        <v>46</v>
      </c>
      <c r="H172" s="47" t="s">
        <v>324</v>
      </c>
      <c r="I172" s="43">
        <v>43252.0</v>
      </c>
      <c r="J172" s="29"/>
      <c r="K172" s="44">
        <v>44348.0</v>
      </c>
      <c r="L172" s="45">
        <v>3.0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41" t="s">
        <v>2379</v>
      </c>
      <c r="B173" s="42" t="s">
        <v>1974</v>
      </c>
      <c r="C173" s="42" t="s">
        <v>2381</v>
      </c>
      <c r="D173" s="42" t="s">
        <v>130</v>
      </c>
      <c r="E173" s="42" t="s">
        <v>21</v>
      </c>
      <c r="F173" s="42" t="s">
        <v>1823</v>
      </c>
      <c r="G173" s="42" t="s">
        <v>46</v>
      </c>
      <c r="H173" s="42" t="s">
        <v>72</v>
      </c>
      <c r="I173" s="43">
        <v>43252.0</v>
      </c>
      <c r="J173" s="29"/>
      <c r="K173" s="44">
        <v>44348.0</v>
      </c>
      <c r="L173" s="45">
        <v>3.0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41" t="s">
        <v>1067</v>
      </c>
      <c r="B174" s="42" t="s">
        <v>2383</v>
      </c>
      <c r="C174" s="42" t="s">
        <v>2384</v>
      </c>
      <c r="D174" s="42" t="s">
        <v>222</v>
      </c>
      <c r="E174" s="42" t="s">
        <v>21</v>
      </c>
      <c r="F174" s="42" t="s">
        <v>1823</v>
      </c>
      <c r="G174" s="42" t="s">
        <v>36</v>
      </c>
      <c r="H174" s="42" t="s">
        <v>85</v>
      </c>
      <c r="I174" s="43">
        <v>42887.0</v>
      </c>
      <c r="J174" s="29"/>
      <c r="K174" s="44">
        <v>43983.0</v>
      </c>
      <c r="L174" s="45">
        <v>3.0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41" t="s">
        <v>1067</v>
      </c>
      <c r="B175" s="42" t="s">
        <v>2386</v>
      </c>
      <c r="C175" s="42" t="s">
        <v>1068</v>
      </c>
      <c r="D175" s="42" t="s">
        <v>222</v>
      </c>
      <c r="E175" s="42" t="s">
        <v>21</v>
      </c>
      <c r="F175" s="42" t="s">
        <v>1823</v>
      </c>
      <c r="G175" s="42" t="s">
        <v>46</v>
      </c>
      <c r="H175" s="42" t="s">
        <v>85</v>
      </c>
      <c r="I175" s="43">
        <v>42887.0</v>
      </c>
      <c r="J175" s="29"/>
      <c r="K175" s="44">
        <v>43983.0</v>
      </c>
      <c r="L175" s="45">
        <v>3.0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41" t="s">
        <v>2389</v>
      </c>
      <c r="B176" s="45" t="s">
        <v>2390</v>
      </c>
      <c r="C176" s="45" t="s">
        <v>2391</v>
      </c>
      <c r="D176" s="45" t="s">
        <v>44</v>
      </c>
      <c r="E176" s="42" t="s">
        <v>21</v>
      </c>
      <c r="F176" s="45" t="s">
        <v>1823</v>
      </c>
      <c r="G176" s="45" t="s">
        <v>23</v>
      </c>
      <c r="H176" s="45" t="s">
        <v>100</v>
      </c>
      <c r="I176" s="43">
        <v>42887.0</v>
      </c>
      <c r="J176" s="29"/>
      <c r="K176" s="44">
        <v>43983.0</v>
      </c>
      <c r="L176" s="45">
        <v>3.0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41" t="s">
        <v>2393</v>
      </c>
      <c r="B177" s="42" t="s">
        <v>2394</v>
      </c>
      <c r="C177" s="32"/>
      <c r="D177" s="42" t="s">
        <v>27</v>
      </c>
      <c r="E177" s="42" t="s">
        <v>21</v>
      </c>
      <c r="F177" s="42" t="s">
        <v>370</v>
      </c>
      <c r="G177" s="42" t="s">
        <v>665</v>
      </c>
      <c r="H177" s="42" t="s">
        <v>370</v>
      </c>
      <c r="I177" s="43">
        <v>43132.0</v>
      </c>
      <c r="J177" s="43">
        <v>44348.0</v>
      </c>
      <c r="K177" s="44">
        <v>45444.0</v>
      </c>
      <c r="L177" s="45">
        <v>4.0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41" t="s">
        <v>2396</v>
      </c>
      <c r="B178" s="42" t="s">
        <v>2397</v>
      </c>
      <c r="C178" s="42" t="s">
        <v>1244</v>
      </c>
      <c r="D178" s="42" t="s">
        <v>323</v>
      </c>
      <c r="E178" s="42" t="s">
        <v>21</v>
      </c>
      <c r="F178" s="42" t="s">
        <v>1933</v>
      </c>
      <c r="G178" s="42" t="s">
        <v>23</v>
      </c>
      <c r="H178" s="42" t="s">
        <v>582</v>
      </c>
      <c r="I178" s="43">
        <v>42887.0</v>
      </c>
      <c r="J178" s="29"/>
      <c r="K178" s="44">
        <v>43983.0</v>
      </c>
      <c r="L178" s="45">
        <v>3.0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4.25" customHeight="1">
      <c r="A179" s="46" t="s">
        <v>2398</v>
      </c>
      <c r="B179" s="47" t="s">
        <v>2399</v>
      </c>
      <c r="C179" s="47" t="s">
        <v>2400</v>
      </c>
      <c r="D179" s="47" t="s">
        <v>222</v>
      </c>
      <c r="E179" s="42" t="s">
        <v>21</v>
      </c>
      <c r="F179" s="47" t="s">
        <v>1809</v>
      </c>
      <c r="G179" s="47" t="s">
        <v>46</v>
      </c>
      <c r="H179" s="47" t="s">
        <v>241</v>
      </c>
      <c r="I179" s="43">
        <v>43617.0</v>
      </c>
      <c r="J179" s="48"/>
      <c r="K179" s="44">
        <v>44713.0</v>
      </c>
      <c r="L179" s="42">
        <v>3.0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41" t="s">
        <v>2402</v>
      </c>
      <c r="B180" s="42" t="s">
        <v>2403</v>
      </c>
      <c r="C180" s="42" t="s">
        <v>1163</v>
      </c>
      <c r="D180" s="42" t="s">
        <v>348</v>
      </c>
      <c r="E180" s="42" t="s">
        <v>21</v>
      </c>
      <c r="F180" s="42" t="s">
        <v>1819</v>
      </c>
      <c r="G180" s="42" t="s">
        <v>46</v>
      </c>
      <c r="H180" s="42" t="s">
        <v>324</v>
      </c>
      <c r="I180" s="43">
        <v>43252.0</v>
      </c>
      <c r="J180" s="29"/>
      <c r="K180" s="44">
        <v>44348.0</v>
      </c>
      <c r="L180" s="45">
        <v>3.0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41" t="s">
        <v>2406</v>
      </c>
      <c r="B181" s="42" t="s">
        <v>2094</v>
      </c>
      <c r="C181" s="42" t="s">
        <v>1138</v>
      </c>
      <c r="D181" s="42" t="s">
        <v>282</v>
      </c>
      <c r="E181" s="42" t="s">
        <v>21</v>
      </c>
      <c r="F181" s="42" t="s">
        <v>1809</v>
      </c>
      <c r="G181" s="42" t="s">
        <v>46</v>
      </c>
      <c r="H181" s="42" t="s">
        <v>37</v>
      </c>
      <c r="I181" s="43">
        <v>43617.0</v>
      </c>
      <c r="J181" s="29"/>
      <c r="K181" s="44">
        <v>44713.0</v>
      </c>
      <c r="L181" s="42">
        <v>3.0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41" t="s">
        <v>1162</v>
      </c>
      <c r="B182" s="42" t="s">
        <v>2101</v>
      </c>
      <c r="C182" s="42" t="s">
        <v>1163</v>
      </c>
      <c r="D182" s="42" t="s">
        <v>348</v>
      </c>
      <c r="E182" s="42" t="s">
        <v>21</v>
      </c>
      <c r="F182" s="42" t="s">
        <v>1823</v>
      </c>
      <c r="G182" s="42" t="s">
        <v>46</v>
      </c>
      <c r="H182" s="42" t="s">
        <v>324</v>
      </c>
      <c r="I182" s="43">
        <v>43252.0</v>
      </c>
      <c r="J182" s="29"/>
      <c r="K182" s="44">
        <v>44348.0</v>
      </c>
      <c r="L182" s="45">
        <v>3.0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41" t="s">
        <v>1992</v>
      </c>
      <c r="B183" s="42" t="s">
        <v>2332</v>
      </c>
      <c r="C183" s="32"/>
      <c r="D183" s="42" t="s">
        <v>27</v>
      </c>
      <c r="E183" s="42" t="s">
        <v>21</v>
      </c>
      <c r="F183" s="42" t="s">
        <v>155</v>
      </c>
      <c r="G183" s="42" t="s">
        <v>2409</v>
      </c>
      <c r="H183" s="42" t="s">
        <v>155</v>
      </c>
      <c r="I183" s="43">
        <v>43132.0</v>
      </c>
      <c r="J183" s="43">
        <v>44348.0</v>
      </c>
      <c r="K183" s="44">
        <v>45444.0</v>
      </c>
      <c r="L183" s="45">
        <v>4.0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41" t="s">
        <v>1172</v>
      </c>
      <c r="B184" s="42" t="s">
        <v>2410</v>
      </c>
      <c r="C184" s="42" t="s">
        <v>228</v>
      </c>
      <c r="D184" s="42" t="s">
        <v>20</v>
      </c>
      <c r="E184" s="42" t="s">
        <v>21</v>
      </c>
      <c r="F184" s="42" t="s">
        <v>1823</v>
      </c>
      <c r="G184" s="42" t="s">
        <v>36</v>
      </c>
      <c r="H184" s="42" t="s">
        <v>328</v>
      </c>
      <c r="I184" s="43">
        <v>43252.0</v>
      </c>
      <c r="J184" s="29"/>
      <c r="K184" s="44">
        <v>44348.0</v>
      </c>
      <c r="L184" s="45">
        <v>3.0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41" t="s">
        <v>1181</v>
      </c>
      <c r="B185" s="42" t="s">
        <v>2414</v>
      </c>
      <c r="C185" s="42" t="s">
        <v>2416</v>
      </c>
      <c r="D185" s="42" t="s">
        <v>55</v>
      </c>
      <c r="E185" s="42" t="s">
        <v>21</v>
      </c>
      <c r="F185" s="42" t="s">
        <v>1823</v>
      </c>
      <c r="G185" s="42" t="s">
        <v>23</v>
      </c>
      <c r="H185" s="42" t="s">
        <v>324</v>
      </c>
      <c r="I185" s="43">
        <v>43252.0</v>
      </c>
      <c r="J185" s="29"/>
      <c r="K185" s="44">
        <v>44348.0</v>
      </c>
      <c r="L185" s="45">
        <v>3.0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4.25" customHeight="1">
      <c r="A186" s="41" t="s">
        <v>2419</v>
      </c>
      <c r="B186" s="42" t="s">
        <v>2420</v>
      </c>
      <c r="C186" s="42" t="s">
        <v>2421</v>
      </c>
      <c r="D186" s="42" t="s">
        <v>317</v>
      </c>
      <c r="E186" s="42" t="s">
        <v>21</v>
      </c>
      <c r="F186" s="42" t="s">
        <v>1794</v>
      </c>
      <c r="G186" s="42" t="s">
        <v>36</v>
      </c>
      <c r="H186" s="42" t="s">
        <v>119</v>
      </c>
      <c r="I186" s="43">
        <v>43617.0</v>
      </c>
      <c r="J186" s="29"/>
      <c r="K186" s="44">
        <v>44713.0</v>
      </c>
      <c r="L186" s="42">
        <v>3.0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41" t="s">
        <v>2423</v>
      </c>
      <c r="B187" s="42" t="s">
        <v>2424</v>
      </c>
      <c r="C187" s="42" t="s">
        <v>514</v>
      </c>
      <c r="D187" s="42" t="s">
        <v>78</v>
      </c>
      <c r="E187" s="42" t="s">
        <v>21</v>
      </c>
      <c r="F187" s="42" t="s">
        <v>1823</v>
      </c>
      <c r="G187" s="42" t="s">
        <v>36</v>
      </c>
      <c r="H187" s="42" t="s">
        <v>80</v>
      </c>
      <c r="I187" s="43">
        <v>43252.0</v>
      </c>
      <c r="J187" s="29"/>
      <c r="K187" s="44">
        <v>44348.0</v>
      </c>
      <c r="L187" s="45">
        <v>3.0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41" t="s">
        <v>2426</v>
      </c>
      <c r="B188" s="42" t="s">
        <v>1826</v>
      </c>
      <c r="C188" s="42" t="s">
        <v>2427</v>
      </c>
      <c r="D188" s="42" t="s">
        <v>130</v>
      </c>
      <c r="E188" s="42" t="s">
        <v>21</v>
      </c>
      <c r="F188" s="42" t="s">
        <v>1819</v>
      </c>
      <c r="G188" s="42" t="s">
        <v>23</v>
      </c>
      <c r="H188" s="42" t="s">
        <v>72</v>
      </c>
      <c r="I188" s="43">
        <v>43252.0</v>
      </c>
      <c r="J188" s="29"/>
      <c r="K188" s="44">
        <v>44348.0</v>
      </c>
      <c r="L188" s="45">
        <v>3.0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41" t="s">
        <v>2430</v>
      </c>
      <c r="B189" s="42" t="s">
        <v>2135</v>
      </c>
      <c r="C189" s="42" t="s">
        <v>2433</v>
      </c>
      <c r="D189" s="42" t="s">
        <v>78</v>
      </c>
      <c r="E189" s="42" t="s">
        <v>21</v>
      </c>
      <c r="F189" s="42" t="s">
        <v>2208</v>
      </c>
      <c r="G189" s="42" t="s">
        <v>36</v>
      </c>
      <c r="H189" s="42" t="s">
        <v>126</v>
      </c>
      <c r="I189" s="43">
        <v>43617.0</v>
      </c>
      <c r="J189" s="43">
        <v>44713.0</v>
      </c>
      <c r="K189" s="44">
        <v>45809.0</v>
      </c>
      <c r="L189" s="42">
        <v>4.0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41" t="s">
        <v>1213</v>
      </c>
      <c r="B190" s="42" t="s">
        <v>2437</v>
      </c>
      <c r="C190" s="42" t="s">
        <v>27</v>
      </c>
      <c r="D190" s="42" t="s">
        <v>27</v>
      </c>
      <c r="E190" s="42" t="s">
        <v>27</v>
      </c>
      <c r="F190" s="42" t="s">
        <v>155</v>
      </c>
      <c r="G190" s="42" t="s">
        <v>665</v>
      </c>
      <c r="H190" s="42" t="s">
        <v>155</v>
      </c>
      <c r="I190" s="43">
        <v>43132.0</v>
      </c>
      <c r="J190" s="43">
        <v>44348.0</v>
      </c>
      <c r="K190" s="44">
        <v>45444.0</v>
      </c>
      <c r="L190" s="45">
        <v>4.0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41" t="s">
        <v>2439</v>
      </c>
      <c r="B191" s="42" t="s">
        <v>2440</v>
      </c>
      <c r="C191" s="42" t="s">
        <v>190</v>
      </c>
      <c r="D191" s="42" t="s">
        <v>323</v>
      </c>
      <c r="E191" s="42" t="s">
        <v>21</v>
      </c>
      <c r="F191" s="42" t="s">
        <v>1809</v>
      </c>
      <c r="G191" s="42" t="s">
        <v>23</v>
      </c>
      <c r="H191" s="42" t="s">
        <v>57</v>
      </c>
      <c r="I191" s="43">
        <v>43617.0</v>
      </c>
      <c r="J191" s="29"/>
      <c r="K191" s="44">
        <v>44713.0</v>
      </c>
      <c r="L191" s="42">
        <v>3.0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41" t="s">
        <v>2443</v>
      </c>
      <c r="B192" s="42" t="s">
        <v>1251</v>
      </c>
      <c r="C192" s="42" t="s">
        <v>2445</v>
      </c>
      <c r="D192" s="42" t="s">
        <v>222</v>
      </c>
      <c r="E192" s="42" t="s">
        <v>21</v>
      </c>
      <c r="F192" s="42" t="s">
        <v>1933</v>
      </c>
      <c r="G192" s="42" t="s">
        <v>36</v>
      </c>
      <c r="H192" s="42" t="s">
        <v>975</v>
      </c>
      <c r="I192" s="43">
        <v>43252.0</v>
      </c>
      <c r="J192" s="43">
        <v>44348.0</v>
      </c>
      <c r="K192" s="44">
        <v>45444.0</v>
      </c>
      <c r="L192" s="45">
        <v>4.0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41" t="s">
        <v>1242</v>
      </c>
      <c r="B193" s="42" t="s">
        <v>2448</v>
      </c>
      <c r="C193" s="42" t="s">
        <v>2449</v>
      </c>
      <c r="D193" s="42" t="s">
        <v>143</v>
      </c>
      <c r="E193" s="42" t="s">
        <v>21</v>
      </c>
      <c r="F193" s="42" t="s">
        <v>1829</v>
      </c>
      <c r="G193" s="42" t="s">
        <v>46</v>
      </c>
      <c r="H193" s="42" t="s">
        <v>126</v>
      </c>
      <c r="I193" s="43">
        <v>43617.0</v>
      </c>
      <c r="J193" s="43">
        <v>44713.0</v>
      </c>
      <c r="K193" s="44">
        <v>45809.0</v>
      </c>
      <c r="L193" s="42">
        <v>4.0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41" t="s">
        <v>1242</v>
      </c>
      <c r="B194" s="42" t="s">
        <v>2452</v>
      </c>
      <c r="C194" s="42" t="s">
        <v>2453</v>
      </c>
      <c r="D194" s="42" t="s">
        <v>282</v>
      </c>
      <c r="E194" s="42" t="s">
        <v>21</v>
      </c>
      <c r="F194" s="42" t="s">
        <v>1926</v>
      </c>
      <c r="G194" s="42" t="s">
        <v>46</v>
      </c>
      <c r="H194" s="42" t="s">
        <v>126</v>
      </c>
      <c r="I194" s="43">
        <v>43617.0</v>
      </c>
      <c r="J194" s="43">
        <v>44713.0</v>
      </c>
      <c r="K194" s="44">
        <v>45809.0</v>
      </c>
      <c r="L194" s="42">
        <v>4.0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41" t="s">
        <v>1242</v>
      </c>
      <c r="B195" s="42" t="s">
        <v>2115</v>
      </c>
      <c r="C195" s="42" t="s">
        <v>672</v>
      </c>
      <c r="D195" s="42" t="s">
        <v>143</v>
      </c>
      <c r="E195" s="42" t="s">
        <v>21</v>
      </c>
      <c r="F195" s="42" t="s">
        <v>1926</v>
      </c>
      <c r="G195" s="42" t="s">
        <v>137</v>
      </c>
      <c r="H195" s="42" t="s">
        <v>126</v>
      </c>
      <c r="I195" s="43">
        <v>43617.0</v>
      </c>
      <c r="J195" s="43">
        <v>44713.0</v>
      </c>
      <c r="K195" s="44">
        <v>45809.0</v>
      </c>
      <c r="L195" s="42">
        <v>4.0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41" t="s">
        <v>1242</v>
      </c>
      <c r="B196" s="42" t="s">
        <v>2460</v>
      </c>
      <c r="C196" s="47" t="s">
        <v>2461</v>
      </c>
      <c r="D196" s="42" t="s">
        <v>94</v>
      </c>
      <c r="E196" s="42" t="s">
        <v>21</v>
      </c>
      <c r="F196" s="42" t="s">
        <v>2323</v>
      </c>
      <c r="G196" s="42" t="s">
        <v>36</v>
      </c>
      <c r="H196" s="42" t="s">
        <v>135</v>
      </c>
      <c r="I196" s="43">
        <v>42522.0</v>
      </c>
      <c r="J196" s="29"/>
      <c r="K196" s="44">
        <v>44348.0</v>
      </c>
      <c r="L196" s="45">
        <v>3.0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41" t="s">
        <v>1242</v>
      </c>
      <c r="B197" s="42" t="s">
        <v>2266</v>
      </c>
      <c r="C197" s="42" t="s">
        <v>2465</v>
      </c>
      <c r="D197" s="42" t="s">
        <v>44</v>
      </c>
      <c r="E197" s="42" t="s">
        <v>21</v>
      </c>
      <c r="F197" s="42" t="s">
        <v>1809</v>
      </c>
      <c r="G197" s="42" t="s">
        <v>46</v>
      </c>
      <c r="H197" s="42" t="s">
        <v>397</v>
      </c>
      <c r="I197" s="43">
        <v>43617.0</v>
      </c>
      <c r="J197" s="29"/>
      <c r="K197" s="44">
        <v>44713.0</v>
      </c>
      <c r="L197" s="42">
        <v>3.0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41" t="s">
        <v>1248</v>
      </c>
      <c r="B198" s="42" t="s">
        <v>2469</v>
      </c>
      <c r="C198" s="42" t="s">
        <v>347</v>
      </c>
      <c r="D198" s="42" t="s">
        <v>348</v>
      </c>
      <c r="E198" s="42" t="s">
        <v>21</v>
      </c>
      <c r="F198" s="42" t="s">
        <v>2472</v>
      </c>
      <c r="G198" s="42" t="s">
        <v>36</v>
      </c>
      <c r="H198" s="42" t="s">
        <v>287</v>
      </c>
      <c r="I198" s="43">
        <v>42887.0</v>
      </c>
      <c r="J198" s="29"/>
      <c r="K198" s="44">
        <v>43983.0</v>
      </c>
      <c r="L198" s="45">
        <v>3.0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41" t="s">
        <v>2474</v>
      </c>
      <c r="B199" s="42" t="s">
        <v>1913</v>
      </c>
      <c r="C199" s="42" t="s">
        <v>382</v>
      </c>
      <c r="D199" s="42" t="s">
        <v>94</v>
      </c>
      <c r="E199" s="42" t="s">
        <v>21</v>
      </c>
      <c r="F199" s="42" t="s">
        <v>2475</v>
      </c>
      <c r="G199" s="42" t="s">
        <v>23</v>
      </c>
      <c r="H199" s="42" t="s">
        <v>126</v>
      </c>
      <c r="I199" s="43">
        <v>43617.0</v>
      </c>
      <c r="J199" s="43">
        <v>44713.0</v>
      </c>
      <c r="K199" s="44">
        <v>45809.0</v>
      </c>
      <c r="L199" s="42">
        <v>4.0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41" t="s">
        <v>2474</v>
      </c>
      <c r="B200" s="42" t="s">
        <v>2478</v>
      </c>
      <c r="C200" s="42" t="s">
        <v>382</v>
      </c>
      <c r="D200" s="42" t="s">
        <v>94</v>
      </c>
      <c r="E200" s="42" t="s">
        <v>21</v>
      </c>
      <c r="F200" s="42" t="s">
        <v>2295</v>
      </c>
      <c r="G200" s="42" t="s">
        <v>36</v>
      </c>
      <c r="H200" s="42" t="s">
        <v>126</v>
      </c>
      <c r="I200" s="43">
        <v>43617.0</v>
      </c>
      <c r="J200" s="29"/>
      <c r="K200" s="44">
        <v>44713.0</v>
      </c>
      <c r="L200" s="42">
        <v>3.0</v>
      </c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41" t="s">
        <v>2481</v>
      </c>
      <c r="B201" s="42" t="s">
        <v>2482</v>
      </c>
      <c r="C201" s="32"/>
      <c r="D201" s="32"/>
      <c r="E201" s="42" t="s">
        <v>2483</v>
      </c>
      <c r="F201" s="42" t="s">
        <v>2295</v>
      </c>
      <c r="G201" s="42" t="s">
        <v>36</v>
      </c>
      <c r="H201" s="42" t="s">
        <v>126</v>
      </c>
      <c r="I201" s="43">
        <v>43617.0</v>
      </c>
      <c r="J201" s="29"/>
      <c r="K201" s="44">
        <v>44713.0</v>
      </c>
      <c r="L201" s="42">
        <v>3.0</v>
      </c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41" t="s">
        <v>2487</v>
      </c>
      <c r="B202" s="42" t="s">
        <v>1981</v>
      </c>
      <c r="C202" s="42" t="s">
        <v>2489</v>
      </c>
      <c r="D202" s="42" t="s">
        <v>317</v>
      </c>
      <c r="E202" s="42" t="s">
        <v>21</v>
      </c>
      <c r="F202" s="42" t="s">
        <v>1823</v>
      </c>
      <c r="G202" s="42" t="s">
        <v>23</v>
      </c>
      <c r="H202" s="42" t="s">
        <v>425</v>
      </c>
      <c r="I202" s="43">
        <v>43252.0</v>
      </c>
      <c r="J202" s="29"/>
      <c r="K202" s="44">
        <v>44348.0</v>
      </c>
      <c r="L202" s="45">
        <v>3.0</v>
      </c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41" t="s">
        <v>2491</v>
      </c>
      <c r="B203" s="42" t="s">
        <v>2492</v>
      </c>
      <c r="C203" s="42" t="s">
        <v>2493</v>
      </c>
      <c r="D203" s="42" t="s">
        <v>20</v>
      </c>
      <c r="E203" s="42" t="s">
        <v>21</v>
      </c>
      <c r="F203" s="42" t="s">
        <v>1356</v>
      </c>
      <c r="G203" s="42" t="s">
        <v>264</v>
      </c>
      <c r="H203" s="42" t="s">
        <v>24</v>
      </c>
      <c r="I203" s="43">
        <v>41339.0</v>
      </c>
      <c r="J203" s="29"/>
      <c r="K203" s="44">
        <v>45809.0</v>
      </c>
      <c r="L203" s="45">
        <v>3.0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41" t="s">
        <v>2495</v>
      </c>
      <c r="B204" s="42" t="s">
        <v>2037</v>
      </c>
      <c r="C204" s="42" t="s">
        <v>2421</v>
      </c>
      <c r="D204" s="42" t="s">
        <v>317</v>
      </c>
      <c r="E204" s="42" t="s">
        <v>21</v>
      </c>
      <c r="F204" s="42" t="s">
        <v>1794</v>
      </c>
      <c r="G204" s="42" t="s">
        <v>36</v>
      </c>
      <c r="H204" s="42" t="s">
        <v>119</v>
      </c>
      <c r="I204" s="43">
        <v>43617.0</v>
      </c>
      <c r="J204" s="43">
        <v>44348.0</v>
      </c>
      <c r="K204" s="44">
        <v>45444.0</v>
      </c>
      <c r="L204" s="42">
        <v>4.0</v>
      </c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41" t="s">
        <v>2497</v>
      </c>
      <c r="B205" s="42" t="s">
        <v>1974</v>
      </c>
      <c r="C205" s="42" t="s">
        <v>254</v>
      </c>
      <c r="D205" s="42" t="s">
        <v>143</v>
      </c>
      <c r="E205" s="42" t="s">
        <v>21</v>
      </c>
      <c r="F205" s="42" t="s">
        <v>1838</v>
      </c>
      <c r="G205" s="42" t="s">
        <v>46</v>
      </c>
      <c r="H205" s="42" t="s">
        <v>149</v>
      </c>
      <c r="I205" s="43">
        <v>42522.0</v>
      </c>
      <c r="J205" s="29"/>
      <c r="K205" s="44">
        <v>44713.0</v>
      </c>
      <c r="L205" s="45">
        <v>3.0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41" t="s">
        <v>776</v>
      </c>
      <c r="B206" s="42" t="s">
        <v>2501</v>
      </c>
      <c r="C206" s="42" t="s">
        <v>2502</v>
      </c>
      <c r="D206" s="42" t="s">
        <v>222</v>
      </c>
      <c r="E206" s="42" t="s">
        <v>21</v>
      </c>
      <c r="F206" s="42" t="s">
        <v>2503</v>
      </c>
      <c r="G206" s="42" t="s">
        <v>36</v>
      </c>
      <c r="H206" s="42" t="s">
        <v>2504</v>
      </c>
      <c r="I206" s="43">
        <v>43252.0</v>
      </c>
      <c r="J206" s="29"/>
      <c r="K206" s="44">
        <v>44348.0</v>
      </c>
      <c r="L206" s="45">
        <v>3.0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46" t="s">
        <v>2505</v>
      </c>
      <c r="B207" s="47" t="s">
        <v>2506</v>
      </c>
      <c r="C207" s="47" t="s">
        <v>1373</v>
      </c>
      <c r="D207" s="47" t="s">
        <v>282</v>
      </c>
      <c r="E207" s="47" t="s">
        <v>21</v>
      </c>
      <c r="F207" s="42" t="s">
        <v>2049</v>
      </c>
      <c r="G207" s="42" t="s">
        <v>46</v>
      </c>
      <c r="H207" s="47" t="s">
        <v>207</v>
      </c>
      <c r="I207" s="43">
        <v>42887.0</v>
      </c>
      <c r="J207" s="29"/>
      <c r="K207" s="44">
        <v>43983.0</v>
      </c>
      <c r="L207" s="45">
        <v>3.0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41" t="s">
        <v>2509</v>
      </c>
      <c r="B208" s="45" t="s">
        <v>2030</v>
      </c>
      <c r="C208" s="45" t="s">
        <v>347</v>
      </c>
      <c r="D208" s="45" t="s">
        <v>348</v>
      </c>
      <c r="E208" s="42" t="s">
        <v>21</v>
      </c>
      <c r="F208" s="32"/>
      <c r="G208" s="32"/>
      <c r="H208" s="45" t="s">
        <v>913</v>
      </c>
      <c r="I208" s="43">
        <v>43252.0</v>
      </c>
      <c r="J208" s="29"/>
      <c r="K208" s="44">
        <v>44348.0</v>
      </c>
      <c r="L208" s="45">
        <v>3.0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41" t="s">
        <v>2513</v>
      </c>
      <c r="B209" s="42" t="s">
        <v>2514</v>
      </c>
      <c r="C209" s="42" t="s">
        <v>1339</v>
      </c>
      <c r="D209" s="42" t="s">
        <v>222</v>
      </c>
      <c r="E209" s="42" t="s">
        <v>21</v>
      </c>
      <c r="F209" s="42" t="s">
        <v>2208</v>
      </c>
      <c r="G209" s="42" t="s">
        <v>36</v>
      </c>
      <c r="H209" s="42" t="s">
        <v>126</v>
      </c>
      <c r="I209" s="43">
        <v>43617.0</v>
      </c>
      <c r="J209" s="43">
        <v>44713.0</v>
      </c>
      <c r="K209" s="44">
        <v>45809.0</v>
      </c>
      <c r="L209" s="42">
        <v>4.0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46" t="s">
        <v>2515</v>
      </c>
      <c r="B210" s="47" t="s">
        <v>2517</v>
      </c>
      <c r="C210" s="47" t="s">
        <v>302</v>
      </c>
      <c r="D210" s="47" t="s">
        <v>130</v>
      </c>
      <c r="E210" s="47" t="s">
        <v>21</v>
      </c>
      <c r="F210" s="42" t="s">
        <v>1809</v>
      </c>
      <c r="G210" s="42" t="s">
        <v>46</v>
      </c>
      <c r="H210" s="47" t="s">
        <v>171</v>
      </c>
      <c r="I210" s="43">
        <v>43617.0</v>
      </c>
      <c r="J210" s="29"/>
      <c r="K210" s="44">
        <v>44713.0</v>
      </c>
      <c r="L210" s="42">
        <v>3.0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41" t="s">
        <v>1312</v>
      </c>
      <c r="B211" s="42" t="s">
        <v>2519</v>
      </c>
      <c r="C211" s="42" t="s">
        <v>743</v>
      </c>
      <c r="D211" s="42" t="s">
        <v>641</v>
      </c>
      <c r="E211" s="42" t="s">
        <v>21</v>
      </c>
      <c r="F211" s="42" t="s">
        <v>2472</v>
      </c>
      <c r="G211" s="42" t="s">
        <v>137</v>
      </c>
      <c r="H211" s="42" t="s">
        <v>287</v>
      </c>
      <c r="I211" s="43">
        <v>42887.0</v>
      </c>
      <c r="J211" s="29"/>
      <c r="K211" s="44">
        <v>43983.0</v>
      </c>
      <c r="L211" s="45">
        <v>3.0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41" t="s">
        <v>1316</v>
      </c>
      <c r="B212" s="42" t="s">
        <v>1943</v>
      </c>
      <c r="C212" s="42" t="s">
        <v>1148</v>
      </c>
      <c r="D212" s="42" t="s">
        <v>313</v>
      </c>
      <c r="E212" s="42" t="s">
        <v>21</v>
      </c>
      <c r="F212" s="42" t="s">
        <v>2158</v>
      </c>
      <c r="G212" s="42" t="s">
        <v>46</v>
      </c>
      <c r="H212" s="42" t="s">
        <v>135</v>
      </c>
      <c r="I212" s="43">
        <v>41426.0</v>
      </c>
      <c r="J212" s="29"/>
      <c r="K212" s="44">
        <v>44348.0</v>
      </c>
      <c r="L212" s="45">
        <v>3.0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41" t="s">
        <v>2520</v>
      </c>
      <c r="B213" s="42" t="s">
        <v>2298</v>
      </c>
      <c r="C213" s="42" t="s">
        <v>1576</v>
      </c>
      <c r="D213" s="42" t="s">
        <v>130</v>
      </c>
      <c r="E213" s="42" t="s">
        <v>21</v>
      </c>
      <c r="F213" s="42" t="s">
        <v>2295</v>
      </c>
      <c r="G213" s="42" t="s">
        <v>46</v>
      </c>
      <c r="H213" s="42" t="s">
        <v>126</v>
      </c>
      <c r="I213" s="43">
        <v>43617.0</v>
      </c>
      <c r="J213" s="29"/>
      <c r="K213" s="44">
        <v>44713.0</v>
      </c>
      <c r="L213" s="42">
        <v>3.0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41" t="s">
        <v>2522</v>
      </c>
      <c r="B214" s="42" t="s">
        <v>2383</v>
      </c>
      <c r="C214" s="42" t="s">
        <v>1186</v>
      </c>
      <c r="D214" s="42" t="s">
        <v>323</v>
      </c>
      <c r="E214" s="42" t="s">
        <v>21</v>
      </c>
      <c r="F214" s="42" t="s">
        <v>1809</v>
      </c>
      <c r="G214" s="42" t="s">
        <v>36</v>
      </c>
      <c r="H214" s="42" t="s">
        <v>57</v>
      </c>
      <c r="I214" s="43">
        <v>43617.0</v>
      </c>
      <c r="J214" s="43">
        <v>44348.0</v>
      </c>
      <c r="K214" s="44">
        <v>45444.0</v>
      </c>
      <c r="L214" s="42">
        <v>4.0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41" t="s">
        <v>1336</v>
      </c>
      <c r="B215" s="45" t="s">
        <v>2525</v>
      </c>
      <c r="C215" s="45" t="s">
        <v>191</v>
      </c>
      <c r="D215" s="45" t="s">
        <v>44</v>
      </c>
      <c r="E215" s="42" t="s">
        <v>21</v>
      </c>
      <c r="F215" s="45" t="s">
        <v>1819</v>
      </c>
      <c r="G215" s="45" t="s">
        <v>23</v>
      </c>
      <c r="H215" s="45" t="s">
        <v>100</v>
      </c>
      <c r="I215" s="43">
        <v>42887.0</v>
      </c>
      <c r="J215" s="29"/>
      <c r="K215" s="49">
        <v>43983.0</v>
      </c>
      <c r="L215" s="45">
        <v>3.0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41" t="s">
        <v>2530</v>
      </c>
      <c r="B216" s="42" t="s">
        <v>1816</v>
      </c>
      <c r="C216" s="42" t="s">
        <v>2531</v>
      </c>
      <c r="D216" s="42" t="s">
        <v>323</v>
      </c>
      <c r="E216" s="42" t="s">
        <v>21</v>
      </c>
      <c r="F216" s="42" t="s">
        <v>2213</v>
      </c>
      <c r="G216" s="42" t="s">
        <v>137</v>
      </c>
      <c r="H216" s="42" t="s">
        <v>126</v>
      </c>
      <c r="I216" s="43">
        <v>43617.0</v>
      </c>
      <c r="J216" s="29"/>
      <c r="K216" s="44">
        <v>44713.0</v>
      </c>
      <c r="L216" s="42">
        <v>3.0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41" t="s">
        <v>2530</v>
      </c>
      <c r="B217" s="42" t="s">
        <v>2532</v>
      </c>
      <c r="C217" s="42" t="s">
        <v>2531</v>
      </c>
      <c r="D217" s="42" t="s">
        <v>323</v>
      </c>
      <c r="E217" s="42" t="s">
        <v>21</v>
      </c>
      <c r="F217" s="42" t="s">
        <v>1908</v>
      </c>
      <c r="G217" s="42" t="s">
        <v>23</v>
      </c>
      <c r="H217" s="42" t="s">
        <v>126</v>
      </c>
      <c r="I217" s="43">
        <v>43617.0</v>
      </c>
      <c r="J217" s="29"/>
      <c r="K217" s="44">
        <v>44713.0</v>
      </c>
      <c r="L217" s="42">
        <v>3.0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46" t="s">
        <v>2534</v>
      </c>
      <c r="B218" s="47" t="s">
        <v>2077</v>
      </c>
      <c r="C218" s="47" t="s">
        <v>2078</v>
      </c>
      <c r="D218" s="47" t="s">
        <v>222</v>
      </c>
      <c r="E218" s="47" t="s">
        <v>21</v>
      </c>
      <c r="F218" s="42" t="s">
        <v>1794</v>
      </c>
      <c r="G218" s="42" t="s">
        <v>36</v>
      </c>
      <c r="H218" s="47" t="s">
        <v>241</v>
      </c>
      <c r="I218" s="43">
        <v>43617.0</v>
      </c>
      <c r="J218" s="29"/>
      <c r="K218" s="44">
        <v>44713.0</v>
      </c>
      <c r="L218" s="42">
        <v>3.0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41" t="s">
        <v>2535</v>
      </c>
      <c r="B219" s="42" t="s">
        <v>2536</v>
      </c>
      <c r="C219" s="42" t="s">
        <v>2537</v>
      </c>
      <c r="D219" s="42" t="s">
        <v>512</v>
      </c>
      <c r="E219" s="42" t="s">
        <v>21</v>
      </c>
      <c r="F219" s="42" t="s">
        <v>2295</v>
      </c>
      <c r="G219" s="42" t="s">
        <v>23</v>
      </c>
      <c r="H219" s="42" t="s">
        <v>126</v>
      </c>
      <c r="I219" s="43">
        <v>43617.0</v>
      </c>
      <c r="J219" s="29"/>
      <c r="K219" s="44">
        <v>44713.0</v>
      </c>
      <c r="L219" s="42">
        <v>3.0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41" t="s">
        <v>2538</v>
      </c>
      <c r="B220" s="42" t="s">
        <v>2539</v>
      </c>
      <c r="C220" s="42" t="s">
        <v>379</v>
      </c>
      <c r="D220" s="42" t="s">
        <v>94</v>
      </c>
      <c r="E220" s="42" t="s">
        <v>21</v>
      </c>
      <c r="F220" s="42" t="s">
        <v>1782</v>
      </c>
      <c r="G220" s="42" t="s">
        <v>46</v>
      </c>
      <c r="H220" s="42" t="s">
        <v>135</v>
      </c>
      <c r="I220" s="43">
        <v>43252.0</v>
      </c>
      <c r="J220" s="29"/>
      <c r="K220" s="44">
        <v>44348.0</v>
      </c>
      <c r="L220" s="45">
        <v>3.0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41" t="s">
        <v>2542</v>
      </c>
      <c r="B221" s="42" t="s">
        <v>2543</v>
      </c>
      <c r="C221" s="42" t="s">
        <v>379</v>
      </c>
      <c r="D221" s="42" t="s">
        <v>94</v>
      </c>
      <c r="E221" s="42" t="s">
        <v>21</v>
      </c>
      <c r="F221" s="42" t="s">
        <v>1782</v>
      </c>
      <c r="G221" s="42" t="s">
        <v>46</v>
      </c>
      <c r="H221" s="42" t="s">
        <v>135</v>
      </c>
      <c r="I221" s="43">
        <v>43252.0</v>
      </c>
      <c r="J221" s="29"/>
      <c r="K221" s="44">
        <v>44348.0</v>
      </c>
      <c r="L221" s="45">
        <v>3.0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41" t="s">
        <v>2544</v>
      </c>
      <c r="B222" s="42" t="s">
        <v>1879</v>
      </c>
      <c r="C222" s="42" t="s">
        <v>342</v>
      </c>
      <c r="D222" s="42" t="s">
        <v>343</v>
      </c>
      <c r="E222" s="42" t="s">
        <v>21</v>
      </c>
      <c r="F222" s="42" t="s">
        <v>1838</v>
      </c>
      <c r="G222" s="42" t="s">
        <v>23</v>
      </c>
      <c r="H222" s="42" t="s">
        <v>135</v>
      </c>
      <c r="I222" s="43">
        <v>43252.0</v>
      </c>
      <c r="J222" s="43">
        <v>44348.0</v>
      </c>
      <c r="K222" s="44">
        <v>45444.0</v>
      </c>
      <c r="L222" s="45">
        <v>4.0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41" t="s">
        <v>2545</v>
      </c>
      <c r="B223" s="42" t="s">
        <v>2546</v>
      </c>
      <c r="C223" s="42" t="s">
        <v>2547</v>
      </c>
      <c r="D223" s="42" t="s">
        <v>20</v>
      </c>
      <c r="E223" s="42" t="s">
        <v>21</v>
      </c>
      <c r="F223" s="42" t="s">
        <v>1823</v>
      </c>
      <c r="G223" s="42" t="s">
        <v>36</v>
      </c>
      <c r="H223" s="42" t="s">
        <v>229</v>
      </c>
      <c r="I223" s="43">
        <v>42887.0</v>
      </c>
      <c r="J223" s="29"/>
      <c r="K223" s="44">
        <v>43983.0</v>
      </c>
      <c r="L223" s="45">
        <v>3.0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46" t="s">
        <v>2549</v>
      </c>
      <c r="B224" s="47" t="s">
        <v>375</v>
      </c>
      <c r="C224" s="47" t="s">
        <v>1112</v>
      </c>
      <c r="D224" s="47" t="s">
        <v>143</v>
      </c>
      <c r="E224" s="42" t="s">
        <v>21</v>
      </c>
      <c r="F224" s="47" t="s">
        <v>1979</v>
      </c>
      <c r="G224" s="47" t="s">
        <v>46</v>
      </c>
      <c r="H224" s="47" t="s">
        <v>255</v>
      </c>
      <c r="I224" s="43">
        <v>42887.0</v>
      </c>
      <c r="J224" s="48"/>
      <c r="K224" s="44">
        <v>43983.0</v>
      </c>
      <c r="L224" s="45">
        <v>3.0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41" t="s">
        <v>1395</v>
      </c>
      <c r="B225" s="42" t="s">
        <v>2383</v>
      </c>
      <c r="C225" s="42" t="s">
        <v>661</v>
      </c>
      <c r="D225" s="42" t="s">
        <v>282</v>
      </c>
      <c r="E225" s="42" t="s">
        <v>21</v>
      </c>
      <c r="F225" s="42" t="s">
        <v>1823</v>
      </c>
      <c r="G225" s="42" t="s">
        <v>46</v>
      </c>
      <c r="H225" s="42" t="s">
        <v>255</v>
      </c>
      <c r="I225" s="43">
        <v>42887.0</v>
      </c>
      <c r="J225" s="29"/>
      <c r="K225" s="44">
        <v>43983.0</v>
      </c>
      <c r="L225" s="45">
        <v>3.0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41" t="s">
        <v>2552</v>
      </c>
      <c r="B226" s="42" t="s">
        <v>2553</v>
      </c>
      <c r="C226" s="42" t="s">
        <v>678</v>
      </c>
      <c r="D226" s="42" t="s">
        <v>282</v>
      </c>
      <c r="E226" s="42" t="s">
        <v>21</v>
      </c>
      <c r="F226" s="42" t="s">
        <v>1838</v>
      </c>
      <c r="G226" s="42" t="s">
        <v>137</v>
      </c>
      <c r="H226" s="42" t="s">
        <v>207</v>
      </c>
      <c r="I226" s="43">
        <v>42887.0</v>
      </c>
      <c r="J226" s="43">
        <v>43983.0</v>
      </c>
      <c r="K226" s="44">
        <v>45078.0</v>
      </c>
      <c r="L226" s="45">
        <v>4.0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41" t="s">
        <v>2555</v>
      </c>
      <c r="B227" s="42" t="s">
        <v>2383</v>
      </c>
      <c r="C227" s="42" t="s">
        <v>720</v>
      </c>
      <c r="D227" s="42" t="s">
        <v>851</v>
      </c>
      <c r="E227" s="42" t="s">
        <v>21</v>
      </c>
      <c r="F227" s="42" t="s">
        <v>2556</v>
      </c>
      <c r="G227" s="42" t="s">
        <v>137</v>
      </c>
      <c r="H227" s="42" t="s">
        <v>126</v>
      </c>
      <c r="I227" s="43">
        <v>43617.0</v>
      </c>
      <c r="J227" s="43">
        <v>44713.0</v>
      </c>
      <c r="K227" s="44">
        <v>45809.0</v>
      </c>
      <c r="L227" s="42">
        <v>4.0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41" t="s">
        <v>2559</v>
      </c>
      <c r="B228" s="42" t="s">
        <v>2561</v>
      </c>
      <c r="C228" s="42" t="s">
        <v>2562</v>
      </c>
      <c r="D228" s="42" t="s">
        <v>222</v>
      </c>
      <c r="E228" s="42" t="s">
        <v>21</v>
      </c>
      <c r="F228" s="42" t="s">
        <v>1964</v>
      </c>
      <c r="G228" s="42" t="s">
        <v>46</v>
      </c>
      <c r="H228" s="42" t="s">
        <v>241</v>
      </c>
      <c r="I228" s="43">
        <v>43617.0</v>
      </c>
      <c r="J228" s="43">
        <v>44348.0</v>
      </c>
      <c r="K228" s="44">
        <v>45444.0</v>
      </c>
      <c r="L228" s="42">
        <v>4.0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41" t="s">
        <v>2563</v>
      </c>
      <c r="B229" s="42" t="s">
        <v>1779</v>
      </c>
      <c r="C229" s="42" t="s">
        <v>2078</v>
      </c>
      <c r="D229" s="42" t="s">
        <v>222</v>
      </c>
      <c r="E229" s="42" t="s">
        <v>21</v>
      </c>
      <c r="F229" s="42" t="s">
        <v>1794</v>
      </c>
      <c r="G229" s="42" t="s">
        <v>36</v>
      </c>
      <c r="H229" s="42" t="s">
        <v>241</v>
      </c>
      <c r="I229" s="43">
        <v>43617.0</v>
      </c>
      <c r="J229" s="29"/>
      <c r="K229" s="44">
        <v>44713.0</v>
      </c>
      <c r="L229" s="42">
        <v>3.0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41" t="s">
        <v>2564</v>
      </c>
      <c r="B230" s="42" t="s">
        <v>2565</v>
      </c>
      <c r="C230" s="42" t="s">
        <v>2566</v>
      </c>
      <c r="D230" s="42" t="s">
        <v>34</v>
      </c>
      <c r="E230" s="42" t="s">
        <v>21</v>
      </c>
      <c r="F230" s="42" t="s">
        <v>1823</v>
      </c>
      <c r="G230" s="42" t="s">
        <v>36</v>
      </c>
      <c r="H230" s="42" t="s">
        <v>344</v>
      </c>
      <c r="I230" s="43">
        <v>42887.0</v>
      </c>
      <c r="J230" s="29"/>
      <c r="K230" s="44">
        <v>43983.0</v>
      </c>
      <c r="L230" s="45">
        <v>3.0</v>
      </c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41" t="s">
        <v>1398</v>
      </c>
      <c r="B231" s="42" t="s">
        <v>2568</v>
      </c>
      <c r="C231" s="42" t="s">
        <v>1132</v>
      </c>
      <c r="D231" s="42" t="s">
        <v>222</v>
      </c>
      <c r="E231" s="42" t="s">
        <v>21</v>
      </c>
      <c r="F231" s="42" t="s">
        <v>1823</v>
      </c>
      <c r="G231" s="42" t="s">
        <v>46</v>
      </c>
      <c r="H231" s="42" t="s">
        <v>344</v>
      </c>
      <c r="I231" s="43">
        <v>42887.0</v>
      </c>
      <c r="J231" s="29"/>
      <c r="K231" s="44">
        <v>43983.0</v>
      </c>
      <c r="L231" s="45">
        <v>3.0</v>
      </c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41" t="s">
        <v>1408</v>
      </c>
      <c r="B232" s="42" t="s">
        <v>2094</v>
      </c>
      <c r="C232" s="42" t="s">
        <v>2571</v>
      </c>
      <c r="D232" s="42" t="s">
        <v>44</v>
      </c>
      <c r="E232" s="42" t="s">
        <v>21</v>
      </c>
      <c r="F232" s="42" t="s">
        <v>1823</v>
      </c>
      <c r="G232" s="42" t="s">
        <v>23</v>
      </c>
      <c r="H232" s="42" t="s">
        <v>331</v>
      </c>
      <c r="I232" s="43">
        <v>43252.0</v>
      </c>
      <c r="J232" s="29"/>
      <c r="K232" s="44">
        <v>44348.0</v>
      </c>
      <c r="L232" s="45">
        <v>3.0</v>
      </c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41" t="s">
        <v>2574</v>
      </c>
      <c r="B233" s="42" t="s">
        <v>2575</v>
      </c>
      <c r="C233" s="42" t="s">
        <v>363</v>
      </c>
      <c r="D233" s="42" t="s">
        <v>143</v>
      </c>
      <c r="E233" s="42" t="s">
        <v>21</v>
      </c>
      <c r="F233" s="42" t="s">
        <v>2472</v>
      </c>
      <c r="G233" s="42" t="s">
        <v>36</v>
      </c>
      <c r="H233" s="42" t="s">
        <v>135</v>
      </c>
      <c r="I233" s="43">
        <v>43252.0</v>
      </c>
      <c r="J233" s="43">
        <v>44348.0</v>
      </c>
      <c r="K233" s="44">
        <v>45444.0</v>
      </c>
      <c r="L233" s="45">
        <v>4.0</v>
      </c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41" t="s">
        <v>2580</v>
      </c>
      <c r="B234" s="42" t="s">
        <v>2581</v>
      </c>
      <c r="C234" s="42" t="s">
        <v>720</v>
      </c>
      <c r="D234" s="42" t="s">
        <v>851</v>
      </c>
      <c r="E234" s="42" t="s">
        <v>21</v>
      </c>
      <c r="F234" s="42" t="s">
        <v>1853</v>
      </c>
      <c r="G234" s="42" t="s">
        <v>23</v>
      </c>
      <c r="H234" s="42" t="s">
        <v>287</v>
      </c>
      <c r="I234" s="43">
        <v>42887.0</v>
      </c>
      <c r="J234" s="29"/>
      <c r="K234" s="44">
        <v>43983.0</v>
      </c>
      <c r="L234" s="45">
        <v>3.0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41" t="s">
        <v>2322</v>
      </c>
      <c r="B235" s="42" t="s">
        <v>2532</v>
      </c>
      <c r="C235" s="42" t="s">
        <v>2583</v>
      </c>
      <c r="D235" s="42" t="s">
        <v>222</v>
      </c>
      <c r="E235" s="42" t="s">
        <v>21</v>
      </c>
      <c r="F235" s="42" t="s">
        <v>1819</v>
      </c>
      <c r="G235" s="42" t="s">
        <v>46</v>
      </c>
      <c r="H235" s="42" t="s">
        <v>339</v>
      </c>
      <c r="I235" s="43">
        <v>43252.0</v>
      </c>
      <c r="J235" s="29"/>
      <c r="K235" s="44">
        <v>44348.0</v>
      </c>
      <c r="L235" s="45">
        <v>3.0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41" t="s">
        <v>2585</v>
      </c>
      <c r="B236" s="42" t="s">
        <v>1956</v>
      </c>
      <c r="C236" s="42" t="s">
        <v>672</v>
      </c>
      <c r="D236" s="42" t="s">
        <v>143</v>
      </c>
      <c r="E236" s="42" t="s">
        <v>21</v>
      </c>
      <c r="F236" s="42" t="s">
        <v>1814</v>
      </c>
      <c r="G236" s="42" t="s">
        <v>23</v>
      </c>
      <c r="H236" s="42" t="s">
        <v>287</v>
      </c>
      <c r="I236" s="43">
        <v>42887.0</v>
      </c>
      <c r="J236" s="29"/>
      <c r="K236" s="44">
        <v>43983.0</v>
      </c>
      <c r="L236" s="45">
        <v>3.0</v>
      </c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41" t="s">
        <v>1432</v>
      </c>
      <c r="B237" s="42" t="s">
        <v>2218</v>
      </c>
      <c r="C237" s="42" t="s">
        <v>1434</v>
      </c>
      <c r="D237" s="42" t="s">
        <v>78</v>
      </c>
      <c r="E237" s="42" t="s">
        <v>21</v>
      </c>
      <c r="F237" s="42" t="s">
        <v>1823</v>
      </c>
      <c r="G237" s="42" t="s">
        <v>46</v>
      </c>
      <c r="H237" s="42" t="s">
        <v>211</v>
      </c>
      <c r="I237" s="43">
        <v>43252.0</v>
      </c>
      <c r="J237" s="29"/>
      <c r="K237" s="44">
        <v>44348.0</v>
      </c>
      <c r="L237" s="45">
        <v>3.0</v>
      </c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41" t="s">
        <v>1432</v>
      </c>
      <c r="B238" s="42" t="s">
        <v>1974</v>
      </c>
      <c r="C238" s="42" t="s">
        <v>1390</v>
      </c>
      <c r="D238" s="42" t="s">
        <v>20</v>
      </c>
      <c r="E238" s="42" t="s">
        <v>21</v>
      </c>
      <c r="F238" s="42" t="s">
        <v>1809</v>
      </c>
      <c r="G238" s="42" t="s">
        <v>23</v>
      </c>
      <c r="H238" s="42" t="s">
        <v>233</v>
      </c>
      <c r="I238" s="43">
        <v>43617.0</v>
      </c>
      <c r="J238" s="29"/>
      <c r="K238" s="44">
        <v>44713.0</v>
      </c>
      <c r="L238" s="42">
        <v>3.0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41" t="s">
        <v>2590</v>
      </c>
      <c r="B239" s="42" t="s">
        <v>2591</v>
      </c>
      <c r="C239" s="42" t="s">
        <v>2592</v>
      </c>
      <c r="D239" s="42" t="s">
        <v>94</v>
      </c>
      <c r="E239" s="42" t="s">
        <v>21</v>
      </c>
      <c r="F239" s="42" t="s">
        <v>2472</v>
      </c>
      <c r="G239" s="42" t="s">
        <v>46</v>
      </c>
      <c r="H239" s="42" t="s">
        <v>135</v>
      </c>
      <c r="I239" s="43">
        <v>43252.0</v>
      </c>
      <c r="J239" s="43">
        <v>44348.0</v>
      </c>
      <c r="K239" s="44">
        <v>45444.0</v>
      </c>
      <c r="L239" s="45">
        <v>4.0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41" t="s">
        <v>2595</v>
      </c>
      <c r="B240" s="42" t="s">
        <v>2596</v>
      </c>
      <c r="C240" s="42" t="s">
        <v>2597</v>
      </c>
      <c r="D240" s="42" t="s">
        <v>282</v>
      </c>
      <c r="E240" s="42" t="s">
        <v>21</v>
      </c>
      <c r="F240" s="42" t="s">
        <v>1800</v>
      </c>
      <c r="G240" s="42" t="s">
        <v>36</v>
      </c>
      <c r="H240" s="42" t="s">
        <v>207</v>
      </c>
      <c r="I240" s="43">
        <v>42887.0</v>
      </c>
      <c r="J240" s="29"/>
      <c r="K240" s="44">
        <v>43983.0</v>
      </c>
      <c r="L240" s="45">
        <v>3.0</v>
      </c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41" t="s">
        <v>2600</v>
      </c>
      <c r="B241" s="42" t="s">
        <v>2390</v>
      </c>
      <c r="C241" s="42" t="s">
        <v>1288</v>
      </c>
      <c r="D241" s="42" t="s">
        <v>78</v>
      </c>
      <c r="E241" s="42" t="s">
        <v>21</v>
      </c>
      <c r="F241" s="42" t="s">
        <v>1794</v>
      </c>
      <c r="G241" s="42" t="s">
        <v>23</v>
      </c>
      <c r="H241" s="42" t="s">
        <v>434</v>
      </c>
      <c r="I241" s="43">
        <v>43617.0</v>
      </c>
      <c r="J241" s="43">
        <v>44348.0</v>
      </c>
      <c r="K241" s="44">
        <v>45444.0</v>
      </c>
      <c r="L241" s="42">
        <v>4.0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41" t="s">
        <v>1448</v>
      </c>
      <c r="B242" s="42" t="s">
        <v>1974</v>
      </c>
      <c r="C242" s="42" t="s">
        <v>2602</v>
      </c>
      <c r="D242" s="42" t="s">
        <v>224</v>
      </c>
      <c r="E242" s="42" t="s">
        <v>21</v>
      </c>
      <c r="F242" s="42" t="s">
        <v>155</v>
      </c>
      <c r="G242" s="42" t="s">
        <v>1574</v>
      </c>
      <c r="H242" s="42" t="s">
        <v>155</v>
      </c>
      <c r="I242" s="43">
        <v>43132.0</v>
      </c>
      <c r="J242" s="43">
        <v>44348.0</v>
      </c>
      <c r="K242" s="44">
        <v>45444.0</v>
      </c>
      <c r="L242" s="45">
        <v>4.0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41" t="s">
        <v>1448</v>
      </c>
      <c r="B243" s="42" t="s">
        <v>2606</v>
      </c>
      <c r="C243" s="42" t="s">
        <v>27</v>
      </c>
      <c r="D243" s="42" t="s">
        <v>27</v>
      </c>
      <c r="E243" s="42" t="s">
        <v>21</v>
      </c>
      <c r="F243" s="42" t="s">
        <v>155</v>
      </c>
      <c r="G243" s="42" t="s">
        <v>156</v>
      </c>
      <c r="H243" s="42" t="s">
        <v>155</v>
      </c>
      <c r="I243" s="43">
        <v>43132.0</v>
      </c>
      <c r="J243" s="43">
        <v>44348.0</v>
      </c>
      <c r="K243" s="44">
        <v>45444.0</v>
      </c>
      <c r="L243" s="45">
        <v>4.0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41" t="s">
        <v>2608</v>
      </c>
      <c r="B244" s="42" t="s">
        <v>2609</v>
      </c>
      <c r="C244" s="42" t="s">
        <v>401</v>
      </c>
      <c r="D244" s="42" t="s">
        <v>44</v>
      </c>
      <c r="E244" s="42" t="s">
        <v>21</v>
      </c>
      <c r="F244" s="42" t="s">
        <v>471</v>
      </c>
      <c r="G244" s="42" t="s">
        <v>1273</v>
      </c>
      <c r="H244" s="42" t="s">
        <v>207</v>
      </c>
      <c r="I244" s="43">
        <v>42887.0</v>
      </c>
      <c r="J244" s="43">
        <v>43983.0</v>
      </c>
      <c r="K244" s="44">
        <v>45078.0</v>
      </c>
      <c r="L244" s="45">
        <v>4.0</v>
      </c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41" t="s">
        <v>2610</v>
      </c>
      <c r="B245" s="42" t="s">
        <v>2611</v>
      </c>
      <c r="C245" s="42" t="s">
        <v>1822</v>
      </c>
      <c r="D245" s="42" t="s">
        <v>2613</v>
      </c>
      <c r="E245" s="42" t="s">
        <v>21</v>
      </c>
      <c r="F245" s="42" t="s">
        <v>2203</v>
      </c>
      <c r="G245" s="42" t="s">
        <v>36</v>
      </c>
      <c r="H245" s="42" t="s">
        <v>135</v>
      </c>
      <c r="I245" s="43">
        <v>43252.0</v>
      </c>
      <c r="J245" s="29"/>
      <c r="K245" s="44">
        <v>44348.0</v>
      </c>
      <c r="L245" s="45">
        <v>3.0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>
      <c r="A246" s="41" t="s">
        <v>2615</v>
      </c>
      <c r="B246" s="42" t="s">
        <v>2616</v>
      </c>
      <c r="C246" s="42" t="s">
        <v>994</v>
      </c>
      <c r="D246" s="42" t="s">
        <v>222</v>
      </c>
      <c r="E246" s="42" t="s">
        <v>21</v>
      </c>
      <c r="F246" s="42" t="s">
        <v>2004</v>
      </c>
      <c r="G246" s="42" t="s">
        <v>36</v>
      </c>
      <c r="H246" s="42" t="s">
        <v>149</v>
      </c>
      <c r="I246" s="43">
        <v>42522.0</v>
      </c>
      <c r="J246" s="29"/>
      <c r="K246" s="44">
        <v>44713.0</v>
      </c>
      <c r="L246" s="45">
        <v>3.0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41" t="s">
        <v>2618</v>
      </c>
      <c r="B247" s="42" t="s">
        <v>554</v>
      </c>
      <c r="C247" s="42" t="s">
        <v>228</v>
      </c>
      <c r="D247" s="42" t="s">
        <v>20</v>
      </c>
      <c r="E247" s="42" t="s">
        <v>21</v>
      </c>
      <c r="F247" s="42" t="s">
        <v>1979</v>
      </c>
      <c r="G247" s="42" t="s">
        <v>23</v>
      </c>
      <c r="H247" s="42" t="s">
        <v>344</v>
      </c>
      <c r="I247" s="43">
        <v>42887.0</v>
      </c>
      <c r="J247" s="29"/>
      <c r="K247" s="44">
        <v>43983.0</v>
      </c>
      <c r="L247" s="45">
        <v>3.0</v>
      </c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41" t="s">
        <v>2620</v>
      </c>
      <c r="B248" s="42" t="s">
        <v>2037</v>
      </c>
      <c r="C248" s="42" t="s">
        <v>2621</v>
      </c>
      <c r="D248" s="42" t="s">
        <v>282</v>
      </c>
      <c r="E248" s="42" t="s">
        <v>21</v>
      </c>
      <c r="F248" s="42" t="s">
        <v>638</v>
      </c>
      <c r="G248" s="42" t="s">
        <v>36</v>
      </c>
      <c r="H248" s="42" t="s">
        <v>207</v>
      </c>
      <c r="I248" s="43">
        <v>42887.0</v>
      </c>
      <c r="J248" s="29"/>
      <c r="K248" s="44">
        <v>43983.0</v>
      </c>
      <c r="L248" s="45">
        <v>3.0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41" t="s">
        <v>2624</v>
      </c>
      <c r="B249" s="42" t="s">
        <v>2625</v>
      </c>
      <c r="C249" s="42" t="s">
        <v>170</v>
      </c>
      <c r="D249" s="42" t="s">
        <v>89</v>
      </c>
      <c r="E249" s="42" t="s">
        <v>21</v>
      </c>
      <c r="F249" s="42" t="s">
        <v>1819</v>
      </c>
      <c r="G249" s="42" t="s">
        <v>46</v>
      </c>
      <c r="H249" s="42" t="s">
        <v>331</v>
      </c>
      <c r="I249" s="43">
        <v>43252.0</v>
      </c>
      <c r="J249" s="29"/>
      <c r="K249" s="44">
        <v>44348.0</v>
      </c>
      <c r="L249" s="45">
        <v>3.0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41" t="s">
        <v>2628</v>
      </c>
      <c r="B250" s="42" t="s">
        <v>1994</v>
      </c>
      <c r="C250" s="42" t="s">
        <v>2629</v>
      </c>
      <c r="D250" s="42" t="s">
        <v>669</v>
      </c>
      <c r="E250" s="42" t="s">
        <v>21</v>
      </c>
      <c r="F250" s="42" t="s">
        <v>1823</v>
      </c>
      <c r="G250" s="42" t="s">
        <v>23</v>
      </c>
      <c r="H250" s="42" t="s">
        <v>47</v>
      </c>
      <c r="I250" s="43">
        <v>43252.0</v>
      </c>
      <c r="J250" s="29"/>
      <c r="K250" s="44">
        <v>44348.0</v>
      </c>
      <c r="L250" s="45">
        <v>3.0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41" t="s">
        <v>1485</v>
      </c>
      <c r="B251" s="42" t="s">
        <v>2633</v>
      </c>
      <c r="C251" s="32"/>
      <c r="D251" s="32"/>
      <c r="E251" s="42" t="s">
        <v>162</v>
      </c>
      <c r="F251" s="42" t="s">
        <v>2004</v>
      </c>
      <c r="G251" s="42" t="s">
        <v>46</v>
      </c>
      <c r="H251" s="42" t="s">
        <v>287</v>
      </c>
      <c r="I251" s="43">
        <v>42887.0</v>
      </c>
      <c r="J251" s="29"/>
      <c r="K251" s="44">
        <v>43983.0</v>
      </c>
      <c r="L251" s="45">
        <v>3.0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41" t="s">
        <v>2635</v>
      </c>
      <c r="B252" s="42" t="s">
        <v>2636</v>
      </c>
      <c r="C252" s="42" t="s">
        <v>162</v>
      </c>
      <c r="D252" s="42" t="s">
        <v>27</v>
      </c>
      <c r="E252" s="42" t="s">
        <v>162</v>
      </c>
      <c r="F252" s="42" t="s">
        <v>2637</v>
      </c>
      <c r="G252" s="42" t="s">
        <v>36</v>
      </c>
      <c r="H252" s="42" t="s">
        <v>885</v>
      </c>
      <c r="I252" s="43">
        <v>42828.0</v>
      </c>
      <c r="J252" s="43">
        <v>43983.0</v>
      </c>
      <c r="K252" s="44">
        <v>45078.0</v>
      </c>
      <c r="L252" s="45">
        <v>4.0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41" t="s">
        <v>2639</v>
      </c>
      <c r="B253" s="42" t="s">
        <v>1668</v>
      </c>
      <c r="C253" s="32"/>
      <c r="D253" s="42" t="s">
        <v>27</v>
      </c>
      <c r="E253" s="42" t="s">
        <v>1889</v>
      </c>
      <c r="F253" s="42" t="s">
        <v>370</v>
      </c>
      <c r="G253" s="42" t="s">
        <v>436</v>
      </c>
      <c r="H253" s="42" t="s">
        <v>370</v>
      </c>
      <c r="I253" s="43">
        <v>43132.0</v>
      </c>
      <c r="J253" s="43">
        <v>44348.0</v>
      </c>
      <c r="K253" s="44">
        <v>45444.0</v>
      </c>
      <c r="L253" s="45">
        <v>4.0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41" t="s">
        <v>2641</v>
      </c>
      <c r="B254" s="42" t="s">
        <v>1948</v>
      </c>
      <c r="C254" s="42" t="s">
        <v>1014</v>
      </c>
      <c r="D254" s="42" t="s">
        <v>348</v>
      </c>
      <c r="E254" s="42" t="s">
        <v>21</v>
      </c>
      <c r="F254" s="42" t="s">
        <v>715</v>
      </c>
      <c r="G254" s="42" t="s">
        <v>1273</v>
      </c>
      <c r="H254" s="42" t="s">
        <v>149</v>
      </c>
      <c r="I254" s="43">
        <v>42522.0</v>
      </c>
      <c r="J254" s="29"/>
      <c r="K254" s="44">
        <v>44713.0</v>
      </c>
      <c r="L254" s="45">
        <v>3.0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41" t="s">
        <v>1510</v>
      </c>
      <c r="B255" s="42" t="s">
        <v>2209</v>
      </c>
      <c r="C255" s="42" t="s">
        <v>2644</v>
      </c>
      <c r="D255" s="42" t="s">
        <v>20</v>
      </c>
      <c r="E255" s="42" t="s">
        <v>21</v>
      </c>
      <c r="F255" s="42" t="s">
        <v>1823</v>
      </c>
      <c r="G255" s="42" t="s">
        <v>46</v>
      </c>
      <c r="H255" s="42" t="s">
        <v>328</v>
      </c>
      <c r="I255" s="43">
        <v>43252.0</v>
      </c>
      <c r="J255" s="29"/>
      <c r="K255" s="44">
        <v>44348.0</v>
      </c>
      <c r="L255" s="45">
        <v>3.0</v>
      </c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41" t="s">
        <v>1510</v>
      </c>
      <c r="B256" s="42" t="s">
        <v>2319</v>
      </c>
      <c r="C256" s="42" t="s">
        <v>146</v>
      </c>
      <c r="D256" s="42" t="s">
        <v>94</v>
      </c>
      <c r="E256" s="42" t="s">
        <v>21</v>
      </c>
      <c r="F256" s="42" t="s">
        <v>715</v>
      </c>
      <c r="G256" s="42" t="s">
        <v>1443</v>
      </c>
      <c r="H256" s="42" t="s">
        <v>149</v>
      </c>
      <c r="I256" s="43">
        <v>42522.0</v>
      </c>
      <c r="J256" s="29"/>
      <c r="K256" s="44">
        <v>44713.0</v>
      </c>
      <c r="L256" s="45">
        <v>3.0</v>
      </c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41" t="s">
        <v>2648</v>
      </c>
      <c r="B257" s="42" t="s">
        <v>2649</v>
      </c>
      <c r="C257" s="32"/>
      <c r="D257" s="42" t="s">
        <v>27</v>
      </c>
      <c r="E257" s="42" t="s">
        <v>27</v>
      </c>
      <c r="F257" s="42" t="s">
        <v>103</v>
      </c>
      <c r="G257" s="42" t="s">
        <v>409</v>
      </c>
      <c r="H257" s="42" t="s">
        <v>103</v>
      </c>
      <c r="I257" s="43">
        <v>42401.0</v>
      </c>
      <c r="J257" s="29"/>
      <c r="K257" s="44">
        <v>44713.0</v>
      </c>
      <c r="L257" s="45">
        <v>3.0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41" t="s">
        <v>2650</v>
      </c>
      <c r="B258" s="45" t="s">
        <v>2651</v>
      </c>
      <c r="C258" s="45" t="s">
        <v>1118</v>
      </c>
      <c r="D258" s="45" t="s">
        <v>348</v>
      </c>
      <c r="E258" s="42" t="s">
        <v>21</v>
      </c>
      <c r="F258" s="32"/>
      <c r="G258" s="32"/>
      <c r="H258" s="45" t="s">
        <v>913</v>
      </c>
      <c r="I258" s="43">
        <v>43252.0</v>
      </c>
      <c r="J258" s="29"/>
      <c r="K258" s="44">
        <v>44348.0</v>
      </c>
      <c r="L258" s="45">
        <v>3.0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41" t="s">
        <v>1523</v>
      </c>
      <c r="B259" s="42" t="s">
        <v>1826</v>
      </c>
      <c r="C259" s="42" t="s">
        <v>605</v>
      </c>
      <c r="D259" s="42" t="s">
        <v>130</v>
      </c>
      <c r="E259" s="42" t="s">
        <v>21</v>
      </c>
      <c r="F259" s="42" t="s">
        <v>1823</v>
      </c>
      <c r="G259" s="42" t="s">
        <v>36</v>
      </c>
      <c r="H259" s="42" t="s">
        <v>85</v>
      </c>
      <c r="I259" s="43">
        <v>42887.0</v>
      </c>
      <c r="J259" s="29"/>
      <c r="K259" s="44">
        <v>43983.0</v>
      </c>
      <c r="L259" s="45">
        <v>3.0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41" t="s">
        <v>2656</v>
      </c>
      <c r="B260" s="42" t="s">
        <v>771</v>
      </c>
      <c r="C260" s="32"/>
      <c r="D260" s="42" t="s">
        <v>27</v>
      </c>
      <c r="E260" s="42" t="s">
        <v>27</v>
      </c>
      <c r="F260" s="42" t="s">
        <v>408</v>
      </c>
      <c r="G260" s="42" t="s">
        <v>2658</v>
      </c>
      <c r="H260" s="42" t="s">
        <v>408</v>
      </c>
      <c r="I260" s="43">
        <v>42772.0</v>
      </c>
      <c r="J260" s="43">
        <v>43983.0</v>
      </c>
      <c r="K260" s="44">
        <v>45078.0</v>
      </c>
      <c r="L260" s="45">
        <v>4.0</v>
      </c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41" t="s">
        <v>2659</v>
      </c>
      <c r="B261" s="42" t="s">
        <v>2403</v>
      </c>
      <c r="C261" s="42" t="s">
        <v>2660</v>
      </c>
      <c r="D261" s="42" t="s">
        <v>78</v>
      </c>
      <c r="E261" s="42" t="s">
        <v>21</v>
      </c>
      <c r="F261" s="42" t="s">
        <v>1819</v>
      </c>
      <c r="G261" s="42" t="s">
        <v>23</v>
      </c>
      <c r="H261" s="42" t="s">
        <v>80</v>
      </c>
      <c r="I261" s="43">
        <v>43252.0</v>
      </c>
      <c r="J261" s="29"/>
      <c r="K261" s="44">
        <v>44348.0</v>
      </c>
      <c r="L261" s="45">
        <v>3.0</v>
      </c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41" t="s">
        <v>2663</v>
      </c>
      <c r="B262" s="42" t="s">
        <v>1950</v>
      </c>
      <c r="C262" s="42" t="s">
        <v>1209</v>
      </c>
      <c r="D262" s="42" t="s">
        <v>428</v>
      </c>
      <c r="E262" s="42" t="s">
        <v>21</v>
      </c>
      <c r="F262" s="42" t="s">
        <v>2213</v>
      </c>
      <c r="G262" s="42" t="s">
        <v>46</v>
      </c>
      <c r="H262" s="42" t="s">
        <v>126</v>
      </c>
      <c r="I262" s="43">
        <v>43617.0</v>
      </c>
      <c r="J262" s="29"/>
      <c r="K262" s="44">
        <v>44713.0</v>
      </c>
      <c r="L262" s="42">
        <v>3.0</v>
      </c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46" t="s">
        <v>2666</v>
      </c>
      <c r="B263" s="50" t="s">
        <v>2668</v>
      </c>
      <c r="C263" s="50" t="s">
        <v>2674</v>
      </c>
      <c r="D263" s="50" t="s">
        <v>44</v>
      </c>
      <c r="E263" s="47" t="s">
        <v>21</v>
      </c>
      <c r="F263" s="50" t="s">
        <v>1819</v>
      </c>
      <c r="G263" s="50" t="s">
        <v>23</v>
      </c>
      <c r="H263" s="50" t="s">
        <v>100</v>
      </c>
      <c r="I263" s="44">
        <v>42887.0</v>
      </c>
      <c r="J263" s="36"/>
      <c r="K263" s="49">
        <v>43983.0</v>
      </c>
      <c r="L263" s="45">
        <v>3.0</v>
      </c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46" t="s">
        <v>2666</v>
      </c>
      <c r="B264" s="47" t="s">
        <v>2678</v>
      </c>
      <c r="C264" s="47" t="s">
        <v>2679</v>
      </c>
      <c r="D264" s="47" t="s">
        <v>44</v>
      </c>
      <c r="E264" s="47" t="s">
        <v>21</v>
      </c>
      <c r="F264" s="42" t="s">
        <v>1794</v>
      </c>
      <c r="G264" s="42" t="s">
        <v>46</v>
      </c>
      <c r="H264" s="47" t="s">
        <v>397</v>
      </c>
      <c r="I264" s="43">
        <v>43617.0</v>
      </c>
      <c r="J264" s="29"/>
      <c r="K264" s="44">
        <v>44713.0</v>
      </c>
      <c r="L264" s="42">
        <v>3.0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41" t="s">
        <v>2682</v>
      </c>
      <c r="B265" s="42" t="s">
        <v>2683</v>
      </c>
      <c r="C265" s="42" t="s">
        <v>2685</v>
      </c>
      <c r="D265" s="42" t="s">
        <v>94</v>
      </c>
      <c r="E265" s="42" t="s">
        <v>21</v>
      </c>
      <c r="F265" s="42" t="s">
        <v>638</v>
      </c>
      <c r="G265" s="42" t="s">
        <v>1273</v>
      </c>
      <c r="H265" s="42" t="s">
        <v>207</v>
      </c>
      <c r="I265" s="43">
        <v>42887.0</v>
      </c>
      <c r="J265" s="29"/>
      <c r="K265" s="44">
        <v>43983.0</v>
      </c>
      <c r="L265" s="45">
        <v>3.0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41" t="s">
        <v>2686</v>
      </c>
      <c r="B266" s="42" t="s">
        <v>1948</v>
      </c>
      <c r="C266" s="42" t="s">
        <v>1527</v>
      </c>
      <c r="D266" s="42" t="s">
        <v>313</v>
      </c>
      <c r="E266" s="42" t="s">
        <v>21</v>
      </c>
      <c r="F266" s="42" t="s">
        <v>1823</v>
      </c>
      <c r="G266" s="42" t="s">
        <v>36</v>
      </c>
      <c r="H266" s="42" t="s">
        <v>324</v>
      </c>
      <c r="I266" s="43">
        <v>43252.0</v>
      </c>
      <c r="J266" s="29"/>
      <c r="K266" s="44">
        <v>44348.0</v>
      </c>
      <c r="L266" s="45">
        <v>3.0</v>
      </c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41" t="s">
        <v>2688</v>
      </c>
      <c r="B267" s="42" t="s">
        <v>1935</v>
      </c>
      <c r="C267" s="42" t="s">
        <v>338</v>
      </c>
      <c r="D267" s="42" t="s">
        <v>282</v>
      </c>
      <c r="E267" s="42" t="s">
        <v>21</v>
      </c>
      <c r="F267" s="42" t="s">
        <v>2020</v>
      </c>
      <c r="G267" s="42" t="s">
        <v>137</v>
      </c>
      <c r="H267" s="42" t="s">
        <v>126</v>
      </c>
      <c r="I267" s="43">
        <v>43617.0</v>
      </c>
      <c r="J267" s="29"/>
      <c r="K267" s="44">
        <v>44713.0</v>
      </c>
      <c r="L267" s="42">
        <v>3.0</v>
      </c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41" t="s">
        <v>2690</v>
      </c>
      <c r="B268" s="42" t="s">
        <v>2628</v>
      </c>
      <c r="C268" s="32"/>
      <c r="D268" s="42" t="s">
        <v>27</v>
      </c>
      <c r="E268" s="42" t="s">
        <v>27</v>
      </c>
      <c r="F268" s="42" t="s">
        <v>155</v>
      </c>
      <c r="G268" s="42" t="s">
        <v>64</v>
      </c>
      <c r="H268" s="42" t="s">
        <v>155</v>
      </c>
      <c r="I268" s="43">
        <v>43132.0</v>
      </c>
      <c r="J268" s="43">
        <v>44348.0</v>
      </c>
      <c r="K268" s="44">
        <v>45444.0</v>
      </c>
      <c r="L268" s="45">
        <v>4.0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41" t="s">
        <v>2691</v>
      </c>
      <c r="B269" s="42" t="s">
        <v>2692</v>
      </c>
      <c r="C269" s="42" t="s">
        <v>2693</v>
      </c>
      <c r="D269" s="42" t="s">
        <v>313</v>
      </c>
      <c r="E269" s="42" t="s">
        <v>21</v>
      </c>
      <c r="F269" s="42" t="s">
        <v>1964</v>
      </c>
      <c r="G269" s="42" t="s">
        <v>36</v>
      </c>
      <c r="H269" s="42" t="s">
        <v>57</v>
      </c>
      <c r="I269" s="43">
        <v>43617.0</v>
      </c>
      <c r="J269" s="29"/>
      <c r="K269" s="44">
        <v>44713.0</v>
      </c>
      <c r="L269" s="42">
        <v>3.0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41" t="s">
        <v>2696</v>
      </c>
      <c r="B270" s="42" t="s">
        <v>2697</v>
      </c>
      <c r="C270" s="42" t="s">
        <v>683</v>
      </c>
      <c r="D270" s="42" t="s">
        <v>348</v>
      </c>
      <c r="E270" s="42" t="s">
        <v>21</v>
      </c>
      <c r="F270" s="42" t="s">
        <v>1794</v>
      </c>
      <c r="G270" s="42" t="s">
        <v>23</v>
      </c>
      <c r="H270" s="42" t="s">
        <v>119</v>
      </c>
      <c r="I270" s="43">
        <v>43617.0</v>
      </c>
      <c r="J270" s="29"/>
      <c r="K270" s="44">
        <v>44713.0</v>
      </c>
      <c r="L270" s="42">
        <v>3.0</v>
      </c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41" t="s">
        <v>2699</v>
      </c>
      <c r="B271" s="42" t="s">
        <v>2700</v>
      </c>
      <c r="C271" s="42" t="s">
        <v>146</v>
      </c>
      <c r="D271" s="42" t="s">
        <v>94</v>
      </c>
      <c r="E271" s="42" t="s">
        <v>21</v>
      </c>
      <c r="F271" s="42" t="s">
        <v>1823</v>
      </c>
      <c r="G271" s="42" t="s">
        <v>36</v>
      </c>
      <c r="H271" s="42" t="s">
        <v>295</v>
      </c>
      <c r="I271" s="43">
        <v>43252.0</v>
      </c>
      <c r="J271" s="29"/>
      <c r="K271" s="44">
        <v>44348.0</v>
      </c>
      <c r="L271" s="45">
        <v>3.0</v>
      </c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41" t="s">
        <v>1546</v>
      </c>
      <c r="B272" s="42" t="s">
        <v>2298</v>
      </c>
      <c r="C272" s="42" t="s">
        <v>1547</v>
      </c>
      <c r="D272" s="42" t="s">
        <v>44</v>
      </c>
      <c r="E272" s="42" t="s">
        <v>21</v>
      </c>
      <c r="F272" s="42" t="s">
        <v>1964</v>
      </c>
      <c r="G272" s="42" t="s">
        <v>46</v>
      </c>
      <c r="H272" s="42" t="s">
        <v>233</v>
      </c>
      <c r="I272" s="43">
        <v>43617.0</v>
      </c>
      <c r="J272" s="43">
        <v>44713.0</v>
      </c>
      <c r="K272" s="44">
        <v>45809.0</v>
      </c>
      <c r="L272" s="42">
        <v>4.0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41" t="s">
        <v>1546</v>
      </c>
      <c r="B273" s="42" t="s">
        <v>493</v>
      </c>
      <c r="C273" s="42" t="s">
        <v>1547</v>
      </c>
      <c r="D273" s="42" t="s">
        <v>44</v>
      </c>
      <c r="E273" s="42" t="s">
        <v>21</v>
      </c>
      <c r="F273" s="42" t="s">
        <v>1794</v>
      </c>
      <c r="G273" s="42" t="s">
        <v>36</v>
      </c>
      <c r="H273" s="42" t="s">
        <v>397</v>
      </c>
      <c r="I273" s="43">
        <v>43617.0</v>
      </c>
      <c r="J273" s="29"/>
      <c r="K273" s="44">
        <v>44713.0</v>
      </c>
      <c r="L273" s="42">
        <v>3.0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46" t="s">
        <v>2705</v>
      </c>
      <c r="B274" s="47" t="s">
        <v>1876</v>
      </c>
      <c r="C274" s="47" t="s">
        <v>2706</v>
      </c>
      <c r="D274" s="47" t="s">
        <v>78</v>
      </c>
      <c r="E274" s="47" t="s">
        <v>21</v>
      </c>
      <c r="F274" s="42" t="s">
        <v>1979</v>
      </c>
      <c r="G274" s="42" t="s">
        <v>46</v>
      </c>
      <c r="H274" s="47" t="s">
        <v>244</v>
      </c>
      <c r="I274" s="43">
        <v>42887.0</v>
      </c>
      <c r="J274" s="29"/>
      <c r="K274" s="44">
        <v>43983.0</v>
      </c>
      <c r="L274" s="45">
        <v>3.0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41" t="s">
        <v>2709</v>
      </c>
      <c r="B275" s="42" t="s">
        <v>2298</v>
      </c>
      <c r="C275" s="42" t="s">
        <v>33</v>
      </c>
      <c r="D275" s="42" t="s">
        <v>34</v>
      </c>
      <c r="E275" s="42" t="s">
        <v>21</v>
      </c>
      <c r="F275" s="42" t="s">
        <v>1853</v>
      </c>
      <c r="G275" s="42" t="s">
        <v>36</v>
      </c>
      <c r="H275" s="42" t="s">
        <v>287</v>
      </c>
      <c r="I275" s="43">
        <v>42887.0</v>
      </c>
      <c r="J275" s="29"/>
      <c r="K275" s="44">
        <v>43983.0</v>
      </c>
      <c r="L275" s="45">
        <v>3.0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41" t="s">
        <v>2712</v>
      </c>
      <c r="B276" s="42" t="s">
        <v>2386</v>
      </c>
      <c r="C276" s="42" t="s">
        <v>2713</v>
      </c>
      <c r="D276" s="42" t="s">
        <v>178</v>
      </c>
      <c r="E276" s="42" t="s">
        <v>21</v>
      </c>
      <c r="F276" s="42" t="s">
        <v>1823</v>
      </c>
      <c r="G276" s="42" t="s">
        <v>36</v>
      </c>
      <c r="H276" s="42" t="s">
        <v>244</v>
      </c>
      <c r="I276" s="43">
        <v>42887.0</v>
      </c>
      <c r="J276" s="29"/>
      <c r="K276" s="44">
        <v>43983.0</v>
      </c>
      <c r="L276" s="45">
        <v>3.0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41" t="s">
        <v>2717</v>
      </c>
      <c r="B277" s="42" t="s">
        <v>2697</v>
      </c>
      <c r="C277" s="42" t="s">
        <v>2718</v>
      </c>
      <c r="D277" s="42" t="s">
        <v>34</v>
      </c>
      <c r="E277" s="42" t="s">
        <v>21</v>
      </c>
      <c r="F277" s="42" t="s">
        <v>1794</v>
      </c>
      <c r="G277" s="42" t="s">
        <v>46</v>
      </c>
      <c r="H277" s="42" t="s">
        <v>37</v>
      </c>
      <c r="I277" s="43">
        <v>43617.0</v>
      </c>
      <c r="J277" s="43">
        <v>44348.0</v>
      </c>
      <c r="K277" s="44">
        <v>45444.0</v>
      </c>
      <c r="L277" s="42">
        <v>4.0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46" t="s">
        <v>2722</v>
      </c>
      <c r="B278" s="47" t="s">
        <v>2383</v>
      </c>
      <c r="C278" s="47" t="s">
        <v>254</v>
      </c>
      <c r="D278" s="47" t="s">
        <v>143</v>
      </c>
      <c r="E278" s="47" t="s">
        <v>21</v>
      </c>
      <c r="F278" s="47" t="s">
        <v>1794</v>
      </c>
      <c r="G278" s="47" t="s">
        <v>23</v>
      </c>
      <c r="H278" s="47" t="s">
        <v>251</v>
      </c>
      <c r="I278" s="44">
        <v>43617.0</v>
      </c>
      <c r="J278" s="36"/>
      <c r="K278" s="44">
        <v>44713.0</v>
      </c>
      <c r="L278" s="42">
        <v>3.0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46" t="s">
        <v>1571</v>
      </c>
      <c r="B279" s="47" t="s">
        <v>2724</v>
      </c>
      <c r="C279" s="47" t="s">
        <v>1212</v>
      </c>
      <c r="D279" s="47" t="s">
        <v>222</v>
      </c>
      <c r="E279" s="42" t="s">
        <v>21</v>
      </c>
      <c r="F279" s="47" t="s">
        <v>1823</v>
      </c>
      <c r="G279" s="47" t="s">
        <v>23</v>
      </c>
      <c r="H279" s="47" t="s">
        <v>339</v>
      </c>
      <c r="I279" s="43">
        <v>43252.0</v>
      </c>
      <c r="J279" s="48"/>
      <c r="K279" s="44">
        <v>44348.0</v>
      </c>
      <c r="L279" s="45">
        <v>3.0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41" t="s">
        <v>1571</v>
      </c>
      <c r="B280" s="42" t="s">
        <v>194</v>
      </c>
      <c r="C280" s="42" t="s">
        <v>2729</v>
      </c>
      <c r="D280" s="42" t="s">
        <v>20</v>
      </c>
      <c r="E280" s="42" t="s">
        <v>21</v>
      </c>
      <c r="F280" s="42" t="s">
        <v>1809</v>
      </c>
      <c r="G280" s="42" t="s">
        <v>36</v>
      </c>
      <c r="H280" s="42" t="s">
        <v>233</v>
      </c>
      <c r="I280" s="43">
        <v>43617.0</v>
      </c>
      <c r="J280" s="29"/>
      <c r="K280" s="44">
        <v>44713.0</v>
      </c>
      <c r="L280" s="42">
        <v>3.0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41" t="s">
        <v>2730</v>
      </c>
      <c r="B281" s="42" t="s">
        <v>1948</v>
      </c>
      <c r="C281" s="32"/>
      <c r="D281" s="42" t="s">
        <v>27</v>
      </c>
      <c r="E281" s="42" t="s">
        <v>27</v>
      </c>
      <c r="F281" s="42" t="s">
        <v>103</v>
      </c>
      <c r="G281" s="42" t="s">
        <v>665</v>
      </c>
      <c r="H281" s="42" t="s">
        <v>103</v>
      </c>
      <c r="I281" s="43">
        <v>42401.0</v>
      </c>
      <c r="J281" s="29"/>
      <c r="K281" s="44">
        <v>44713.0</v>
      </c>
      <c r="L281" s="45">
        <v>3.0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41" t="s">
        <v>2733</v>
      </c>
      <c r="B282" s="42" t="s">
        <v>2015</v>
      </c>
      <c r="C282" s="42" t="s">
        <v>2734</v>
      </c>
      <c r="D282" s="42" t="s">
        <v>420</v>
      </c>
      <c r="E282" s="42" t="s">
        <v>21</v>
      </c>
      <c r="F282" s="42" t="s">
        <v>1823</v>
      </c>
      <c r="G282" s="42" t="s">
        <v>36</v>
      </c>
      <c r="H282" s="42" t="s">
        <v>582</v>
      </c>
      <c r="I282" s="43">
        <v>42887.0</v>
      </c>
      <c r="J282" s="29"/>
      <c r="K282" s="44">
        <v>43983.0</v>
      </c>
      <c r="L282" s="45">
        <v>3.0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41" t="s">
        <v>1585</v>
      </c>
      <c r="B283" s="42" t="s">
        <v>2737</v>
      </c>
      <c r="C283" s="42" t="s">
        <v>146</v>
      </c>
      <c r="D283" s="42" t="s">
        <v>94</v>
      </c>
      <c r="E283" s="42" t="s">
        <v>21</v>
      </c>
      <c r="F283" s="42" t="s">
        <v>1819</v>
      </c>
      <c r="G283" s="42" t="s">
        <v>23</v>
      </c>
      <c r="H283" s="42" t="s">
        <v>295</v>
      </c>
      <c r="I283" s="43">
        <v>43252.0</v>
      </c>
      <c r="J283" s="29"/>
      <c r="K283" s="44">
        <v>44348.0</v>
      </c>
      <c r="L283" s="45">
        <v>3.0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41" t="s">
        <v>1587</v>
      </c>
      <c r="B284" s="42" t="s">
        <v>2740</v>
      </c>
      <c r="C284" s="32"/>
      <c r="D284" s="42" t="s">
        <v>224</v>
      </c>
      <c r="E284" s="42" t="s">
        <v>21</v>
      </c>
      <c r="F284" s="42" t="s">
        <v>1933</v>
      </c>
      <c r="G284" s="42" t="s">
        <v>36</v>
      </c>
      <c r="H284" s="42" t="s">
        <v>225</v>
      </c>
      <c r="I284" s="43">
        <v>43252.0</v>
      </c>
      <c r="J284" s="29"/>
      <c r="K284" s="44">
        <v>44348.0</v>
      </c>
      <c r="L284" s="45">
        <v>3.0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41" t="s">
        <v>2741</v>
      </c>
      <c r="B285" s="42" t="s">
        <v>2037</v>
      </c>
      <c r="C285" s="42" t="s">
        <v>523</v>
      </c>
      <c r="D285" s="42" t="s">
        <v>282</v>
      </c>
      <c r="E285" s="42" t="s">
        <v>21</v>
      </c>
      <c r="F285" s="42" t="s">
        <v>2743</v>
      </c>
      <c r="G285" s="42" t="s">
        <v>46</v>
      </c>
      <c r="H285" s="42" t="s">
        <v>126</v>
      </c>
      <c r="I285" s="43">
        <v>43617.0</v>
      </c>
      <c r="J285" s="29"/>
      <c r="K285" s="44">
        <v>44713.0</v>
      </c>
      <c r="L285" s="42">
        <v>3.0</v>
      </c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41" t="s">
        <v>2744</v>
      </c>
      <c r="B286" s="42" t="s">
        <v>2609</v>
      </c>
      <c r="C286" s="42" t="s">
        <v>2746</v>
      </c>
      <c r="D286" s="42" t="s">
        <v>94</v>
      </c>
      <c r="E286" s="42" t="s">
        <v>21</v>
      </c>
      <c r="F286" s="42" t="s">
        <v>2749</v>
      </c>
      <c r="G286" s="42" t="s">
        <v>36</v>
      </c>
      <c r="H286" s="42" t="s">
        <v>207</v>
      </c>
      <c r="I286" s="43">
        <v>42887.0</v>
      </c>
      <c r="J286" s="43">
        <v>43983.0</v>
      </c>
      <c r="K286" s="44">
        <v>45078.0</v>
      </c>
      <c r="L286" s="45">
        <v>4.0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41" t="s">
        <v>1593</v>
      </c>
      <c r="B287" s="42" t="s">
        <v>1935</v>
      </c>
      <c r="C287" s="42" t="s">
        <v>93</v>
      </c>
      <c r="D287" s="42" t="s">
        <v>94</v>
      </c>
      <c r="E287" s="42" t="s">
        <v>21</v>
      </c>
      <c r="F287" s="42" t="s">
        <v>1823</v>
      </c>
      <c r="G287" s="42" t="s">
        <v>46</v>
      </c>
      <c r="H287" s="42" t="s">
        <v>295</v>
      </c>
      <c r="I287" s="43">
        <v>43252.0</v>
      </c>
      <c r="J287" s="29"/>
      <c r="K287" s="44">
        <v>44348.0</v>
      </c>
      <c r="L287" s="45">
        <v>3.0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41" t="s">
        <v>2751</v>
      </c>
      <c r="B288" s="42" t="s">
        <v>2752</v>
      </c>
      <c r="C288" s="42" t="s">
        <v>2753</v>
      </c>
      <c r="D288" s="42" t="s">
        <v>222</v>
      </c>
      <c r="E288" s="42" t="s">
        <v>21</v>
      </c>
      <c r="F288" s="42" t="s">
        <v>1819</v>
      </c>
      <c r="G288" s="42" t="s">
        <v>46</v>
      </c>
      <c r="H288" s="42" t="s">
        <v>344</v>
      </c>
      <c r="I288" s="43">
        <v>42887.0</v>
      </c>
      <c r="J288" s="29"/>
      <c r="K288" s="44">
        <v>43983.0</v>
      </c>
      <c r="L288" s="45">
        <v>3.0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41" t="s">
        <v>2756</v>
      </c>
      <c r="B289" s="42" t="s">
        <v>2758</v>
      </c>
      <c r="C289" s="42" t="s">
        <v>1379</v>
      </c>
      <c r="D289" s="42" t="s">
        <v>143</v>
      </c>
      <c r="E289" s="42" t="s">
        <v>21</v>
      </c>
      <c r="F289" s="42" t="s">
        <v>638</v>
      </c>
      <c r="G289" s="42" t="s">
        <v>46</v>
      </c>
      <c r="H289" s="42" t="s">
        <v>207</v>
      </c>
      <c r="I289" s="43">
        <v>42887.0</v>
      </c>
      <c r="J289" s="29"/>
      <c r="K289" s="44">
        <v>43983.0</v>
      </c>
      <c r="L289" s="45">
        <v>3.0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41" t="s">
        <v>2756</v>
      </c>
      <c r="B290" s="42" t="s">
        <v>2762</v>
      </c>
      <c r="C290" s="42" t="s">
        <v>2764</v>
      </c>
      <c r="D290" s="42" t="s">
        <v>420</v>
      </c>
      <c r="E290" s="42" t="s">
        <v>21</v>
      </c>
      <c r="F290" s="42" t="s">
        <v>2020</v>
      </c>
      <c r="G290" s="42" t="s">
        <v>23</v>
      </c>
      <c r="H290" s="42" t="s">
        <v>126</v>
      </c>
      <c r="I290" s="43">
        <v>43617.0</v>
      </c>
      <c r="J290" s="29"/>
      <c r="K290" s="44">
        <v>44713.0</v>
      </c>
      <c r="L290" s="42">
        <v>3.0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41" t="s">
        <v>1595</v>
      </c>
      <c r="B291" s="42" t="s">
        <v>1325</v>
      </c>
      <c r="C291" s="42" t="s">
        <v>77</v>
      </c>
      <c r="D291" s="42" t="s">
        <v>78</v>
      </c>
      <c r="E291" s="42" t="s">
        <v>21</v>
      </c>
      <c r="F291" s="42" t="s">
        <v>1794</v>
      </c>
      <c r="G291" s="42" t="s">
        <v>46</v>
      </c>
      <c r="H291" s="42" t="s">
        <v>434</v>
      </c>
      <c r="I291" s="43">
        <v>43617.0</v>
      </c>
      <c r="J291" s="29"/>
      <c r="K291" s="44">
        <v>44713.0</v>
      </c>
      <c r="L291" s="42">
        <v>3.0</v>
      </c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41" t="s">
        <v>2767</v>
      </c>
      <c r="B292" s="42" t="s">
        <v>1974</v>
      </c>
      <c r="C292" s="32"/>
      <c r="D292" s="42" t="s">
        <v>224</v>
      </c>
      <c r="E292" s="42" t="s">
        <v>21</v>
      </c>
      <c r="F292" s="42" t="s">
        <v>1823</v>
      </c>
      <c r="G292" s="42" t="s">
        <v>36</v>
      </c>
      <c r="H292" s="42" t="s">
        <v>2769</v>
      </c>
      <c r="I292" s="43">
        <v>43252.0</v>
      </c>
      <c r="J292" s="43">
        <v>44348.0</v>
      </c>
      <c r="K292" s="44">
        <v>45444.0</v>
      </c>
      <c r="L292" s="45">
        <v>4.0</v>
      </c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41" t="s">
        <v>1603</v>
      </c>
      <c r="B293" s="42" t="s">
        <v>2771</v>
      </c>
      <c r="C293" s="42" t="s">
        <v>2772</v>
      </c>
      <c r="D293" s="42" t="s">
        <v>44</v>
      </c>
      <c r="E293" s="42" t="s">
        <v>21</v>
      </c>
      <c r="F293" s="42" t="s">
        <v>2327</v>
      </c>
      <c r="G293" s="42" t="s">
        <v>46</v>
      </c>
      <c r="H293" s="42" t="s">
        <v>126</v>
      </c>
      <c r="I293" s="43">
        <v>43617.0</v>
      </c>
      <c r="J293" s="43">
        <v>44713.0</v>
      </c>
      <c r="K293" s="44">
        <v>45809.0</v>
      </c>
      <c r="L293" s="42">
        <v>4.0</v>
      </c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41" t="s">
        <v>2774</v>
      </c>
      <c r="B294" s="42" t="s">
        <v>2575</v>
      </c>
      <c r="C294" s="42" t="s">
        <v>215</v>
      </c>
      <c r="D294" s="42" t="s">
        <v>44</v>
      </c>
      <c r="E294" s="42" t="s">
        <v>21</v>
      </c>
      <c r="F294" s="42" t="s">
        <v>1809</v>
      </c>
      <c r="G294" s="42" t="s">
        <v>46</v>
      </c>
      <c r="H294" s="42" t="s">
        <v>171</v>
      </c>
      <c r="I294" s="43">
        <v>43617.0</v>
      </c>
      <c r="J294" s="29"/>
      <c r="K294" s="44">
        <v>44713.0</v>
      </c>
      <c r="L294" s="42">
        <v>3.0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41" t="s">
        <v>2777</v>
      </c>
      <c r="B295" s="42" t="s">
        <v>1974</v>
      </c>
      <c r="C295" s="42" t="s">
        <v>2345</v>
      </c>
      <c r="D295" s="42" t="s">
        <v>313</v>
      </c>
      <c r="E295" s="42" t="s">
        <v>21</v>
      </c>
      <c r="F295" s="42" t="s">
        <v>1794</v>
      </c>
      <c r="G295" s="42" t="s">
        <v>23</v>
      </c>
      <c r="H295" s="42" t="s">
        <v>57</v>
      </c>
      <c r="I295" s="43">
        <v>43617.0</v>
      </c>
      <c r="J295" s="29"/>
      <c r="K295" s="44">
        <v>44713.0</v>
      </c>
      <c r="L295" s="42">
        <v>3.0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41" t="s">
        <v>2779</v>
      </c>
      <c r="B296" s="42" t="s">
        <v>2780</v>
      </c>
      <c r="C296" s="42" t="s">
        <v>2781</v>
      </c>
      <c r="D296" s="42" t="s">
        <v>313</v>
      </c>
      <c r="E296" s="42" t="s">
        <v>21</v>
      </c>
      <c r="F296" s="42" t="s">
        <v>1819</v>
      </c>
      <c r="G296" s="42" t="s">
        <v>36</v>
      </c>
      <c r="H296" s="42" t="s">
        <v>324</v>
      </c>
      <c r="I296" s="43">
        <v>43252.0</v>
      </c>
      <c r="J296" s="29"/>
      <c r="K296" s="44">
        <v>44348.0</v>
      </c>
      <c r="L296" s="45">
        <v>3.0</v>
      </c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41" t="s">
        <v>1622</v>
      </c>
      <c r="B297" s="42" t="s">
        <v>1913</v>
      </c>
      <c r="C297" s="42" t="s">
        <v>2785</v>
      </c>
      <c r="D297" s="42" t="s">
        <v>20</v>
      </c>
      <c r="E297" s="42" t="s">
        <v>21</v>
      </c>
      <c r="F297" s="42" t="s">
        <v>1794</v>
      </c>
      <c r="G297" s="42" t="s">
        <v>36</v>
      </c>
      <c r="H297" s="42" t="s">
        <v>233</v>
      </c>
      <c r="I297" s="43">
        <v>43617.0</v>
      </c>
      <c r="J297" s="29"/>
      <c r="K297" s="44">
        <v>44713.0</v>
      </c>
      <c r="L297" s="42">
        <v>3.0</v>
      </c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41" t="s">
        <v>2788</v>
      </c>
      <c r="B298" s="42" t="s">
        <v>2789</v>
      </c>
      <c r="C298" s="42" t="s">
        <v>2418</v>
      </c>
      <c r="D298" s="42" t="s">
        <v>143</v>
      </c>
      <c r="E298" s="42" t="s">
        <v>21</v>
      </c>
      <c r="F298" s="42" t="s">
        <v>471</v>
      </c>
      <c r="G298" s="42" t="s">
        <v>23</v>
      </c>
      <c r="H298" s="42" t="s">
        <v>135</v>
      </c>
      <c r="I298" s="43">
        <v>43252.0</v>
      </c>
      <c r="J298" s="43">
        <v>44348.0</v>
      </c>
      <c r="K298" s="44">
        <v>45444.0</v>
      </c>
      <c r="L298" s="45">
        <v>4.0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41" t="s">
        <v>1637</v>
      </c>
      <c r="B299" s="42" t="s">
        <v>2791</v>
      </c>
      <c r="C299" s="42" t="s">
        <v>1640</v>
      </c>
      <c r="D299" s="42" t="s">
        <v>20</v>
      </c>
      <c r="E299" s="42" t="s">
        <v>21</v>
      </c>
      <c r="F299" s="42" t="s">
        <v>1819</v>
      </c>
      <c r="G299" s="42" t="s">
        <v>46</v>
      </c>
      <c r="H299" s="42" t="s">
        <v>72</v>
      </c>
      <c r="I299" s="43">
        <v>43252.0</v>
      </c>
      <c r="J299" s="29"/>
      <c r="K299" s="44">
        <v>44348.0</v>
      </c>
      <c r="L299" s="45">
        <v>3.0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41" t="s">
        <v>2794</v>
      </c>
      <c r="B300" s="42" t="s">
        <v>1974</v>
      </c>
      <c r="C300" s="42" t="s">
        <v>629</v>
      </c>
      <c r="D300" s="42" t="s">
        <v>94</v>
      </c>
      <c r="E300" s="42" t="s">
        <v>21</v>
      </c>
      <c r="F300" s="42" t="s">
        <v>1809</v>
      </c>
      <c r="G300" s="42" t="s">
        <v>23</v>
      </c>
      <c r="H300" s="42" t="s">
        <v>37</v>
      </c>
      <c r="I300" s="43">
        <v>43617.0</v>
      </c>
      <c r="J300" s="29"/>
      <c r="K300" s="44">
        <v>44713.0</v>
      </c>
      <c r="L300" s="42">
        <v>3.0</v>
      </c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41" t="s">
        <v>2797</v>
      </c>
      <c r="B301" s="42" t="s">
        <v>2030</v>
      </c>
      <c r="C301" s="42" t="s">
        <v>2799</v>
      </c>
      <c r="D301" s="42" t="s">
        <v>313</v>
      </c>
      <c r="E301" s="42" t="s">
        <v>21</v>
      </c>
      <c r="F301" s="42" t="s">
        <v>1823</v>
      </c>
      <c r="G301" s="42" t="s">
        <v>36</v>
      </c>
      <c r="H301" s="42" t="s">
        <v>324</v>
      </c>
      <c r="I301" s="43">
        <v>43252.0</v>
      </c>
      <c r="J301" s="29"/>
      <c r="K301" s="44">
        <v>44348.0</v>
      </c>
      <c r="L301" s="45">
        <v>3.0</v>
      </c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41" t="s">
        <v>2800</v>
      </c>
      <c r="B302" s="42" t="s">
        <v>2752</v>
      </c>
      <c r="C302" s="42" t="s">
        <v>2802</v>
      </c>
      <c r="D302" s="42" t="s">
        <v>78</v>
      </c>
      <c r="E302" s="42" t="s">
        <v>21</v>
      </c>
      <c r="F302" s="42" t="s">
        <v>2341</v>
      </c>
      <c r="G302" s="42" t="s">
        <v>23</v>
      </c>
      <c r="H302" s="42" t="s">
        <v>287</v>
      </c>
      <c r="I302" s="43">
        <v>42887.0</v>
      </c>
      <c r="J302" s="29"/>
      <c r="K302" s="44">
        <v>43983.0</v>
      </c>
      <c r="L302" s="45">
        <v>3.0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41" t="s">
        <v>2803</v>
      </c>
      <c r="B303" s="42" t="s">
        <v>1956</v>
      </c>
      <c r="C303" s="42" t="s">
        <v>2804</v>
      </c>
      <c r="D303" s="42" t="s">
        <v>44</v>
      </c>
      <c r="E303" s="42" t="s">
        <v>21</v>
      </c>
      <c r="F303" s="42" t="s">
        <v>1823</v>
      </c>
      <c r="G303" s="42" t="s">
        <v>36</v>
      </c>
      <c r="H303" s="42" t="s">
        <v>211</v>
      </c>
      <c r="I303" s="43">
        <v>43252.0</v>
      </c>
      <c r="J303" s="29"/>
      <c r="K303" s="44">
        <v>44348.0</v>
      </c>
      <c r="L303" s="45">
        <v>3.0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41" t="s">
        <v>2806</v>
      </c>
      <c r="B304" s="42" t="s">
        <v>2807</v>
      </c>
      <c r="C304" s="42" t="s">
        <v>2808</v>
      </c>
      <c r="D304" s="42" t="s">
        <v>143</v>
      </c>
      <c r="E304" s="42" t="s">
        <v>21</v>
      </c>
      <c r="F304" s="42" t="s">
        <v>1838</v>
      </c>
      <c r="G304" s="42" t="s">
        <v>46</v>
      </c>
      <c r="H304" s="42" t="s">
        <v>149</v>
      </c>
      <c r="I304" s="43">
        <v>42522.0</v>
      </c>
      <c r="J304" s="29"/>
      <c r="K304" s="44">
        <v>44713.0</v>
      </c>
      <c r="L304" s="45">
        <v>3.0</v>
      </c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41" t="s">
        <v>2811</v>
      </c>
      <c r="B305" s="42" t="s">
        <v>2812</v>
      </c>
      <c r="C305" s="42" t="s">
        <v>2813</v>
      </c>
      <c r="D305" s="42" t="s">
        <v>118</v>
      </c>
      <c r="E305" s="42" t="s">
        <v>21</v>
      </c>
      <c r="F305" s="42" t="s">
        <v>1819</v>
      </c>
      <c r="G305" s="42" t="s">
        <v>46</v>
      </c>
      <c r="H305" s="42" t="s">
        <v>331</v>
      </c>
      <c r="I305" s="43">
        <v>43252.0</v>
      </c>
      <c r="J305" s="29"/>
      <c r="K305" s="44">
        <v>44348.0</v>
      </c>
      <c r="L305" s="45">
        <v>3.0</v>
      </c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41" t="s">
        <v>2815</v>
      </c>
      <c r="B306" s="42" t="s">
        <v>1668</v>
      </c>
      <c r="C306" s="32"/>
      <c r="D306" s="42" t="s">
        <v>27</v>
      </c>
      <c r="E306" s="42" t="s">
        <v>1669</v>
      </c>
      <c r="F306" s="42" t="s">
        <v>1877</v>
      </c>
      <c r="G306" s="42" t="s">
        <v>36</v>
      </c>
      <c r="H306" s="42" t="s">
        <v>885</v>
      </c>
      <c r="I306" s="43">
        <v>42828.0</v>
      </c>
      <c r="J306" s="43">
        <v>43983.0</v>
      </c>
      <c r="K306" s="44">
        <v>45078.0</v>
      </c>
      <c r="L306" s="45">
        <v>4.0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41" t="s">
        <v>2816</v>
      </c>
      <c r="B307" s="42" t="s">
        <v>2817</v>
      </c>
      <c r="C307" s="42" t="s">
        <v>1906</v>
      </c>
      <c r="D307" s="42" t="s">
        <v>1311</v>
      </c>
      <c r="E307" s="42" t="s">
        <v>21</v>
      </c>
      <c r="F307" s="42" t="s">
        <v>2059</v>
      </c>
      <c r="G307" s="42" t="s">
        <v>23</v>
      </c>
      <c r="H307" s="42" t="s">
        <v>582</v>
      </c>
      <c r="I307" s="43">
        <v>42887.0</v>
      </c>
      <c r="J307" s="29"/>
      <c r="K307" s="44">
        <v>43983.0</v>
      </c>
      <c r="L307" s="45">
        <v>3.0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41" t="s">
        <v>1685</v>
      </c>
      <c r="B308" s="42" t="s">
        <v>2820</v>
      </c>
      <c r="C308" s="42" t="s">
        <v>363</v>
      </c>
      <c r="D308" s="42" t="s">
        <v>143</v>
      </c>
      <c r="E308" s="42" t="s">
        <v>21</v>
      </c>
      <c r="F308" s="42" t="s">
        <v>1819</v>
      </c>
      <c r="G308" s="42" t="s">
        <v>23</v>
      </c>
      <c r="H308" s="42" t="s">
        <v>255</v>
      </c>
      <c r="I308" s="43">
        <v>42887.0</v>
      </c>
      <c r="J308" s="29"/>
      <c r="K308" s="44">
        <v>43983.0</v>
      </c>
      <c r="L308" s="45">
        <v>3.0</v>
      </c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41" t="s">
        <v>2822</v>
      </c>
      <c r="B309" s="42" t="s">
        <v>2823</v>
      </c>
      <c r="C309" s="42" t="s">
        <v>243</v>
      </c>
      <c r="D309" s="42" t="s">
        <v>78</v>
      </c>
      <c r="E309" s="42" t="s">
        <v>21</v>
      </c>
      <c r="F309" s="42" t="s">
        <v>1809</v>
      </c>
      <c r="G309" s="42" t="s">
        <v>46</v>
      </c>
      <c r="H309" s="42" t="s">
        <v>434</v>
      </c>
      <c r="I309" s="43">
        <v>43617.0</v>
      </c>
      <c r="J309" s="29"/>
      <c r="K309" s="44">
        <v>44713.0</v>
      </c>
      <c r="L309" s="42">
        <v>3.0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41" t="s">
        <v>2825</v>
      </c>
      <c r="B310" s="42" t="s">
        <v>2826</v>
      </c>
      <c r="C310" s="42" t="s">
        <v>1290</v>
      </c>
      <c r="D310" s="42" t="s">
        <v>55</v>
      </c>
      <c r="E310" s="42" t="s">
        <v>21</v>
      </c>
      <c r="F310" s="42" t="s">
        <v>1933</v>
      </c>
      <c r="G310" s="42" t="s">
        <v>36</v>
      </c>
      <c r="H310" s="42" t="s">
        <v>324</v>
      </c>
      <c r="I310" s="43">
        <v>43252.0</v>
      </c>
      <c r="J310" s="29"/>
      <c r="K310" s="44">
        <v>44348.0</v>
      </c>
      <c r="L310" s="45">
        <v>3.0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41" t="s">
        <v>1705</v>
      </c>
      <c r="B311" s="42" t="s">
        <v>2344</v>
      </c>
      <c r="C311" s="42" t="s">
        <v>54</v>
      </c>
      <c r="D311" s="42" t="s">
        <v>744</v>
      </c>
      <c r="E311" s="42" t="s">
        <v>21</v>
      </c>
      <c r="F311" s="42" t="s">
        <v>2208</v>
      </c>
      <c r="G311" s="42" t="s">
        <v>46</v>
      </c>
      <c r="H311" s="42" t="s">
        <v>126</v>
      </c>
      <c r="I311" s="43">
        <v>43617.0</v>
      </c>
      <c r="J311" s="43">
        <v>44713.0</v>
      </c>
      <c r="K311" s="44">
        <v>45809.0</v>
      </c>
      <c r="L311" s="42">
        <v>4.0</v>
      </c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41" t="s">
        <v>1710</v>
      </c>
      <c r="B312" s="42" t="s">
        <v>2833</v>
      </c>
      <c r="C312" s="42" t="s">
        <v>2078</v>
      </c>
      <c r="D312" s="42" t="s">
        <v>222</v>
      </c>
      <c r="E312" s="42" t="s">
        <v>21</v>
      </c>
      <c r="F312" s="42" t="s">
        <v>1823</v>
      </c>
      <c r="G312" s="42" t="s">
        <v>23</v>
      </c>
      <c r="H312" s="42" t="s">
        <v>344</v>
      </c>
      <c r="I312" s="43">
        <v>42887.0</v>
      </c>
      <c r="J312" s="29"/>
      <c r="K312" s="44">
        <v>43983.0</v>
      </c>
      <c r="L312" s="45">
        <v>3.0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41" t="s">
        <v>2835</v>
      </c>
      <c r="B313" s="42" t="s">
        <v>2836</v>
      </c>
      <c r="C313" s="42" t="s">
        <v>1563</v>
      </c>
      <c r="D313" s="42" t="s">
        <v>130</v>
      </c>
      <c r="E313" s="42" t="s">
        <v>21</v>
      </c>
      <c r="F313" s="42" t="s">
        <v>1823</v>
      </c>
      <c r="G313" s="42" t="s">
        <v>46</v>
      </c>
      <c r="H313" s="42" t="s">
        <v>72</v>
      </c>
      <c r="I313" s="43">
        <v>43252.0</v>
      </c>
      <c r="J313" s="29"/>
      <c r="K313" s="44">
        <v>44348.0</v>
      </c>
      <c r="L313" s="45">
        <v>3.0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41" t="s">
        <v>2838</v>
      </c>
      <c r="B314" s="42" t="s">
        <v>1816</v>
      </c>
      <c r="C314" s="42" t="s">
        <v>191</v>
      </c>
      <c r="D314" s="42" t="s">
        <v>44</v>
      </c>
      <c r="E314" s="42" t="s">
        <v>21</v>
      </c>
      <c r="F314" s="42" t="s">
        <v>1794</v>
      </c>
      <c r="G314" s="42" t="s">
        <v>23</v>
      </c>
      <c r="H314" s="42" t="s">
        <v>171</v>
      </c>
      <c r="I314" s="43">
        <v>43617.0</v>
      </c>
      <c r="J314" s="29"/>
      <c r="K314" s="44">
        <v>44713.0</v>
      </c>
      <c r="L314" s="42">
        <v>3.0</v>
      </c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41" t="s">
        <v>2839</v>
      </c>
      <c r="B315" s="42" t="s">
        <v>1978</v>
      </c>
      <c r="C315" s="42" t="s">
        <v>2841</v>
      </c>
      <c r="D315" s="42" t="s">
        <v>143</v>
      </c>
      <c r="E315" s="42" t="s">
        <v>21</v>
      </c>
      <c r="F315" s="42" t="s">
        <v>2743</v>
      </c>
      <c r="G315" s="42" t="s">
        <v>23</v>
      </c>
      <c r="H315" s="42" t="s">
        <v>126</v>
      </c>
      <c r="I315" s="43">
        <v>43617.0</v>
      </c>
      <c r="J315" s="29"/>
      <c r="K315" s="44">
        <v>44713.0</v>
      </c>
      <c r="L315" s="42">
        <v>3.0</v>
      </c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41" t="s">
        <v>2842</v>
      </c>
      <c r="B316" s="42" t="s">
        <v>2844</v>
      </c>
      <c r="C316" s="42" t="s">
        <v>1309</v>
      </c>
      <c r="D316" s="42" t="s">
        <v>55</v>
      </c>
      <c r="E316" s="42" t="s">
        <v>21</v>
      </c>
      <c r="F316" s="42" t="s">
        <v>1823</v>
      </c>
      <c r="G316" s="42" t="s">
        <v>23</v>
      </c>
      <c r="H316" s="42" t="s">
        <v>582</v>
      </c>
      <c r="I316" s="43">
        <v>42887.0</v>
      </c>
      <c r="J316" s="29"/>
      <c r="K316" s="44">
        <v>43983.0</v>
      </c>
      <c r="L316" s="45">
        <v>3.0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41" t="s">
        <v>1748</v>
      </c>
      <c r="B317" s="42" t="s">
        <v>2846</v>
      </c>
      <c r="C317" s="42" t="s">
        <v>2847</v>
      </c>
      <c r="D317" s="42" t="s">
        <v>183</v>
      </c>
      <c r="E317" s="42" t="s">
        <v>21</v>
      </c>
      <c r="F317" s="42" t="s">
        <v>1933</v>
      </c>
      <c r="G317" s="42" t="s">
        <v>23</v>
      </c>
      <c r="H317" s="42" t="s">
        <v>184</v>
      </c>
      <c r="I317" s="43">
        <v>42887.0</v>
      </c>
      <c r="J317" s="29"/>
      <c r="K317" s="44">
        <v>43983.0</v>
      </c>
      <c r="L317" s="45">
        <v>3.0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41" t="s">
        <v>2850</v>
      </c>
      <c r="B318" s="42" t="s">
        <v>1974</v>
      </c>
      <c r="C318" s="42" t="s">
        <v>2851</v>
      </c>
      <c r="D318" s="42" t="s">
        <v>282</v>
      </c>
      <c r="E318" s="42" t="s">
        <v>21</v>
      </c>
      <c r="F318" s="42" t="s">
        <v>1829</v>
      </c>
      <c r="G318" s="42" t="s">
        <v>137</v>
      </c>
      <c r="H318" s="42" t="s">
        <v>126</v>
      </c>
      <c r="I318" s="43">
        <v>43617.0</v>
      </c>
      <c r="J318" s="43">
        <v>44713.0</v>
      </c>
      <c r="K318" s="44">
        <v>45809.0</v>
      </c>
      <c r="L318" s="42">
        <v>4.0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41" t="s">
        <v>2852</v>
      </c>
      <c r="B319" s="42" t="s">
        <v>1994</v>
      </c>
      <c r="C319" s="42" t="s">
        <v>1975</v>
      </c>
      <c r="D319" s="42" t="s">
        <v>78</v>
      </c>
      <c r="E319" s="42" t="s">
        <v>21</v>
      </c>
      <c r="F319" s="42" t="s">
        <v>2245</v>
      </c>
      <c r="G319" s="42" t="s">
        <v>36</v>
      </c>
      <c r="H319" s="42" t="s">
        <v>149</v>
      </c>
      <c r="I319" s="43">
        <v>42522.0</v>
      </c>
      <c r="J319" s="29"/>
      <c r="K319" s="44">
        <v>44713.0</v>
      </c>
      <c r="L319" s="45">
        <v>3.0</v>
      </c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41" t="s">
        <v>2854</v>
      </c>
      <c r="B320" s="42" t="s">
        <v>1974</v>
      </c>
      <c r="C320" s="42" t="s">
        <v>2855</v>
      </c>
      <c r="D320" s="42" t="s">
        <v>323</v>
      </c>
      <c r="E320" s="42" t="s">
        <v>21</v>
      </c>
      <c r="F320" s="42" t="s">
        <v>1809</v>
      </c>
      <c r="G320" s="42" t="s">
        <v>36</v>
      </c>
      <c r="H320" s="42" t="s">
        <v>57</v>
      </c>
      <c r="I320" s="43">
        <v>43617.0</v>
      </c>
      <c r="J320" s="29"/>
      <c r="K320" s="44">
        <v>44713.0</v>
      </c>
      <c r="L320" s="42">
        <v>3.0</v>
      </c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41" t="s">
        <v>2856</v>
      </c>
      <c r="B321" s="42" t="s">
        <v>2857</v>
      </c>
      <c r="C321" s="32"/>
      <c r="D321" s="32"/>
      <c r="E321" s="42" t="s">
        <v>187</v>
      </c>
      <c r="F321" s="42" t="s">
        <v>1814</v>
      </c>
      <c r="G321" s="42" t="s">
        <v>36</v>
      </c>
      <c r="H321" s="42" t="s">
        <v>287</v>
      </c>
      <c r="I321" s="43">
        <v>42887.0</v>
      </c>
      <c r="J321" s="29"/>
      <c r="K321" s="44">
        <v>43983.0</v>
      </c>
      <c r="L321" s="45">
        <v>3.0</v>
      </c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41" t="s">
        <v>2859</v>
      </c>
      <c r="B322" s="45" t="s">
        <v>2332</v>
      </c>
      <c r="C322" s="45" t="s">
        <v>1237</v>
      </c>
      <c r="D322" s="45" t="s">
        <v>143</v>
      </c>
      <c r="E322" s="42" t="s">
        <v>21</v>
      </c>
      <c r="F322" s="32"/>
      <c r="G322" s="32"/>
      <c r="H322" s="45" t="s">
        <v>913</v>
      </c>
      <c r="I322" s="43">
        <v>43252.0</v>
      </c>
      <c r="J322" s="29"/>
      <c r="K322" s="44">
        <v>44348.0</v>
      </c>
      <c r="L322" s="45">
        <v>3.0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41" t="s">
        <v>2862</v>
      </c>
      <c r="B323" s="42" t="s">
        <v>2863</v>
      </c>
      <c r="C323" s="32"/>
      <c r="D323" s="42" t="s">
        <v>27</v>
      </c>
      <c r="E323" s="42" t="s">
        <v>162</v>
      </c>
      <c r="F323" s="42" t="s">
        <v>2121</v>
      </c>
      <c r="G323" s="42" t="s">
        <v>46</v>
      </c>
      <c r="H323" s="42" t="s">
        <v>885</v>
      </c>
      <c r="I323" s="43">
        <v>42828.0</v>
      </c>
      <c r="J323" s="43">
        <v>43983.0</v>
      </c>
      <c r="K323" s="44">
        <v>45078.0</v>
      </c>
      <c r="L323" s="45">
        <v>4.0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41" t="s">
        <v>2867</v>
      </c>
      <c r="B324" s="42" t="s">
        <v>2015</v>
      </c>
      <c r="C324" s="42" t="s">
        <v>2868</v>
      </c>
      <c r="D324" s="42" t="s">
        <v>851</v>
      </c>
      <c r="E324" s="42" t="s">
        <v>21</v>
      </c>
      <c r="F324" s="42" t="s">
        <v>2299</v>
      </c>
      <c r="G324" s="42" t="s">
        <v>46</v>
      </c>
      <c r="H324" s="42" t="s">
        <v>135</v>
      </c>
      <c r="I324" s="43">
        <v>43252.0</v>
      </c>
      <c r="J324" s="43">
        <v>44348.0</v>
      </c>
      <c r="K324" s="44">
        <v>45444.0</v>
      </c>
      <c r="L324" s="45">
        <v>4.0</v>
      </c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41" t="s">
        <v>1807</v>
      </c>
      <c r="B325" s="42" t="s">
        <v>2871</v>
      </c>
      <c r="C325" s="42" t="s">
        <v>2872</v>
      </c>
      <c r="D325" s="42" t="s">
        <v>1634</v>
      </c>
      <c r="E325" s="42" t="s">
        <v>21</v>
      </c>
      <c r="F325" s="42" t="s">
        <v>408</v>
      </c>
      <c r="G325" s="42" t="s">
        <v>2873</v>
      </c>
      <c r="H325" s="42" t="s">
        <v>408</v>
      </c>
      <c r="I325" s="43">
        <v>42772.0</v>
      </c>
      <c r="J325" s="43">
        <v>43983.0</v>
      </c>
      <c r="K325" s="44">
        <v>45078.0</v>
      </c>
      <c r="L325" s="45">
        <v>4.0</v>
      </c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41" t="s">
        <v>2874</v>
      </c>
      <c r="B326" s="42" t="s">
        <v>2875</v>
      </c>
      <c r="C326" s="42" t="s">
        <v>146</v>
      </c>
      <c r="D326" s="42" t="s">
        <v>94</v>
      </c>
      <c r="E326" s="42" t="s">
        <v>21</v>
      </c>
      <c r="F326" s="42" t="s">
        <v>1823</v>
      </c>
      <c r="G326" s="42" t="s">
        <v>23</v>
      </c>
      <c r="H326" s="42" t="s">
        <v>147</v>
      </c>
      <c r="I326" s="43">
        <v>42887.0</v>
      </c>
      <c r="J326" s="29"/>
      <c r="K326" s="44">
        <v>43983.0</v>
      </c>
      <c r="L326" s="45">
        <v>3.0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41" t="s">
        <v>549</v>
      </c>
      <c r="B327" s="42" t="s">
        <v>2877</v>
      </c>
      <c r="C327" s="42" t="s">
        <v>2851</v>
      </c>
      <c r="D327" s="42" t="s">
        <v>282</v>
      </c>
      <c r="E327" s="42" t="s">
        <v>21</v>
      </c>
      <c r="F327" s="42" t="s">
        <v>1859</v>
      </c>
      <c r="G327" s="42" t="s">
        <v>23</v>
      </c>
      <c r="H327" s="42" t="s">
        <v>207</v>
      </c>
      <c r="I327" s="43">
        <v>42887.0</v>
      </c>
      <c r="J327" s="29"/>
      <c r="K327" s="44">
        <v>43983.0</v>
      </c>
      <c r="L327" s="45">
        <v>3.0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41" t="s">
        <v>2879</v>
      </c>
      <c r="B328" s="42" t="s">
        <v>1974</v>
      </c>
      <c r="C328" s="42" t="s">
        <v>2880</v>
      </c>
      <c r="D328" s="42" t="s">
        <v>143</v>
      </c>
      <c r="E328" s="42" t="s">
        <v>21</v>
      </c>
      <c r="F328" s="42" t="s">
        <v>1814</v>
      </c>
      <c r="G328" s="42" t="s">
        <v>137</v>
      </c>
      <c r="H328" s="42" t="s">
        <v>287</v>
      </c>
      <c r="I328" s="43">
        <v>42887.0</v>
      </c>
      <c r="J328" s="29"/>
      <c r="K328" s="44">
        <v>43983.0</v>
      </c>
      <c r="L328" s="45">
        <v>3.0</v>
      </c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41" t="s">
        <v>1873</v>
      </c>
      <c r="B329" s="42" t="s">
        <v>2437</v>
      </c>
      <c r="C329" s="42" t="s">
        <v>985</v>
      </c>
      <c r="D329" s="42" t="s">
        <v>44</v>
      </c>
      <c r="E329" s="42" t="s">
        <v>21</v>
      </c>
      <c r="F329" s="42" t="s">
        <v>1823</v>
      </c>
      <c r="G329" s="42" t="s">
        <v>46</v>
      </c>
      <c r="H329" s="42" t="s">
        <v>975</v>
      </c>
      <c r="I329" s="43">
        <v>43252.0</v>
      </c>
      <c r="J329" s="43">
        <v>44348.0</v>
      </c>
      <c r="K329" s="44">
        <v>45444.0</v>
      </c>
      <c r="L329" s="45">
        <v>4.0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41" t="s">
        <v>2884</v>
      </c>
      <c r="B330" s="42" t="s">
        <v>2885</v>
      </c>
      <c r="C330" s="42" t="s">
        <v>634</v>
      </c>
      <c r="D330" s="42" t="s">
        <v>143</v>
      </c>
      <c r="E330" s="42" t="s">
        <v>21</v>
      </c>
      <c r="F330" s="42" t="s">
        <v>2743</v>
      </c>
      <c r="G330" s="42" t="s">
        <v>23</v>
      </c>
      <c r="H330" s="42" t="s">
        <v>126</v>
      </c>
      <c r="I330" s="43">
        <v>43617.0</v>
      </c>
      <c r="J330" s="29"/>
      <c r="K330" s="44">
        <v>44713.0</v>
      </c>
      <c r="L330" s="42">
        <v>3.0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41" t="s">
        <v>2887</v>
      </c>
      <c r="B331" s="42" t="s">
        <v>2888</v>
      </c>
      <c r="C331" s="42" t="s">
        <v>2326</v>
      </c>
      <c r="D331" s="42" t="s">
        <v>44</v>
      </c>
      <c r="E331" s="42" t="s">
        <v>21</v>
      </c>
      <c r="F331" s="42" t="s">
        <v>1823</v>
      </c>
      <c r="G331" s="42" t="s">
        <v>46</v>
      </c>
      <c r="H331" s="42" t="s">
        <v>47</v>
      </c>
      <c r="I331" s="43">
        <v>43252.0</v>
      </c>
      <c r="J331" s="29"/>
      <c r="K331" s="44">
        <v>44348.0</v>
      </c>
      <c r="L331" s="45">
        <v>3.0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41" t="s">
        <v>2891</v>
      </c>
      <c r="B332" s="42" t="s">
        <v>2892</v>
      </c>
      <c r="C332" s="42" t="s">
        <v>2851</v>
      </c>
      <c r="D332" s="42" t="s">
        <v>282</v>
      </c>
      <c r="E332" s="42" t="s">
        <v>21</v>
      </c>
      <c r="F332" s="42" t="s">
        <v>144</v>
      </c>
      <c r="G332" s="42" t="s">
        <v>36</v>
      </c>
      <c r="H332" s="42" t="s">
        <v>135</v>
      </c>
      <c r="I332" s="43">
        <v>43252.0</v>
      </c>
      <c r="J332" s="29"/>
      <c r="K332" s="44">
        <v>44348.0</v>
      </c>
      <c r="L332" s="45">
        <v>3.0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41" t="s">
        <v>1897</v>
      </c>
      <c r="B333" s="42" t="s">
        <v>2894</v>
      </c>
      <c r="C333" s="42" t="s">
        <v>243</v>
      </c>
      <c r="D333" s="42" t="s">
        <v>78</v>
      </c>
      <c r="E333" s="42" t="s">
        <v>21</v>
      </c>
      <c r="F333" s="42" t="s">
        <v>1819</v>
      </c>
      <c r="G333" s="42" t="s">
        <v>46</v>
      </c>
      <c r="H333" s="42" t="s">
        <v>80</v>
      </c>
      <c r="I333" s="43">
        <v>43252.0</v>
      </c>
      <c r="J333" s="29"/>
      <c r="K333" s="44">
        <v>44348.0</v>
      </c>
      <c r="L333" s="45">
        <v>3.0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46" t="s">
        <v>2896</v>
      </c>
      <c r="B334" s="47" t="s">
        <v>2897</v>
      </c>
      <c r="C334" s="47" t="s">
        <v>2898</v>
      </c>
      <c r="D334" s="47" t="s">
        <v>313</v>
      </c>
      <c r="E334" s="47" t="s">
        <v>21</v>
      </c>
      <c r="F334" s="42" t="s">
        <v>1979</v>
      </c>
      <c r="G334" s="42" t="s">
        <v>46</v>
      </c>
      <c r="H334" s="47" t="s">
        <v>324</v>
      </c>
      <c r="I334" s="43">
        <v>42887.0</v>
      </c>
      <c r="J334" s="29"/>
      <c r="K334" s="44">
        <v>43983.0</v>
      </c>
      <c r="L334" s="45">
        <v>3.0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41" t="s">
        <v>2901</v>
      </c>
      <c r="B335" s="42" t="s">
        <v>1251</v>
      </c>
      <c r="C335" s="42" t="s">
        <v>683</v>
      </c>
      <c r="D335" s="42" t="s">
        <v>348</v>
      </c>
      <c r="E335" s="42" t="s">
        <v>21</v>
      </c>
      <c r="F335" s="42" t="s">
        <v>1794</v>
      </c>
      <c r="G335" s="42" t="s">
        <v>23</v>
      </c>
      <c r="H335" s="42" t="s">
        <v>119</v>
      </c>
      <c r="I335" s="43">
        <v>43617.0</v>
      </c>
      <c r="J335" s="29"/>
      <c r="K335" s="44">
        <v>44713.0</v>
      </c>
      <c r="L335" s="42">
        <v>3.0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41" t="s">
        <v>1909</v>
      </c>
      <c r="B336" s="42" t="s">
        <v>2904</v>
      </c>
      <c r="C336" s="42" t="s">
        <v>2906</v>
      </c>
      <c r="D336" s="42" t="s">
        <v>78</v>
      </c>
      <c r="E336" s="42" t="s">
        <v>21</v>
      </c>
      <c r="F336" s="42" t="s">
        <v>1809</v>
      </c>
      <c r="G336" s="42" t="s">
        <v>23</v>
      </c>
      <c r="H336" s="42" t="s">
        <v>434</v>
      </c>
      <c r="I336" s="43">
        <v>43617.0</v>
      </c>
      <c r="J336" s="29"/>
      <c r="K336" s="44">
        <v>44713.0</v>
      </c>
      <c r="L336" s="42">
        <v>3.0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46" t="s">
        <v>2909</v>
      </c>
      <c r="B337" s="47" t="s">
        <v>2414</v>
      </c>
      <c r="C337" s="47" t="s">
        <v>363</v>
      </c>
      <c r="D337" s="47" t="s">
        <v>143</v>
      </c>
      <c r="E337" s="47" t="s">
        <v>21</v>
      </c>
      <c r="F337" s="42" t="s">
        <v>1989</v>
      </c>
      <c r="G337" s="42" t="s">
        <v>46</v>
      </c>
      <c r="H337" s="47" t="s">
        <v>135</v>
      </c>
      <c r="I337" s="43">
        <v>43252.0</v>
      </c>
      <c r="J337" s="43">
        <v>44348.0</v>
      </c>
      <c r="K337" s="44">
        <v>45444.0</v>
      </c>
      <c r="L337" s="45">
        <v>4.0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41" t="s">
        <v>2912</v>
      </c>
      <c r="B338" s="42" t="s">
        <v>2913</v>
      </c>
      <c r="C338" s="42" t="s">
        <v>254</v>
      </c>
      <c r="D338" s="42" t="s">
        <v>143</v>
      </c>
      <c r="E338" s="42" t="s">
        <v>21</v>
      </c>
      <c r="F338" s="42" t="s">
        <v>1926</v>
      </c>
      <c r="G338" s="42" t="s">
        <v>36</v>
      </c>
      <c r="H338" s="42" t="s">
        <v>126</v>
      </c>
      <c r="I338" s="43">
        <v>43617.0</v>
      </c>
      <c r="J338" s="43">
        <v>44713.0</v>
      </c>
      <c r="K338" s="44">
        <v>45809.0</v>
      </c>
      <c r="L338" s="42">
        <v>4.0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41" t="s">
        <v>2914</v>
      </c>
      <c r="B339" s="42" t="s">
        <v>117</v>
      </c>
      <c r="C339" s="42" t="s">
        <v>1373</v>
      </c>
      <c r="D339" s="42" t="s">
        <v>317</v>
      </c>
      <c r="E339" s="42" t="s">
        <v>21</v>
      </c>
      <c r="F339" s="42" t="s">
        <v>1823</v>
      </c>
      <c r="G339" s="42" t="s">
        <v>46</v>
      </c>
      <c r="H339" s="42" t="s">
        <v>425</v>
      </c>
      <c r="I339" s="43">
        <v>43252.0</v>
      </c>
      <c r="J339" s="29"/>
      <c r="K339" s="44">
        <v>44348.0</v>
      </c>
      <c r="L339" s="45">
        <v>3.0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41" t="s">
        <v>1460</v>
      </c>
      <c r="B340" s="42" t="s">
        <v>2917</v>
      </c>
      <c r="C340" s="42" t="s">
        <v>2918</v>
      </c>
      <c r="D340" s="42" t="s">
        <v>44</v>
      </c>
      <c r="E340" s="42" t="s">
        <v>21</v>
      </c>
      <c r="F340" s="42" t="s">
        <v>1964</v>
      </c>
      <c r="G340" s="42" t="s">
        <v>23</v>
      </c>
      <c r="H340" s="42" t="s">
        <v>397</v>
      </c>
      <c r="I340" s="43">
        <v>43617.0</v>
      </c>
      <c r="J340" s="29"/>
      <c r="K340" s="44">
        <v>44713.0</v>
      </c>
      <c r="L340" s="42">
        <v>3.0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41" t="s">
        <v>2921</v>
      </c>
      <c r="B341" s="42" t="s">
        <v>2922</v>
      </c>
      <c r="C341" s="42" t="s">
        <v>2923</v>
      </c>
      <c r="D341" s="42" t="s">
        <v>458</v>
      </c>
      <c r="E341" s="42" t="s">
        <v>21</v>
      </c>
      <c r="F341" s="42" t="s">
        <v>1933</v>
      </c>
      <c r="G341" s="42" t="s">
        <v>23</v>
      </c>
      <c r="H341" s="42" t="s">
        <v>237</v>
      </c>
      <c r="I341" s="43">
        <v>42887.0</v>
      </c>
      <c r="J341" s="29"/>
      <c r="K341" s="44">
        <v>43983.0</v>
      </c>
      <c r="L341" s="45">
        <v>3.0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41" t="s">
        <v>2925</v>
      </c>
      <c r="B342" s="42" t="s">
        <v>2926</v>
      </c>
      <c r="C342" s="42" t="s">
        <v>672</v>
      </c>
      <c r="D342" s="42" t="s">
        <v>143</v>
      </c>
      <c r="E342" s="42" t="s">
        <v>21</v>
      </c>
      <c r="F342" s="42" t="s">
        <v>1926</v>
      </c>
      <c r="G342" s="42" t="s">
        <v>137</v>
      </c>
      <c r="H342" s="42" t="s">
        <v>126</v>
      </c>
      <c r="I342" s="43">
        <v>43617.0</v>
      </c>
      <c r="J342" s="43">
        <v>44713.0</v>
      </c>
      <c r="K342" s="44">
        <v>45809.0</v>
      </c>
      <c r="L342" s="42">
        <v>4.0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41" t="s">
        <v>2929</v>
      </c>
      <c r="B343" s="42" t="s">
        <v>2344</v>
      </c>
      <c r="C343" s="42" t="s">
        <v>1330</v>
      </c>
      <c r="D343" s="42" t="s">
        <v>317</v>
      </c>
      <c r="E343" s="42" t="s">
        <v>21</v>
      </c>
      <c r="F343" s="42" t="s">
        <v>1794</v>
      </c>
      <c r="G343" s="42" t="s">
        <v>46</v>
      </c>
      <c r="H343" s="42" t="s">
        <v>119</v>
      </c>
      <c r="I343" s="43">
        <v>43617.0</v>
      </c>
      <c r="J343" s="29"/>
      <c r="K343" s="44">
        <v>44713.0</v>
      </c>
      <c r="L343" s="42">
        <v>3.0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41" t="s">
        <v>2931</v>
      </c>
      <c r="B344" s="42" t="s">
        <v>2932</v>
      </c>
      <c r="C344" s="42" t="s">
        <v>2933</v>
      </c>
      <c r="D344" s="42" t="s">
        <v>78</v>
      </c>
      <c r="E344" s="42" t="s">
        <v>21</v>
      </c>
      <c r="F344" s="42" t="s">
        <v>155</v>
      </c>
      <c r="G344" s="42" t="s">
        <v>909</v>
      </c>
      <c r="H344" s="42" t="s">
        <v>155</v>
      </c>
      <c r="I344" s="43">
        <v>43132.0</v>
      </c>
      <c r="J344" s="43">
        <v>44348.0</v>
      </c>
      <c r="K344" s="44">
        <v>45444.0</v>
      </c>
      <c r="L344" s="45">
        <v>4.0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41" t="s">
        <v>1976</v>
      </c>
      <c r="B345" s="42" t="s">
        <v>2935</v>
      </c>
      <c r="C345" s="42" t="s">
        <v>2644</v>
      </c>
      <c r="D345" s="42" t="s">
        <v>20</v>
      </c>
      <c r="E345" s="42" t="s">
        <v>21</v>
      </c>
      <c r="F345" s="42" t="s">
        <v>1823</v>
      </c>
      <c r="G345" s="42" t="s">
        <v>46</v>
      </c>
      <c r="H345" s="42" t="s">
        <v>328</v>
      </c>
      <c r="I345" s="43">
        <v>43252.0</v>
      </c>
      <c r="J345" s="29"/>
      <c r="K345" s="44">
        <v>44348.0</v>
      </c>
      <c r="L345" s="45">
        <v>3.0</v>
      </c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46" t="s">
        <v>1976</v>
      </c>
      <c r="B346" s="47" t="s">
        <v>2937</v>
      </c>
      <c r="C346" s="47" t="s">
        <v>1434</v>
      </c>
      <c r="D346" s="47" t="s">
        <v>78</v>
      </c>
      <c r="E346" s="47" t="s">
        <v>21</v>
      </c>
      <c r="F346" s="47" t="s">
        <v>1823</v>
      </c>
      <c r="G346" s="47" t="s">
        <v>23</v>
      </c>
      <c r="H346" s="47" t="s">
        <v>80</v>
      </c>
      <c r="I346" s="44">
        <v>43252.0</v>
      </c>
      <c r="J346" s="36"/>
      <c r="K346" s="44">
        <v>44348.0</v>
      </c>
      <c r="L346" s="45">
        <v>3.0</v>
      </c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41" t="s">
        <v>2938</v>
      </c>
      <c r="B347" s="42" t="s">
        <v>2280</v>
      </c>
      <c r="C347" s="42" t="s">
        <v>98</v>
      </c>
      <c r="D347" s="42" t="s">
        <v>44</v>
      </c>
      <c r="E347" s="42" t="s">
        <v>21</v>
      </c>
      <c r="F347" s="42" t="s">
        <v>1823</v>
      </c>
      <c r="G347" s="42" t="s">
        <v>23</v>
      </c>
      <c r="H347" s="42" t="s">
        <v>47</v>
      </c>
      <c r="I347" s="43">
        <v>43252.0</v>
      </c>
      <c r="J347" s="29"/>
      <c r="K347" s="44">
        <v>44348.0</v>
      </c>
      <c r="L347" s="45">
        <v>3.0</v>
      </c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41" t="s">
        <v>2941</v>
      </c>
      <c r="B348" s="42" t="s">
        <v>2084</v>
      </c>
      <c r="C348" s="42" t="s">
        <v>2942</v>
      </c>
      <c r="D348" s="42" t="s">
        <v>641</v>
      </c>
      <c r="E348" s="42" t="s">
        <v>21</v>
      </c>
      <c r="F348" s="42" t="s">
        <v>1794</v>
      </c>
      <c r="G348" s="42" t="s">
        <v>23</v>
      </c>
      <c r="H348" s="42" t="s">
        <v>37</v>
      </c>
      <c r="I348" s="43">
        <v>43617.0</v>
      </c>
      <c r="J348" s="29"/>
      <c r="K348" s="44">
        <v>44713.0</v>
      </c>
      <c r="L348" s="42">
        <v>3.0</v>
      </c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41" t="s">
        <v>2945</v>
      </c>
      <c r="B349" s="42" t="s">
        <v>2946</v>
      </c>
      <c r="C349" s="32"/>
      <c r="D349" s="42" t="s">
        <v>27</v>
      </c>
      <c r="E349" s="42" t="s">
        <v>27</v>
      </c>
      <c r="F349" s="42" t="s">
        <v>155</v>
      </c>
      <c r="G349" s="42" t="s">
        <v>247</v>
      </c>
      <c r="H349" s="42" t="s">
        <v>155</v>
      </c>
      <c r="I349" s="43">
        <v>43132.0</v>
      </c>
      <c r="J349" s="43">
        <v>44348.0</v>
      </c>
      <c r="K349" s="44">
        <v>45444.0</v>
      </c>
      <c r="L349" s="45">
        <v>4.0</v>
      </c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41" t="s">
        <v>2947</v>
      </c>
      <c r="B350" s="42" t="s">
        <v>2949</v>
      </c>
      <c r="C350" s="42" t="s">
        <v>2330</v>
      </c>
      <c r="D350" s="42" t="s">
        <v>512</v>
      </c>
      <c r="E350" s="42" t="s">
        <v>21</v>
      </c>
      <c r="F350" s="42" t="s">
        <v>103</v>
      </c>
      <c r="G350" s="42" t="s">
        <v>64</v>
      </c>
      <c r="H350" s="42" t="s">
        <v>103</v>
      </c>
      <c r="I350" s="43">
        <v>42401.0</v>
      </c>
      <c r="J350" s="29"/>
      <c r="K350" s="44">
        <v>44713.0</v>
      </c>
      <c r="L350" s="45">
        <v>3.0</v>
      </c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46" t="s">
        <v>2952</v>
      </c>
      <c r="B351" s="47" t="s">
        <v>1948</v>
      </c>
      <c r="C351" s="35"/>
      <c r="D351" s="47" t="s">
        <v>224</v>
      </c>
      <c r="E351" s="47" t="s">
        <v>21</v>
      </c>
      <c r="F351" s="42" t="s">
        <v>1823</v>
      </c>
      <c r="G351" s="42" t="s">
        <v>23</v>
      </c>
      <c r="H351" s="47" t="s">
        <v>225</v>
      </c>
      <c r="I351" s="43">
        <v>43252.0</v>
      </c>
      <c r="J351" s="29"/>
      <c r="K351" s="44">
        <v>44348.0</v>
      </c>
      <c r="L351" s="45">
        <v>3.0</v>
      </c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41" t="s">
        <v>2955</v>
      </c>
      <c r="B352" s="42" t="s">
        <v>2956</v>
      </c>
      <c r="C352" s="32"/>
      <c r="D352" s="42" t="s">
        <v>27</v>
      </c>
      <c r="E352" s="42" t="s">
        <v>21</v>
      </c>
      <c r="F352" s="42" t="s">
        <v>155</v>
      </c>
      <c r="G352" s="42" t="s">
        <v>571</v>
      </c>
      <c r="H352" s="42" t="s">
        <v>155</v>
      </c>
      <c r="I352" s="43">
        <v>43132.0</v>
      </c>
      <c r="J352" s="43">
        <v>44348.0</v>
      </c>
      <c r="K352" s="44">
        <v>45444.0</v>
      </c>
      <c r="L352" s="45">
        <v>4.0</v>
      </c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41" t="s">
        <v>2958</v>
      </c>
      <c r="B353" s="42" t="s">
        <v>1950</v>
      </c>
      <c r="C353" s="42" t="s">
        <v>2961</v>
      </c>
      <c r="D353" s="42" t="s">
        <v>143</v>
      </c>
      <c r="E353" s="42" t="s">
        <v>21</v>
      </c>
      <c r="F353" s="42" t="s">
        <v>1814</v>
      </c>
      <c r="G353" s="42" t="s">
        <v>137</v>
      </c>
      <c r="H353" s="42" t="s">
        <v>287</v>
      </c>
      <c r="I353" s="43">
        <v>42887.0</v>
      </c>
      <c r="J353" s="29"/>
      <c r="K353" s="44">
        <v>43983.0</v>
      </c>
      <c r="L353" s="45">
        <v>3.0</v>
      </c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41" t="s">
        <v>2964</v>
      </c>
      <c r="B354" s="42" t="s">
        <v>2591</v>
      </c>
      <c r="C354" s="42" t="s">
        <v>2966</v>
      </c>
      <c r="D354" s="42" t="s">
        <v>20</v>
      </c>
      <c r="E354" s="42" t="s">
        <v>21</v>
      </c>
      <c r="F354" s="42" t="s">
        <v>1794</v>
      </c>
      <c r="G354" s="42" t="s">
        <v>23</v>
      </c>
      <c r="H354" s="42" t="s">
        <v>241</v>
      </c>
      <c r="I354" s="43">
        <v>43617.0</v>
      </c>
      <c r="J354" s="29"/>
      <c r="K354" s="44">
        <v>44713.0</v>
      </c>
      <c r="L354" s="42">
        <v>3.0</v>
      </c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41" t="s">
        <v>2969</v>
      </c>
      <c r="B355" s="42" t="s">
        <v>2970</v>
      </c>
      <c r="C355" s="42" t="s">
        <v>1163</v>
      </c>
      <c r="D355" s="42" t="s">
        <v>420</v>
      </c>
      <c r="E355" s="42" t="s">
        <v>21</v>
      </c>
      <c r="F355" s="42" t="s">
        <v>1823</v>
      </c>
      <c r="G355" s="42" t="s">
        <v>46</v>
      </c>
      <c r="H355" s="42" t="s">
        <v>324</v>
      </c>
      <c r="I355" s="43">
        <v>43252.0</v>
      </c>
      <c r="J355" s="29"/>
      <c r="K355" s="44">
        <v>44348.0</v>
      </c>
      <c r="L355" s="45">
        <v>3.0</v>
      </c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41" t="s">
        <v>2972</v>
      </c>
      <c r="B356" s="42" t="s">
        <v>2182</v>
      </c>
      <c r="C356" s="42" t="s">
        <v>2973</v>
      </c>
      <c r="D356" s="42" t="s">
        <v>20</v>
      </c>
      <c r="E356" s="42" t="s">
        <v>21</v>
      </c>
      <c r="F356" s="42" t="s">
        <v>1809</v>
      </c>
      <c r="G356" s="42" t="s">
        <v>46</v>
      </c>
      <c r="H356" s="42" t="s">
        <v>152</v>
      </c>
      <c r="I356" s="43">
        <v>43617.0</v>
      </c>
      <c r="J356" s="29"/>
      <c r="K356" s="44">
        <v>44713.0</v>
      </c>
      <c r="L356" s="42">
        <v>3.0</v>
      </c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41" t="s">
        <v>2972</v>
      </c>
      <c r="B357" s="42" t="s">
        <v>2974</v>
      </c>
      <c r="C357" s="42" t="s">
        <v>2973</v>
      </c>
      <c r="D357" s="42" t="s">
        <v>20</v>
      </c>
      <c r="E357" s="42" t="s">
        <v>21</v>
      </c>
      <c r="F357" s="42" t="s">
        <v>1809</v>
      </c>
      <c r="G357" s="42" t="s">
        <v>46</v>
      </c>
      <c r="H357" s="42" t="s">
        <v>152</v>
      </c>
      <c r="I357" s="43">
        <v>43617.0</v>
      </c>
      <c r="J357" s="29"/>
      <c r="K357" s="44">
        <v>44713.0</v>
      </c>
      <c r="L357" s="42">
        <v>3.0</v>
      </c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41" t="s">
        <v>2976</v>
      </c>
      <c r="B358" s="42" t="s">
        <v>1974</v>
      </c>
      <c r="C358" s="42" t="s">
        <v>2977</v>
      </c>
      <c r="D358" s="42" t="s">
        <v>108</v>
      </c>
      <c r="E358" s="42" t="s">
        <v>21</v>
      </c>
      <c r="F358" s="42" t="s">
        <v>1809</v>
      </c>
      <c r="G358" s="42" t="s">
        <v>23</v>
      </c>
      <c r="H358" s="42" t="s">
        <v>110</v>
      </c>
      <c r="I358" s="43">
        <v>43617.0</v>
      </c>
      <c r="J358" s="29"/>
      <c r="K358" s="44">
        <v>44713.0</v>
      </c>
      <c r="L358" s="42">
        <v>3.0</v>
      </c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41" t="s">
        <v>2979</v>
      </c>
      <c r="B359" s="42" t="s">
        <v>2980</v>
      </c>
      <c r="C359" s="42" t="s">
        <v>523</v>
      </c>
      <c r="D359" s="42" t="s">
        <v>282</v>
      </c>
      <c r="E359" s="42" t="s">
        <v>21</v>
      </c>
      <c r="F359" s="42" t="s">
        <v>2472</v>
      </c>
      <c r="G359" s="42" t="s">
        <v>137</v>
      </c>
      <c r="H359" s="42" t="s">
        <v>135</v>
      </c>
      <c r="I359" s="43">
        <v>43252.0</v>
      </c>
      <c r="J359" s="43">
        <v>44348.0</v>
      </c>
      <c r="K359" s="44">
        <v>45444.0</v>
      </c>
      <c r="L359" s="45">
        <v>4.0</v>
      </c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41" t="s">
        <v>2983</v>
      </c>
      <c r="B360" s="42" t="s">
        <v>1398</v>
      </c>
      <c r="C360" s="42" t="s">
        <v>1188</v>
      </c>
      <c r="D360" s="42" t="s">
        <v>44</v>
      </c>
      <c r="E360" s="42" t="s">
        <v>21</v>
      </c>
      <c r="F360" s="42" t="s">
        <v>1819</v>
      </c>
      <c r="G360" s="42" t="s">
        <v>36</v>
      </c>
      <c r="H360" s="42" t="s">
        <v>211</v>
      </c>
      <c r="I360" s="43">
        <v>43252.0</v>
      </c>
      <c r="J360" s="29"/>
      <c r="K360" s="44">
        <v>44348.0</v>
      </c>
      <c r="L360" s="45">
        <v>3.0</v>
      </c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41" t="s">
        <v>2986</v>
      </c>
      <c r="B361" s="42" t="s">
        <v>2037</v>
      </c>
      <c r="C361" s="42" t="s">
        <v>1585</v>
      </c>
      <c r="D361" s="42" t="s">
        <v>108</v>
      </c>
      <c r="E361" s="42" t="s">
        <v>21</v>
      </c>
      <c r="F361" s="42" t="s">
        <v>1979</v>
      </c>
      <c r="G361" s="42" t="s">
        <v>23</v>
      </c>
      <c r="H361" s="42" t="s">
        <v>258</v>
      </c>
      <c r="I361" s="43">
        <v>42887.0</v>
      </c>
      <c r="J361" s="29"/>
      <c r="K361" s="44">
        <v>43983.0</v>
      </c>
      <c r="L361" s="45">
        <v>3.0</v>
      </c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41" t="s">
        <v>2988</v>
      </c>
      <c r="B362" s="42" t="s">
        <v>2989</v>
      </c>
      <c r="C362" s="42" t="s">
        <v>27</v>
      </c>
      <c r="D362" s="42" t="s">
        <v>27</v>
      </c>
      <c r="E362" s="42" t="s">
        <v>21</v>
      </c>
      <c r="F362" s="42" t="s">
        <v>155</v>
      </c>
      <c r="G362" s="42" t="s">
        <v>1645</v>
      </c>
      <c r="H362" s="42" t="s">
        <v>155</v>
      </c>
      <c r="I362" s="43">
        <v>43132.0</v>
      </c>
      <c r="J362" s="43">
        <v>44348.0</v>
      </c>
      <c r="K362" s="44">
        <v>45444.0</v>
      </c>
      <c r="L362" s="45">
        <v>4.0</v>
      </c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46" t="s">
        <v>2991</v>
      </c>
      <c r="B363" s="47" t="s">
        <v>2992</v>
      </c>
      <c r="C363" s="35"/>
      <c r="D363" s="47" t="s">
        <v>224</v>
      </c>
      <c r="E363" s="47" t="s">
        <v>21</v>
      </c>
      <c r="F363" s="47" t="s">
        <v>1823</v>
      </c>
      <c r="G363" s="47" t="s">
        <v>36</v>
      </c>
      <c r="H363" s="47" t="s">
        <v>225</v>
      </c>
      <c r="I363" s="44">
        <v>43252.0</v>
      </c>
      <c r="J363" s="36"/>
      <c r="K363" s="44">
        <v>44348.0</v>
      </c>
      <c r="L363" s="45">
        <v>3.0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41" t="s">
        <v>2995</v>
      </c>
      <c r="B364" s="42" t="s">
        <v>2128</v>
      </c>
      <c r="C364" s="42" t="s">
        <v>354</v>
      </c>
      <c r="D364" s="42" t="s">
        <v>118</v>
      </c>
      <c r="E364" s="42" t="s">
        <v>21</v>
      </c>
      <c r="F364" s="42" t="s">
        <v>1794</v>
      </c>
      <c r="G364" s="42" t="s">
        <v>36</v>
      </c>
      <c r="H364" s="42" t="s">
        <v>171</v>
      </c>
      <c r="I364" s="43">
        <v>43617.0</v>
      </c>
      <c r="J364" s="43">
        <v>44348.0</v>
      </c>
      <c r="K364" s="44">
        <v>45444.0</v>
      </c>
      <c r="L364" s="42">
        <v>4.0</v>
      </c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41" t="s">
        <v>2996</v>
      </c>
      <c r="B365" s="42" t="s">
        <v>2997</v>
      </c>
      <c r="C365" s="42" t="s">
        <v>480</v>
      </c>
      <c r="D365" s="42" t="s">
        <v>130</v>
      </c>
      <c r="E365" s="42" t="s">
        <v>21</v>
      </c>
      <c r="F365" s="42" t="s">
        <v>1794</v>
      </c>
      <c r="G365" s="42" t="s">
        <v>36</v>
      </c>
      <c r="H365" s="42" t="s">
        <v>152</v>
      </c>
      <c r="I365" s="43">
        <v>43617.0</v>
      </c>
      <c r="J365" s="29"/>
      <c r="K365" s="44">
        <v>44713.0</v>
      </c>
      <c r="L365" s="42">
        <v>3.0</v>
      </c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46" t="s">
        <v>2998</v>
      </c>
      <c r="B366" s="47" t="s">
        <v>1916</v>
      </c>
      <c r="C366" s="47" t="s">
        <v>834</v>
      </c>
      <c r="D366" s="47" t="s">
        <v>222</v>
      </c>
      <c r="E366" s="47" t="s">
        <v>21</v>
      </c>
      <c r="F366" s="42" t="s">
        <v>1794</v>
      </c>
      <c r="G366" s="42" t="s">
        <v>46</v>
      </c>
      <c r="H366" s="47" t="s">
        <v>241</v>
      </c>
      <c r="I366" s="43">
        <v>43617.0</v>
      </c>
      <c r="J366" s="29"/>
      <c r="K366" s="44">
        <v>44713.0</v>
      </c>
      <c r="L366" s="42">
        <v>3.0</v>
      </c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41" t="s">
        <v>2999</v>
      </c>
      <c r="B367" s="42" t="s">
        <v>2897</v>
      </c>
      <c r="C367" s="42" t="s">
        <v>2851</v>
      </c>
      <c r="D367" s="42" t="s">
        <v>282</v>
      </c>
      <c r="E367" s="42" t="s">
        <v>21</v>
      </c>
      <c r="F367" s="42" t="s">
        <v>2213</v>
      </c>
      <c r="G367" s="42" t="s">
        <v>23</v>
      </c>
      <c r="H367" s="42" t="s">
        <v>126</v>
      </c>
      <c r="I367" s="43">
        <v>43617.0</v>
      </c>
      <c r="J367" s="29"/>
      <c r="K367" s="44">
        <v>44713.0</v>
      </c>
      <c r="L367" s="42">
        <v>3.0</v>
      </c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41" t="s">
        <v>3000</v>
      </c>
      <c r="B368" s="42" t="s">
        <v>1886</v>
      </c>
      <c r="C368" s="42" t="s">
        <v>3001</v>
      </c>
      <c r="D368" s="42" t="s">
        <v>143</v>
      </c>
      <c r="E368" s="42" t="s">
        <v>21</v>
      </c>
      <c r="F368" s="42" t="s">
        <v>2158</v>
      </c>
      <c r="G368" s="42" t="s">
        <v>137</v>
      </c>
      <c r="H368" s="42" t="s">
        <v>135</v>
      </c>
      <c r="I368" s="43">
        <v>43252.0</v>
      </c>
      <c r="J368" s="29"/>
      <c r="K368" s="44">
        <v>44348.0</v>
      </c>
      <c r="L368" s="45">
        <v>3.0</v>
      </c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41" t="s">
        <v>3000</v>
      </c>
      <c r="B369" s="42" t="s">
        <v>3002</v>
      </c>
      <c r="C369" s="42" t="s">
        <v>2808</v>
      </c>
      <c r="D369" s="42" t="s">
        <v>143</v>
      </c>
      <c r="E369" s="42" t="s">
        <v>21</v>
      </c>
      <c r="F369" s="42" t="s">
        <v>2158</v>
      </c>
      <c r="G369" s="42" t="s">
        <v>137</v>
      </c>
      <c r="H369" s="42" t="s">
        <v>135</v>
      </c>
      <c r="I369" s="43">
        <v>43252.0</v>
      </c>
      <c r="J369" s="29"/>
      <c r="K369" s="44">
        <v>44348.0</v>
      </c>
      <c r="L369" s="45">
        <v>3.0</v>
      </c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41" t="s">
        <v>3003</v>
      </c>
      <c r="B370" s="42" t="s">
        <v>1913</v>
      </c>
      <c r="C370" s="42" t="s">
        <v>2716</v>
      </c>
      <c r="D370" s="42" t="s">
        <v>20</v>
      </c>
      <c r="E370" s="42" t="s">
        <v>21</v>
      </c>
      <c r="F370" s="42" t="s">
        <v>1823</v>
      </c>
      <c r="G370" s="42" t="s">
        <v>36</v>
      </c>
      <c r="H370" s="42" t="s">
        <v>72</v>
      </c>
      <c r="I370" s="43">
        <v>43252.0</v>
      </c>
      <c r="J370" s="29"/>
      <c r="K370" s="44">
        <v>44348.0</v>
      </c>
      <c r="L370" s="45">
        <v>3.0</v>
      </c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41" t="s">
        <v>3004</v>
      </c>
      <c r="B371" s="42" t="s">
        <v>1950</v>
      </c>
      <c r="C371" s="42" t="s">
        <v>228</v>
      </c>
      <c r="D371" s="42" t="s">
        <v>20</v>
      </c>
      <c r="E371" s="42" t="s">
        <v>21</v>
      </c>
      <c r="F371" s="42" t="s">
        <v>1964</v>
      </c>
      <c r="G371" s="42" t="s">
        <v>36</v>
      </c>
      <c r="H371" s="42" t="s">
        <v>233</v>
      </c>
      <c r="I371" s="43">
        <v>43617.0</v>
      </c>
      <c r="J371" s="29"/>
      <c r="K371" s="44">
        <v>44713.0</v>
      </c>
      <c r="L371" s="42">
        <v>3.0</v>
      </c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41" t="s">
        <v>3005</v>
      </c>
      <c r="B372" s="42" t="s">
        <v>3006</v>
      </c>
      <c r="C372" s="42" t="s">
        <v>3007</v>
      </c>
      <c r="D372" s="42" t="s">
        <v>641</v>
      </c>
      <c r="E372" s="42" t="s">
        <v>21</v>
      </c>
      <c r="F372" s="42" t="s">
        <v>1964</v>
      </c>
      <c r="G372" s="42" t="s">
        <v>36</v>
      </c>
      <c r="H372" s="42" t="s">
        <v>37</v>
      </c>
      <c r="I372" s="43">
        <v>43617.0</v>
      </c>
      <c r="J372" s="43">
        <v>44348.0</v>
      </c>
      <c r="K372" s="44">
        <v>45444.0</v>
      </c>
      <c r="L372" s="42">
        <v>4.0</v>
      </c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41" t="s">
        <v>3008</v>
      </c>
      <c r="B373" s="42" t="s">
        <v>2596</v>
      </c>
      <c r="C373" s="42" t="s">
        <v>2597</v>
      </c>
      <c r="D373" s="42" t="s">
        <v>282</v>
      </c>
      <c r="E373" s="42" t="s">
        <v>21</v>
      </c>
      <c r="F373" s="42" t="s">
        <v>1964</v>
      </c>
      <c r="G373" s="42" t="s">
        <v>23</v>
      </c>
      <c r="H373" s="42" t="s">
        <v>37</v>
      </c>
      <c r="I373" s="43">
        <v>43617.0</v>
      </c>
      <c r="J373" s="29"/>
      <c r="K373" s="44">
        <v>44713.0</v>
      </c>
      <c r="L373" s="42">
        <v>3.0</v>
      </c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41" t="s">
        <v>2877</v>
      </c>
      <c r="B374" s="42" t="s">
        <v>3009</v>
      </c>
      <c r="C374" s="42" t="s">
        <v>3010</v>
      </c>
      <c r="D374" s="42" t="s">
        <v>20</v>
      </c>
      <c r="E374" s="42" t="s">
        <v>21</v>
      </c>
      <c r="F374" s="42" t="s">
        <v>1809</v>
      </c>
      <c r="G374" s="42" t="s">
        <v>46</v>
      </c>
      <c r="H374" s="42" t="s">
        <v>119</v>
      </c>
      <c r="I374" s="43">
        <v>43617.0</v>
      </c>
      <c r="J374" s="29"/>
      <c r="K374" s="44">
        <v>44713.0</v>
      </c>
      <c r="L374" s="42">
        <v>3.0</v>
      </c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46" t="s">
        <v>3011</v>
      </c>
      <c r="B375" s="47" t="s">
        <v>1251</v>
      </c>
      <c r="C375" s="47" t="s">
        <v>2056</v>
      </c>
      <c r="D375" s="47" t="s">
        <v>1171</v>
      </c>
      <c r="E375" s="47" t="s">
        <v>21</v>
      </c>
      <c r="F375" s="42" t="s">
        <v>1794</v>
      </c>
      <c r="G375" s="42" t="s">
        <v>46</v>
      </c>
      <c r="H375" s="47" t="s">
        <v>233</v>
      </c>
      <c r="I375" s="43">
        <v>43617.0</v>
      </c>
      <c r="J375" s="29"/>
      <c r="K375" s="44">
        <v>44713.0</v>
      </c>
      <c r="L375" s="42">
        <v>3.0</v>
      </c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41" t="s">
        <v>3012</v>
      </c>
      <c r="B376" s="42" t="s">
        <v>554</v>
      </c>
      <c r="C376" s="42" t="s">
        <v>3013</v>
      </c>
      <c r="D376" s="42" t="s">
        <v>143</v>
      </c>
      <c r="E376" s="42" t="s">
        <v>21</v>
      </c>
      <c r="F376" s="42" t="s">
        <v>1800</v>
      </c>
      <c r="G376" s="42" t="s">
        <v>36</v>
      </c>
      <c r="H376" s="42" t="s">
        <v>207</v>
      </c>
      <c r="I376" s="43">
        <v>42887.0</v>
      </c>
      <c r="J376" s="29"/>
      <c r="K376" s="44">
        <v>43983.0</v>
      </c>
      <c r="L376" s="45">
        <v>3.0</v>
      </c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41" t="s">
        <v>2288</v>
      </c>
      <c r="B377" s="42" t="s">
        <v>1275</v>
      </c>
      <c r="C377" s="42" t="s">
        <v>1862</v>
      </c>
      <c r="D377" s="42" t="s">
        <v>222</v>
      </c>
      <c r="E377" s="42" t="s">
        <v>21</v>
      </c>
      <c r="F377" s="42" t="s">
        <v>1964</v>
      </c>
      <c r="G377" s="42" t="s">
        <v>36</v>
      </c>
      <c r="H377" s="42" t="s">
        <v>241</v>
      </c>
      <c r="I377" s="43">
        <v>43617.0</v>
      </c>
      <c r="J377" s="29"/>
      <c r="K377" s="44">
        <v>44713.0</v>
      </c>
      <c r="L377" s="42">
        <v>3.0</v>
      </c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41" t="s">
        <v>2288</v>
      </c>
      <c r="B378" s="42" t="s">
        <v>1974</v>
      </c>
      <c r="C378" s="42" t="s">
        <v>996</v>
      </c>
      <c r="D378" s="42" t="s">
        <v>130</v>
      </c>
      <c r="E378" s="42" t="s">
        <v>21</v>
      </c>
      <c r="F378" s="42" t="s">
        <v>1794</v>
      </c>
      <c r="G378" s="42" t="s">
        <v>36</v>
      </c>
      <c r="H378" s="42" t="s">
        <v>152</v>
      </c>
      <c r="I378" s="43">
        <v>43617.0</v>
      </c>
      <c r="J378" s="29"/>
      <c r="K378" s="44">
        <v>44713.0</v>
      </c>
      <c r="L378" s="42">
        <v>3.0</v>
      </c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41" t="s">
        <v>2308</v>
      </c>
      <c r="B379" s="42" t="s">
        <v>2492</v>
      </c>
      <c r="C379" s="42" t="s">
        <v>698</v>
      </c>
      <c r="D379" s="42" t="s">
        <v>20</v>
      </c>
      <c r="E379" s="42" t="s">
        <v>21</v>
      </c>
      <c r="F379" s="42" t="s">
        <v>2245</v>
      </c>
      <c r="G379" s="42" t="s">
        <v>23</v>
      </c>
      <c r="H379" s="42" t="s">
        <v>149</v>
      </c>
      <c r="I379" s="43">
        <v>42522.0</v>
      </c>
      <c r="J379" s="29"/>
      <c r="K379" s="44">
        <v>44713.0</v>
      </c>
      <c r="L379" s="45">
        <v>3.0</v>
      </c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41" t="s">
        <v>2308</v>
      </c>
      <c r="B380" s="42" t="s">
        <v>3014</v>
      </c>
      <c r="C380" s="42" t="s">
        <v>3015</v>
      </c>
      <c r="D380" s="42" t="s">
        <v>20</v>
      </c>
      <c r="E380" s="42" t="s">
        <v>21</v>
      </c>
      <c r="F380" s="42" t="s">
        <v>1809</v>
      </c>
      <c r="G380" s="42" t="s">
        <v>36</v>
      </c>
      <c r="H380" s="42" t="s">
        <v>152</v>
      </c>
      <c r="I380" s="43">
        <v>43617.0</v>
      </c>
      <c r="J380" s="29"/>
      <c r="K380" s="44">
        <v>44713.0</v>
      </c>
      <c r="L380" s="42">
        <v>3.0</v>
      </c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41" t="s">
        <v>2308</v>
      </c>
      <c r="B381" s="42" t="s">
        <v>2452</v>
      </c>
      <c r="C381" s="42" t="s">
        <v>1000</v>
      </c>
      <c r="D381" s="42" t="s">
        <v>183</v>
      </c>
      <c r="E381" s="42" t="s">
        <v>21</v>
      </c>
      <c r="F381" s="42" t="s">
        <v>495</v>
      </c>
      <c r="G381" s="42" t="s">
        <v>137</v>
      </c>
      <c r="H381" s="42" t="s">
        <v>126</v>
      </c>
      <c r="I381" s="43">
        <v>43617.0</v>
      </c>
      <c r="J381" s="29"/>
      <c r="K381" s="44">
        <v>44713.0</v>
      </c>
      <c r="L381" s="42">
        <v>3.0</v>
      </c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41" t="s">
        <v>3016</v>
      </c>
      <c r="B382" s="42" t="s">
        <v>3017</v>
      </c>
      <c r="C382" s="42" t="s">
        <v>751</v>
      </c>
      <c r="D382" s="42" t="s">
        <v>89</v>
      </c>
      <c r="E382" s="42" t="s">
        <v>21</v>
      </c>
      <c r="F382" s="42" t="s">
        <v>1926</v>
      </c>
      <c r="G382" s="42" t="s">
        <v>36</v>
      </c>
      <c r="H382" s="42" t="s">
        <v>126</v>
      </c>
      <c r="I382" s="43">
        <v>43617.0</v>
      </c>
      <c r="J382" s="43">
        <v>44713.0</v>
      </c>
      <c r="K382" s="44">
        <v>45809.0</v>
      </c>
      <c r="L382" s="42">
        <v>4.0</v>
      </c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41" t="s">
        <v>3018</v>
      </c>
      <c r="B383" s="42" t="s">
        <v>3019</v>
      </c>
      <c r="C383" s="42" t="s">
        <v>3020</v>
      </c>
      <c r="D383" s="42" t="s">
        <v>222</v>
      </c>
      <c r="E383" s="42" t="s">
        <v>21</v>
      </c>
      <c r="F383" s="42" t="s">
        <v>2004</v>
      </c>
      <c r="G383" s="42" t="s">
        <v>23</v>
      </c>
      <c r="H383" s="42" t="s">
        <v>149</v>
      </c>
      <c r="I383" s="43">
        <v>42522.0</v>
      </c>
      <c r="J383" s="29"/>
      <c r="K383" s="44">
        <v>44713.0</v>
      </c>
      <c r="L383" s="45">
        <v>3.0</v>
      </c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41" t="s">
        <v>3021</v>
      </c>
      <c r="B384" s="42" t="s">
        <v>1425</v>
      </c>
      <c r="C384" s="42" t="s">
        <v>2418</v>
      </c>
      <c r="D384" s="42" t="s">
        <v>143</v>
      </c>
      <c r="E384" s="42" t="s">
        <v>21</v>
      </c>
      <c r="F384" s="42" t="s">
        <v>1829</v>
      </c>
      <c r="G384" s="42" t="s">
        <v>46</v>
      </c>
      <c r="H384" s="42" t="s">
        <v>126</v>
      </c>
      <c r="I384" s="43">
        <v>43617.0</v>
      </c>
      <c r="J384" s="43">
        <v>44713.0</v>
      </c>
      <c r="K384" s="44">
        <v>45809.0</v>
      </c>
      <c r="L384" s="42">
        <v>4.0</v>
      </c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41" t="s">
        <v>3022</v>
      </c>
      <c r="B385" s="42" t="s">
        <v>2205</v>
      </c>
      <c r="C385" s="42" t="s">
        <v>243</v>
      </c>
      <c r="D385" s="42" t="s">
        <v>78</v>
      </c>
      <c r="E385" s="42" t="s">
        <v>21</v>
      </c>
      <c r="F385" s="42" t="s">
        <v>1809</v>
      </c>
      <c r="G385" s="42" t="s">
        <v>46</v>
      </c>
      <c r="H385" s="42" t="s">
        <v>434</v>
      </c>
      <c r="I385" s="43">
        <v>43617.0</v>
      </c>
      <c r="J385" s="29"/>
      <c r="K385" s="44">
        <v>44713.0</v>
      </c>
      <c r="L385" s="42">
        <v>3.0</v>
      </c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41" t="s">
        <v>3023</v>
      </c>
      <c r="B386" s="42" t="s">
        <v>1425</v>
      </c>
      <c r="C386" s="42" t="s">
        <v>1957</v>
      </c>
      <c r="D386" s="42" t="s">
        <v>20</v>
      </c>
      <c r="E386" s="42" t="s">
        <v>21</v>
      </c>
      <c r="F386" s="42" t="s">
        <v>1933</v>
      </c>
      <c r="G386" s="42" t="s">
        <v>23</v>
      </c>
      <c r="H386" s="42" t="s">
        <v>3024</v>
      </c>
      <c r="I386" s="43">
        <v>42887.0</v>
      </c>
      <c r="J386" s="29"/>
      <c r="K386" s="44">
        <v>43983.0</v>
      </c>
      <c r="L386" s="45">
        <v>3.0</v>
      </c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41" t="s">
        <v>1391</v>
      </c>
      <c r="B387" s="42" t="s">
        <v>3025</v>
      </c>
      <c r="C387" s="32"/>
      <c r="D387" s="42" t="s">
        <v>27</v>
      </c>
      <c r="E387" s="42" t="s">
        <v>21</v>
      </c>
      <c r="F387" s="42" t="s">
        <v>155</v>
      </c>
      <c r="G387" s="42" t="s">
        <v>114</v>
      </c>
      <c r="H387" s="42" t="s">
        <v>155</v>
      </c>
      <c r="I387" s="43">
        <v>43132.0</v>
      </c>
      <c r="J387" s="43">
        <v>44348.0</v>
      </c>
      <c r="K387" s="44">
        <v>45444.0</v>
      </c>
      <c r="L387" s="45">
        <v>4.0</v>
      </c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41" t="s">
        <v>1391</v>
      </c>
      <c r="B388" s="42" t="s">
        <v>2678</v>
      </c>
      <c r="C388" s="42" t="s">
        <v>1285</v>
      </c>
      <c r="D388" s="42" t="s">
        <v>55</v>
      </c>
      <c r="E388" s="42" t="s">
        <v>21</v>
      </c>
      <c r="F388" s="42" t="s">
        <v>1794</v>
      </c>
      <c r="G388" s="42" t="s">
        <v>46</v>
      </c>
      <c r="H388" s="42" t="s">
        <v>57</v>
      </c>
      <c r="I388" s="43">
        <v>43617.0</v>
      </c>
      <c r="J388" s="29"/>
      <c r="K388" s="44">
        <v>44713.0</v>
      </c>
      <c r="L388" s="42">
        <v>3.0</v>
      </c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41" t="s">
        <v>3026</v>
      </c>
      <c r="B389" s="42" t="s">
        <v>3027</v>
      </c>
      <c r="C389" s="42" t="s">
        <v>281</v>
      </c>
      <c r="D389" s="42" t="s">
        <v>282</v>
      </c>
      <c r="E389" s="42" t="s">
        <v>21</v>
      </c>
      <c r="F389" s="42" t="s">
        <v>1782</v>
      </c>
      <c r="G389" s="42" t="s">
        <v>137</v>
      </c>
      <c r="H389" s="42" t="s">
        <v>135</v>
      </c>
      <c r="I389" s="43">
        <v>43252.0</v>
      </c>
      <c r="J389" s="29"/>
      <c r="K389" s="44">
        <v>44348.0</v>
      </c>
      <c r="L389" s="45">
        <v>3.0</v>
      </c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41" t="s">
        <v>3028</v>
      </c>
      <c r="B390" s="42" t="s">
        <v>3029</v>
      </c>
      <c r="C390" s="42" t="s">
        <v>3030</v>
      </c>
      <c r="D390" s="42" t="s">
        <v>143</v>
      </c>
      <c r="E390" s="42" t="s">
        <v>21</v>
      </c>
      <c r="F390" s="42" t="s">
        <v>1829</v>
      </c>
      <c r="G390" s="42" t="s">
        <v>36</v>
      </c>
      <c r="H390" s="42" t="s">
        <v>126</v>
      </c>
      <c r="I390" s="43">
        <v>43617.0</v>
      </c>
      <c r="J390" s="43">
        <v>44713.0</v>
      </c>
      <c r="K390" s="44">
        <v>45809.0</v>
      </c>
      <c r="L390" s="42">
        <v>4.0</v>
      </c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41" t="s">
        <v>3031</v>
      </c>
      <c r="B391" s="42" t="s">
        <v>3029</v>
      </c>
      <c r="C391" s="42" t="s">
        <v>3030</v>
      </c>
      <c r="D391" s="42" t="s">
        <v>143</v>
      </c>
      <c r="E391" s="42" t="s">
        <v>21</v>
      </c>
      <c r="F391" s="42" t="s">
        <v>421</v>
      </c>
      <c r="G391" s="42" t="s">
        <v>36</v>
      </c>
      <c r="H391" s="42" t="s">
        <v>135</v>
      </c>
      <c r="I391" s="43">
        <v>43252.0</v>
      </c>
      <c r="J391" s="29"/>
      <c r="K391" s="44">
        <v>44348.0</v>
      </c>
      <c r="L391" s="45">
        <v>3.0</v>
      </c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41" t="s">
        <v>3032</v>
      </c>
      <c r="B392" s="42" t="s">
        <v>3033</v>
      </c>
      <c r="C392" s="42" t="s">
        <v>1262</v>
      </c>
      <c r="D392" s="42" t="s">
        <v>222</v>
      </c>
      <c r="E392" s="42" t="s">
        <v>21</v>
      </c>
      <c r="F392" s="42" t="s">
        <v>1819</v>
      </c>
      <c r="G392" s="42" t="s">
        <v>23</v>
      </c>
      <c r="H392" s="42" t="s">
        <v>975</v>
      </c>
      <c r="I392" s="43">
        <v>43252.0</v>
      </c>
      <c r="J392" s="43">
        <v>44348.0</v>
      </c>
      <c r="K392" s="44">
        <v>45444.0</v>
      </c>
      <c r="L392" s="45">
        <v>4.0</v>
      </c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41" t="s">
        <v>3034</v>
      </c>
      <c r="B393" s="42" t="s">
        <v>1956</v>
      </c>
      <c r="C393" s="42" t="s">
        <v>3035</v>
      </c>
      <c r="D393" s="42" t="s">
        <v>317</v>
      </c>
      <c r="E393" s="42" t="s">
        <v>21</v>
      </c>
      <c r="F393" s="42" t="s">
        <v>1823</v>
      </c>
      <c r="G393" s="42" t="s">
        <v>36</v>
      </c>
      <c r="H393" s="42" t="s">
        <v>425</v>
      </c>
      <c r="I393" s="43">
        <v>43252.0</v>
      </c>
      <c r="J393" s="29"/>
      <c r="K393" s="44">
        <v>44348.0</v>
      </c>
      <c r="L393" s="45">
        <v>3.0</v>
      </c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41" t="s">
        <v>3036</v>
      </c>
      <c r="B394" s="42" t="s">
        <v>3037</v>
      </c>
      <c r="C394" s="42" t="s">
        <v>3038</v>
      </c>
      <c r="D394" s="42" t="s">
        <v>282</v>
      </c>
      <c r="E394" s="42" t="s">
        <v>21</v>
      </c>
      <c r="F394" s="42" t="s">
        <v>2208</v>
      </c>
      <c r="G394" s="42" t="s">
        <v>23</v>
      </c>
      <c r="H394" s="42" t="s">
        <v>126</v>
      </c>
      <c r="I394" s="43">
        <v>43617.0</v>
      </c>
      <c r="J394" s="43">
        <v>44713.0</v>
      </c>
      <c r="K394" s="44">
        <v>45809.0</v>
      </c>
      <c r="L394" s="42">
        <v>4.0</v>
      </c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41" t="s">
        <v>3039</v>
      </c>
      <c r="B395" s="42" t="s">
        <v>1835</v>
      </c>
      <c r="C395" s="42" t="s">
        <v>3040</v>
      </c>
      <c r="D395" s="42" t="s">
        <v>222</v>
      </c>
      <c r="E395" s="42" t="s">
        <v>21</v>
      </c>
      <c r="F395" s="42" t="s">
        <v>1823</v>
      </c>
      <c r="G395" s="42" t="s">
        <v>23</v>
      </c>
      <c r="H395" s="42" t="s">
        <v>339</v>
      </c>
      <c r="I395" s="43">
        <v>43252.0</v>
      </c>
      <c r="J395" s="29"/>
      <c r="K395" s="44">
        <v>44348.0</v>
      </c>
      <c r="L395" s="45">
        <v>3.0</v>
      </c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41" t="s">
        <v>3041</v>
      </c>
      <c r="B396" s="42" t="s">
        <v>3042</v>
      </c>
      <c r="C396" s="32"/>
      <c r="D396" s="42" t="s">
        <v>27</v>
      </c>
      <c r="E396" s="42" t="s">
        <v>27</v>
      </c>
      <c r="F396" s="42" t="s">
        <v>445</v>
      </c>
      <c r="G396" s="42" t="s">
        <v>665</v>
      </c>
      <c r="H396" s="42" t="s">
        <v>445</v>
      </c>
      <c r="I396" s="43">
        <v>42765.0</v>
      </c>
      <c r="J396" s="43">
        <v>43983.0</v>
      </c>
      <c r="K396" s="44">
        <v>45078.0</v>
      </c>
      <c r="L396" s="45">
        <v>4.0</v>
      </c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41" t="s">
        <v>3043</v>
      </c>
      <c r="B397" s="42" t="s">
        <v>3044</v>
      </c>
      <c r="C397" s="32"/>
      <c r="D397" s="42" t="s">
        <v>27</v>
      </c>
      <c r="E397" s="42" t="s">
        <v>187</v>
      </c>
      <c r="F397" s="42" t="s">
        <v>2004</v>
      </c>
      <c r="G397" s="42" t="s">
        <v>46</v>
      </c>
      <c r="H397" s="42" t="s">
        <v>287</v>
      </c>
      <c r="I397" s="43">
        <v>42887.0</v>
      </c>
      <c r="J397" s="29"/>
      <c r="K397" s="44">
        <v>43983.0</v>
      </c>
      <c r="L397" s="45">
        <v>3.0</v>
      </c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41" t="s">
        <v>3045</v>
      </c>
      <c r="B398" s="42" t="s">
        <v>3046</v>
      </c>
      <c r="C398" s="42" t="s">
        <v>3047</v>
      </c>
      <c r="D398" s="42" t="s">
        <v>20</v>
      </c>
      <c r="E398" s="42" t="s">
        <v>21</v>
      </c>
      <c r="F398" s="42" t="s">
        <v>1794</v>
      </c>
      <c r="G398" s="42" t="s">
        <v>23</v>
      </c>
      <c r="H398" s="42" t="s">
        <v>233</v>
      </c>
      <c r="I398" s="43">
        <v>43617.0</v>
      </c>
      <c r="J398" s="29"/>
      <c r="K398" s="44">
        <v>44713.0</v>
      </c>
      <c r="L398" s="42">
        <v>3.0</v>
      </c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41" t="s">
        <v>2370</v>
      </c>
      <c r="B399" s="42" t="s">
        <v>3048</v>
      </c>
      <c r="C399" s="42" t="s">
        <v>2458</v>
      </c>
      <c r="D399" s="42" t="s">
        <v>44</v>
      </c>
      <c r="E399" s="42" t="s">
        <v>21</v>
      </c>
      <c r="F399" s="42" t="s">
        <v>1809</v>
      </c>
      <c r="G399" s="42" t="s">
        <v>46</v>
      </c>
      <c r="H399" s="42" t="s">
        <v>397</v>
      </c>
      <c r="I399" s="43">
        <v>43617.0</v>
      </c>
      <c r="J399" s="29"/>
      <c r="K399" s="44">
        <v>44713.0</v>
      </c>
      <c r="L399" s="42">
        <v>3.0</v>
      </c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41" t="s">
        <v>2463</v>
      </c>
      <c r="B400" s="42" t="s">
        <v>2817</v>
      </c>
      <c r="C400" s="42" t="s">
        <v>543</v>
      </c>
      <c r="D400" s="42" t="s">
        <v>108</v>
      </c>
      <c r="E400" s="42" t="s">
        <v>21</v>
      </c>
      <c r="F400" s="42" t="s">
        <v>1794</v>
      </c>
      <c r="G400" s="42" t="s">
        <v>36</v>
      </c>
      <c r="H400" s="42" t="s">
        <v>110</v>
      </c>
      <c r="I400" s="43">
        <v>43617.0</v>
      </c>
      <c r="J400" s="43">
        <v>43983.0</v>
      </c>
      <c r="K400" s="44">
        <v>45078.0</v>
      </c>
      <c r="L400" s="42">
        <v>4.0</v>
      </c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41" t="s">
        <v>3049</v>
      </c>
      <c r="B401" s="42" t="s">
        <v>3050</v>
      </c>
      <c r="C401" s="42" t="s">
        <v>3051</v>
      </c>
      <c r="D401" s="42" t="s">
        <v>44</v>
      </c>
      <c r="E401" s="42" t="s">
        <v>21</v>
      </c>
      <c r="F401" s="42" t="s">
        <v>1979</v>
      </c>
      <c r="G401" s="42" t="s">
        <v>23</v>
      </c>
      <c r="H401" s="42" t="s">
        <v>689</v>
      </c>
      <c r="I401" s="43">
        <v>42887.0</v>
      </c>
      <c r="J401" s="29"/>
      <c r="K401" s="44">
        <v>43983.0</v>
      </c>
      <c r="L401" s="45">
        <v>3.0</v>
      </c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41" t="s">
        <v>3052</v>
      </c>
      <c r="B402" s="42" t="s">
        <v>3053</v>
      </c>
      <c r="C402" s="42" t="s">
        <v>523</v>
      </c>
      <c r="D402" s="42" t="s">
        <v>282</v>
      </c>
      <c r="E402" s="42" t="s">
        <v>21</v>
      </c>
      <c r="F402" s="42" t="s">
        <v>2743</v>
      </c>
      <c r="G402" s="42" t="s">
        <v>46</v>
      </c>
      <c r="H402" s="42" t="s">
        <v>126</v>
      </c>
      <c r="I402" s="43">
        <v>43617.0</v>
      </c>
      <c r="J402" s="29"/>
      <c r="K402" s="44">
        <v>44713.0</v>
      </c>
      <c r="L402" s="42">
        <v>3.0</v>
      </c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41" t="s">
        <v>301</v>
      </c>
      <c r="B403" s="42" t="s">
        <v>2216</v>
      </c>
      <c r="C403" s="42" t="s">
        <v>985</v>
      </c>
      <c r="D403" s="42" t="s">
        <v>44</v>
      </c>
      <c r="E403" s="42" t="s">
        <v>21</v>
      </c>
      <c r="F403" s="42" t="s">
        <v>1819</v>
      </c>
      <c r="G403" s="42" t="s">
        <v>46</v>
      </c>
      <c r="H403" s="42" t="s">
        <v>425</v>
      </c>
      <c r="I403" s="43">
        <v>43252.0</v>
      </c>
      <c r="J403" s="43">
        <v>44348.0</v>
      </c>
      <c r="K403" s="44">
        <v>45444.0</v>
      </c>
      <c r="L403" s="45">
        <v>4.0</v>
      </c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46" t="s">
        <v>301</v>
      </c>
      <c r="B404" s="47" t="s">
        <v>2101</v>
      </c>
      <c r="C404" s="47" t="s">
        <v>3054</v>
      </c>
      <c r="D404" s="47" t="s">
        <v>78</v>
      </c>
      <c r="E404" s="47" t="s">
        <v>21</v>
      </c>
      <c r="F404" s="42" t="s">
        <v>290</v>
      </c>
      <c r="G404" s="42" t="s">
        <v>1645</v>
      </c>
      <c r="H404" s="47" t="s">
        <v>287</v>
      </c>
      <c r="I404" s="43">
        <v>42887.0</v>
      </c>
      <c r="J404" s="29"/>
      <c r="K404" s="44">
        <v>43983.0</v>
      </c>
      <c r="L404" s="45">
        <v>3.0</v>
      </c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41" t="s">
        <v>3055</v>
      </c>
      <c r="B405" s="42" t="s">
        <v>3056</v>
      </c>
      <c r="C405" s="42" t="s">
        <v>379</v>
      </c>
      <c r="D405" s="42" t="s">
        <v>94</v>
      </c>
      <c r="E405" s="42" t="s">
        <v>21</v>
      </c>
      <c r="F405" s="42" t="s">
        <v>1782</v>
      </c>
      <c r="G405" s="42" t="s">
        <v>23</v>
      </c>
      <c r="H405" s="42" t="s">
        <v>207</v>
      </c>
      <c r="I405" s="43">
        <v>42887.0</v>
      </c>
      <c r="J405" s="29"/>
      <c r="K405" s="44">
        <v>43983.0</v>
      </c>
      <c r="L405" s="45">
        <v>3.0</v>
      </c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41" t="s">
        <v>353</v>
      </c>
      <c r="B406" s="42" t="s">
        <v>2140</v>
      </c>
      <c r="C406" s="32"/>
      <c r="D406" s="42" t="s">
        <v>27</v>
      </c>
      <c r="E406" s="42" t="s">
        <v>27</v>
      </c>
      <c r="F406" s="42" t="s">
        <v>103</v>
      </c>
      <c r="G406" s="42" t="s">
        <v>64</v>
      </c>
      <c r="H406" s="42" t="s">
        <v>103</v>
      </c>
      <c r="I406" s="43">
        <v>42401.0</v>
      </c>
      <c r="J406" s="29"/>
      <c r="K406" s="44">
        <v>44713.0</v>
      </c>
      <c r="L406" s="45">
        <v>3.0</v>
      </c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41" t="s">
        <v>260</v>
      </c>
      <c r="B407" s="42" t="s">
        <v>3057</v>
      </c>
      <c r="C407" s="42" t="s">
        <v>552</v>
      </c>
      <c r="D407" s="42" t="s">
        <v>78</v>
      </c>
      <c r="E407" s="42" t="s">
        <v>21</v>
      </c>
      <c r="F407" s="42" t="s">
        <v>1823</v>
      </c>
      <c r="G407" s="42" t="s">
        <v>23</v>
      </c>
      <c r="H407" s="42" t="s">
        <v>975</v>
      </c>
      <c r="I407" s="43">
        <v>43252.0</v>
      </c>
      <c r="J407" s="43">
        <v>44348.0</v>
      </c>
      <c r="K407" s="44">
        <v>45444.0</v>
      </c>
      <c r="L407" s="45">
        <v>4.0</v>
      </c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41" t="s">
        <v>2533</v>
      </c>
      <c r="B408" s="42" t="s">
        <v>3058</v>
      </c>
      <c r="C408" s="42" t="s">
        <v>146</v>
      </c>
      <c r="D408" s="42" t="s">
        <v>94</v>
      </c>
      <c r="E408" s="42" t="s">
        <v>21</v>
      </c>
      <c r="F408" s="42" t="s">
        <v>837</v>
      </c>
      <c r="G408" s="42" t="s">
        <v>46</v>
      </c>
      <c r="H408" s="42" t="s">
        <v>149</v>
      </c>
      <c r="I408" s="43">
        <v>42522.0</v>
      </c>
      <c r="J408" s="29"/>
      <c r="K408" s="44">
        <v>44713.0</v>
      </c>
      <c r="L408" s="45">
        <v>3.0</v>
      </c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41" t="s">
        <v>2551</v>
      </c>
      <c r="B409" s="42" t="s">
        <v>3059</v>
      </c>
      <c r="C409" s="32"/>
      <c r="D409" s="32"/>
      <c r="E409" s="42" t="s">
        <v>124</v>
      </c>
      <c r="F409" s="42" t="s">
        <v>1908</v>
      </c>
      <c r="G409" s="42" t="s">
        <v>23</v>
      </c>
      <c r="H409" s="42" t="s">
        <v>126</v>
      </c>
      <c r="I409" s="43">
        <v>43617.0</v>
      </c>
      <c r="J409" s="29"/>
      <c r="K409" s="44">
        <v>44713.0</v>
      </c>
      <c r="L409" s="42">
        <v>3.0</v>
      </c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41" t="s">
        <v>2557</v>
      </c>
      <c r="B410" s="42" t="s">
        <v>2905</v>
      </c>
      <c r="C410" s="42" t="s">
        <v>2560</v>
      </c>
      <c r="D410" s="42" t="s">
        <v>428</v>
      </c>
      <c r="E410" s="42" t="s">
        <v>21</v>
      </c>
      <c r="F410" s="42" t="s">
        <v>1823</v>
      </c>
      <c r="G410" s="42" t="s">
        <v>46</v>
      </c>
      <c r="H410" s="42" t="s">
        <v>80</v>
      </c>
      <c r="I410" s="43">
        <v>43252.0</v>
      </c>
      <c r="J410" s="29"/>
      <c r="K410" s="44">
        <v>44348.0</v>
      </c>
      <c r="L410" s="45">
        <v>3.0</v>
      </c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41" t="s">
        <v>3060</v>
      </c>
      <c r="B411" s="42" t="s">
        <v>194</v>
      </c>
      <c r="C411" s="42" t="s">
        <v>652</v>
      </c>
      <c r="D411" s="42" t="s">
        <v>55</v>
      </c>
      <c r="E411" s="42" t="s">
        <v>21</v>
      </c>
      <c r="F411" s="42" t="s">
        <v>1933</v>
      </c>
      <c r="G411" s="42" t="s">
        <v>46</v>
      </c>
      <c r="H411" s="42" t="s">
        <v>582</v>
      </c>
      <c r="I411" s="43">
        <v>42887.0</v>
      </c>
      <c r="J411" s="29"/>
      <c r="K411" s="44">
        <v>43983.0</v>
      </c>
      <c r="L411" s="45">
        <v>3.0</v>
      </c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41" t="s">
        <v>3061</v>
      </c>
      <c r="B412" s="42" t="s">
        <v>3062</v>
      </c>
      <c r="C412" s="42" t="s">
        <v>3063</v>
      </c>
      <c r="D412" s="42" t="s">
        <v>20</v>
      </c>
      <c r="E412" s="42" t="s">
        <v>21</v>
      </c>
      <c r="F412" s="42" t="s">
        <v>1819</v>
      </c>
      <c r="G412" s="42" t="s">
        <v>46</v>
      </c>
      <c r="H412" s="42" t="s">
        <v>3064</v>
      </c>
      <c r="I412" s="43">
        <v>42887.0</v>
      </c>
      <c r="J412" s="29"/>
      <c r="K412" s="44">
        <v>43983.0</v>
      </c>
      <c r="L412" s="45">
        <v>3.0</v>
      </c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41" t="s">
        <v>3065</v>
      </c>
      <c r="B413" s="42" t="s">
        <v>3066</v>
      </c>
      <c r="C413" s="32"/>
      <c r="D413" s="32"/>
      <c r="E413" s="42" t="s">
        <v>3067</v>
      </c>
      <c r="F413" s="42" t="s">
        <v>2020</v>
      </c>
      <c r="G413" s="42" t="s">
        <v>46</v>
      </c>
      <c r="H413" s="42" t="s">
        <v>126</v>
      </c>
      <c r="I413" s="43">
        <v>43617.0</v>
      </c>
      <c r="J413" s="29"/>
      <c r="K413" s="44">
        <v>44713.0</v>
      </c>
      <c r="L413" s="42">
        <v>3.0</v>
      </c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41" t="s">
        <v>2605</v>
      </c>
      <c r="B414" s="42" t="s">
        <v>3068</v>
      </c>
      <c r="C414" s="42" t="s">
        <v>1640</v>
      </c>
      <c r="D414" s="42" t="s">
        <v>20</v>
      </c>
      <c r="E414" s="42" t="s">
        <v>21</v>
      </c>
      <c r="F414" s="42" t="s">
        <v>1794</v>
      </c>
      <c r="G414" s="42" t="s">
        <v>23</v>
      </c>
      <c r="H414" s="42" t="s">
        <v>241</v>
      </c>
      <c r="I414" s="43">
        <v>43617.0</v>
      </c>
      <c r="J414" s="29"/>
      <c r="K414" s="44">
        <v>44713.0</v>
      </c>
      <c r="L414" s="42">
        <v>3.0</v>
      </c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41" t="s">
        <v>3069</v>
      </c>
      <c r="B415" s="42" t="s">
        <v>2817</v>
      </c>
      <c r="C415" s="42" t="s">
        <v>2851</v>
      </c>
      <c r="D415" s="42" t="s">
        <v>282</v>
      </c>
      <c r="E415" s="42" t="s">
        <v>21</v>
      </c>
      <c r="F415" s="42" t="s">
        <v>1794</v>
      </c>
      <c r="G415" s="42" t="s">
        <v>36</v>
      </c>
      <c r="H415" s="42" t="s">
        <v>251</v>
      </c>
      <c r="I415" s="43">
        <v>43617.0</v>
      </c>
      <c r="J415" s="43">
        <v>44348.0</v>
      </c>
      <c r="K415" s="44">
        <v>45444.0</v>
      </c>
      <c r="L415" s="42">
        <v>4.0</v>
      </c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41" t="s">
        <v>3070</v>
      </c>
      <c r="B416" s="42" t="s">
        <v>3071</v>
      </c>
      <c r="C416" s="42" t="s">
        <v>3072</v>
      </c>
      <c r="D416" s="42" t="s">
        <v>222</v>
      </c>
      <c r="E416" s="42" t="s">
        <v>21</v>
      </c>
      <c r="F416" s="42" t="s">
        <v>1794</v>
      </c>
      <c r="G416" s="42" t="s">
        <v>46</v>
      </c>
      <c r="H416" s="42" t="s">
        <v>241</v>
      </c>
      <c r="I416" s="43">
        <v>43617.0</v>
      </c>
      <c r="J416" s="29"/>
      <c r="K416" s="44">
        <v>44713.0</v>
      </c>
      <c r="L416" s="42">
        <v>3.0</v>
      </c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46" t="s">
        <v>3073</v>
      </c>
      <c r="B417" s="47" t="s">
        <v>2970</v>
      </c>
      <c r="C417" s="35"/>
      <c r="D417" s="47" t="s">
        <v>27</v>
      </c>
      <c r="E417" s="47" t="s">
        <v>1558</v>
      </c>
      <c r="F417" s="47" t="s">
        <v>2035</v>
      </c>
      <c r="G417" s="47" t="s">
        <v>23</v>
      </c>
      <c r="H417" s="47" t="s">
        <v>287</v>
      </c>
      <c r="I417" s="44">
        <v>42887.0</v>
      </c>
      <c r="J417" s="36"/>
      <c r="K417" s="44">
        <v>43983.0</v>
      </c>
      <c r="L417" s="45">
        <v>3.0</v>
      </c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41" t="s">
        <v>3074</v>
      </c>
      <c r="B418" s="42" t="s">
        <v>3075</v>
      </c>
      <c r="C418" s="32"/>
      <c r="D418" s="42" t="s">
        <v>27</v>
      </c>
      <c r="E418" s="42" t="s">
        <v>1558</v>
      </c>
      <c r="F418" s="42" t="s">
        <v>2035</v>
      </c>
      <c r="G418" s="42" t="s">
        <v>23</v>
      </c>
      <c r="H418" s="42" t="s">
        <v>287</v>
      </c>
      <c r="I418" s="43">
        <v>42887.0</v>
      </c>
      <c r="J418" s="29"/>
      <c r="K418" s="44">
        <v>43983.0</v>
      </c>
      <c r="L418" s="45">
        <v>3.0</v>
      </c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41" t="s">
        <v>3076</v>
      </c>
      <c r="B419" s="42" t="s">
        <v>3077</v>
      </c>
      <c r="C419" s="42" t="s">
        <v>2805</v>
      </c>
      <c r="D419" s="42" t="s">
        <v>851</v>
      </c>
      <c r="E419" s="42" t="s">
        <v>21</v>
      </c>
      <c r="F419" s="42" t="s">
        <v>1979</v>
      </c>
      <c r="G419" s="42" t="s">
        <v>46</v>
      </c>
      <c r="H419" s="42" t="s">
        <v>582</v>
      </c>
      <c r="I419" s="43">
        <v>42887.0</v>
      </c>
      <c r="J419" s="29"/>
      <c r="K419" s="44">
        <v>43983.0</v>
      </c>
      <c r="L419" s="45">
        <v>3.0</v>
      </c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41" t="s">
        <v>2671</v>
      </c>
      <c r="B420" s="42" t="s">
        <v>3078</v>
      </c>
      <c r="C420" s="42" t="s">
        <v>840</v>
      </c>
      <c r="D420" s="42" t="s">
        <v>222</v>
      </c>
      <c r="E420" s="42" t="s">
        <v>21</v>
      </c>
      <c r="F420" s="42" t="s">
        <v>1819</v>
      </c>
      <c r="G420" s="42" t="s">
        <v>23</v>
      </c>
      <c r="H420" s="42" t="s">
        <v>339</v>
      </c>
      <c r="I420" s="43">
        <v>43252.0</v>
      </c>
      <c r="J420" s="29"/>
      <c r="K420" s="44">
        <v>44348.0</v>
      </c>
      <c r="L420" s="45">
        <v>3.0</v>
      </c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41" t="s">
        <v>3079</v>
      </c>
      <c r="B421" s="42" t="s">
        <v>3080</v>
      </c>
      <c r="C421" s="32"/>
      <c r="D421" s="42" t="s">
        <v>27</v>
      </c>
      <c r="E421" s="42" t="s">
        <v>27</v>
      </c>
      <c r="F421" s="42" t="s">
        <v>408</v>
      </c>
      <c r="G421" s="42" t="s">
        <v>3081</v>
      </c>
      <c r="H421" s="42" t="s">
        <v>408</v>
      </c>
      <c r="I421" s="43">
        <v>42772.0</v>
      </c>
      <c r="J421" s="43">
        <v>43983.0</v>
      </c>
      <c r="K421" s="44">
        <v>45078.0</v>
      </c>
      <c r="L421" s="45">
        <v>4.0</v>
      </c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41" t="s">
        <v>3082</v>
      </c>
      <c r="B422" s="42" t="s">
        <v>2041</v>
      </c>
      <c r="C422" s="42" t="s">
        <v>3083</v>
      </c>
      <c r="D422" s="42" t="s">
        <v>3084</v>
      </c>
      <c r="E422" s="42" t="s">
        <v>21</v>
      </c>
      <c r="F422" s="42" t="s">
        <v>1933</v>
      </c>
      <c r="G422" s="42" t="s">
        <v>23</v>
      </c>
      <c r="H422" s="42" t="s">
        <v>80</v>
      </c>
      <c r="I422" s="43">
        <v>43252.0</v>
      </c>
      <c r="J422" s="29"/>
      <c r="K422" s="44">
        <v>44348.0</v>
      </c>
      <c r="L422" s="45">
        <v>3.0</v>
      </c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41" t="s">
        <v>3085</v>
      </c>
      <c r="B423" s="42" t="s">
        <v>666</v>
      </c>
      <c r="C423" s="42" t="s">
        <v>3086</v>
      </c>
      <c r="D423" s="42" t="s">
        <v>224</v>
      </c>
      <c r="E423" s="42" t="s">
        <v>21</v>
      </c>
      <c r="F423" s="42" t="s">
        <v>155</v>
      </c>
      <c r="G423" s="42" t="s">
        <v>291</v>
      </c>
      <c r="H423" s="42" t="s">
        <v>155</v>
      </c>
      <c r="I423" s="43">
        <v>43132.0</v>
      </c>
      <c r="J423" s="43">
        <v>44348.0</v>
      </c>
      <c r="K423" s="44">
        <v>45444.0</v>
      </c>
      <c r="L423" s="45">
        <v>4.0</v>
      </c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41" t="s">
        <v>3087</v>
      </c>
      <c r="B424" s="42" t="s">
        <v>2935</v>
      </c>
      <c r="C424" s="42" t="s">
        <v>1753</v>
      </c>
      <c r="D424" s="42" t="s">
        <v>282</v>
      </c>
      <c r="E424" s="42" t="s">
        <v>21</v>
      </c>
      <c r="F424" s="42" t="s">
        <v>1823</v>
      </c>
      <c r="G424" s="42" t="s">
        <v>23</v>
      </c>
      <c r="H424" s="42" t="s">
        <v>255</v>
      </c>
      <c r="I424" s="43">
        <v>42887.0</v>
      </c>
      <c r="J424" s="29"/>
      <c r="K424" s="44">
        <v>43983.0</v>
      </c>
      <c r="L424" s="45">
        <v>3.0</v>
      </c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41" t="s">
        <v>2750</v>
      </c>
      <c r="B425" s="45" t="s">
        <v>1779</v>
      </c>
      <c r="C425" s="45" t="s">
        <v>2754</v>
      </c>
      <c r="D425" s="45" t="s">
        <v>94</v>
      </c>
      <c r="E425" s="42" t="s">
        <v>21</v>
      </c>
      <c r="F425" s="32"/>
      <c r="G425" s="32"/>
      <c r="H425" s="45" t="s">
        <v>913</v>
      </c>
      <c r="I425" s="43">
        <v>43252.0</v>
      </c>
      <c r="J425" s="29"/>
      <c r="K425" s="44">
        <v>44348.0</v>
      </c>
      <c r="L425" s="45">
        <v>3.0</v>
      </c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41" t="s">
        <v>2766</v>
      </c>
      <c r="B426" s="42" t="s">
        <v>2225</v>
      </c>
      <c r="C426" s="42" t="s">
        <v>2768</v>
      </c>
      <c r="D426" s="42" t="s">
        <v>108</v>
      </c>
      <c r="E426" s="42" t="s">
        <v>21</v>
      </c>
      <c r="F426" s="42" t="s">
        <v>1823</v>
      </c>
      <c r="G426" s="42" t="s">
        <v>36</v>
      </c>
      <c r="H426" s="42" t="s">
        <v>211</v>
      </c>
      <c r="I426" s="43">
        <v>43252.0</v>
      </c>
      <c r="J426" s="29"/>
      <c r="K426" s="44">
        <v>44348.0</v>
      </c>
      <c r="L426" s="45">
        <v>3.0</v>
      </c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41" t="s">
        <v>3088</v>
      </c>
      <c r="B427" s="42" t="s">
        <v>3089</v>
      </c>
      <c r="C427" s="32"/>
      <c r="D427" s="42" t="s">
        <v>27</v>
      </c>
      <c r="E427" s="42" t="s">
        <v>27</v>
      </c>
      <c r="F427" s="42" t="s">
        <v>155</v>
      </c>
      <c r="G427" s="42" t="s">
        <v>409</v>
      </c>
      <c r="H427" s="42" t="s">
        <v>155</v>
      </c>
      <c r="I427" s="43">
        <v>43132.0</v>
      </c>
      <c r="J427" s="43">
        <v>44348.0</v>
      </c>
      <c r="K427" s="44">
        <v>45444.0</v>
      </c>
      <c r="L427" s="45">
        <v>4.0</v>
      </c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41" t="s">
        <v>2644</v>
      </c>
      <c r="B428" s="42" t="s">
        <v>2094</v>
      </c>
      <c r="C428" s="42" t="s">
        <v>514</v>
      </c>
      <c r="D428" s="42" t="s">
        <v>78</v>
      </c>
      <c r="E428" s="42" t="s">
        <v>21</v>
      </c>
      <c r="F428" s="42" t="s">
        <v>1823</v>
      </c>
      <c r="G428" s="42" t="s">
        <v>36</v>
      </c>
      <c r="H428" s="42" t="s">
        <v>80</v>
      </c>
      <c r="I428" s="43">
        <v>43252.0</v>
      </c>
      <c r="J428" s="29"/>
      <c r="K428" s="44">
        <v>44348.0</v>
      </c>
      <c r="L428" s="45">
        <v>3.0</v>
      </c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41" t="s">
        <v>3090</v>
      </c>
      <c r="B429" s="42" t="s">
        <v>2386</v>
      </c>
      <c r="C429" s="42" t="s">
        <v>191</v>
      </c>
      <c r="D429" s="42" t="s">
        <v>44</v>
      </c>
      <c r="E429" s="42" t="s">
        <v>21</v>
      </c>
      <c r="F429" s="42" t="s">
        <v>1794</v>
      </c>
      <c r="G429" s="42" t="s">
        <v>23</v>
      </c>
      <c r="H429" s="42" t="s">
        <v>110</v>
      </c>
      <c r="I429" s="43">
        <v>43617.0</v>
      </c>
      <c r="J429" s="29"/>
      <c r="K429" s="44">
        <v>44713.0</v>
      </c>
      <c r="L429" s="42">
        <v>3.0</v>
      </c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41" t="s">
        <v>3091</v>
      </c>
      <c r="B430" s="42" t="s">
        <v>1907</v>
      </c>
      <c r="C430" s="42" t="s">
        <v>817</v>
      </c>
      <c r="D430" s="42" t="s">
        <v>44</v>
      </c>
      <c r="E430" s="42" t="s">
        <v>21</v>
      </c>
      <c r="F430" s="42" t="s">
        <v>2323</v>
      </c>
      <c r="G430" s="42" t="s">
        <v>137</v>
      </c>
      <c r="H430" s="42" t="s">
        <v>135</v>
      </c>
      <c r="I430" s="43">
        <v>43252.0</v>
      </c>
      <c r="J430" s="29"/>
      <c r="K430" s="44">
        <v>44348.0</v>
      </c>
      <c r="L430" s="45">
        <v>3.0</v>
      </c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41" t="s">
        <v>3092</v>
      </c>
      <c r="B431" s="42" t="s">
        <v>2128</v>
      </c>
      <c r="C431" s="42" t="s">
        <v>1138</v>
      </c>
      <c r="D431" s="42" t="s">
        <v>282</v>
      </c>
      <c r="E431" s="42" t="s">
        <v>21</v>
      </c>
      <c r="F431" s="42" t="s">
        <v>2208</v>
      </c>
      <c r="G431" s="42" t="s">
        <v>46</v>
      </c>
      <c r="H431" s="42" t="s">
        <v>126</v>
      </c>
      <c r="I431" s="43">
        <v>43617.0</v>
      </c>
      <c r="J431" s="43">
        <v>44713.0</v>
      </c>
      <c r="K431" s="44">
        <v>45809.0</v>
      </c>
      <c r="L431" s="42">
        <v>4.0</v>
      </c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41" t="s">
        <v>3093</v>
      </c>
      <c r="B432" s="42" t="s">
        <v>3094</v>
      </c>
      <c r="C432" s="42" t="s">
        <v>3095</v>
      </c>
      <c r="D432" s="42" t="s">
        <v>20</v>
      </c>
      <c r="E432" s="42" t="s">
        <v>21</v>
      </c>
      <c r="F432" s="42" t="s">
        <v>1794</v>
      </c>
      <c r="G432" s="42" t="s">
        <v>36</v>
      </c>
      <c r="H432" s="42" t="s">
        <v>233</v>
      </c>
      <c r="I432" s="43">
        <v>43617.0</v>
      </c>
      <c r="J432" s="29"/>
      <c r="K432" s="44">
        <v>44713.0</v>
      </c>
      <c r="L432" s="42">
        <v>3.0</v>
      </c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41" t="s">
        <v>2831</v>
      </c>
      <c r="B433" s="42" t="s">
        <v>3096</v>
      </c>
      <c r="C433" s="32"/>
      <c r="D433" s="42" t="s">
        <v>130</v>
      </c>
      <c r="E433" s="42" t="s">
        <v>21</v>
      </c>
      <c r="F433" s="42" t="s">
        <v>155</v>
      </c>
      <c r="G433" s="42" t="s">
        <v>137</v>
      </c>
      <c r="H433" s="42" t="s">
        <v>155</v>
      </c>
      <c r="I433" s="43">
        <v>43132.0</v>
      </c>
      <c r="J433" s="43">
        <v>44348.0</v>
      </c>
      <c r="K433" s="44">
        <v>45444.0</v>
      </c>
      <c r="L433" s="45">
        <v>4.0</v>
      </c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41" t="s">
        <v>3097</v>
      </c>
      <c r="B434" s="42" t="s">
        <v>375</v>
      </c>
      <c r="C434" s="42" t="s">
        <v>70</v>
      </c>
      <c r="D434" s="42" t="s">
        <v>27</v>
      </c>
      <c r="E434" s="42" t="s">
        <v>70</v>
      </c>
      <c r="F434" s="42" t="s">
        <v>370</v>
      </c>
      <c r="G434" s="42" t="s">
        <v>3098</v>
      </c>
      <c r="H434" s="42" t="s">
        <v>370</v>
      </c>
      <c r="I434" s="43">
        <v>43132.0</v>
      </c>
      <c r="J434" s="43">
        <v>44348.0</v>
      </c>
      <c r="K434" s="44">
        <v>45444.0</v>
      </c>
      <c r="L434" s="45">
        <v>4.0</v>
      </c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41" t="s">
        <v>2849</v>
      </c>
      <c r="B435" s="42" t="s">
        <v>3099</v>
      </c>
      <c r="C435" s="42" t="s">
        <v>3100</v>
      </c>
      <c r="D435" s="42" t="s">
        <v>282</v>
      </c>
      <c r="E435" s="42" t="s">
        <v>21</v>
      </c>
      <c r="F435" s="42" t="s">
        <v>1823</v>
      </c>
      <c r="G435" s="42" t="s">
        <v>23</v>
      </c>
      <c r="H435" s="42" t="s">
        <v>255</v>
      </c>
      <c r="I435" s="43">
        <v>42887.0</v>
      </c>
      <c r="J435" s="29"/>
      <c r="K435" s="44">
        <v>43983.0</v>
      </c>
      <c r="L435" s="45">
        <v>3.0</v>
      </c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41" t="s">
        <v>2849</v>
      </c>
      <c r="B436" s="42" t="s">
        <v>2390</v>
      </c>
      <c r="C436" s="42" t="s">
        <v>1898</v>
      </c>
      <c r="D436" s="42" t="s">
        <v>222</v>
      </c>
      <c r="E436" s="42" t="s">
        <v>21</v>
      </c>
      <c r="F436" s="42" t="s">
        <v>638</v>
      </c>
      <c r="G436" s="42" t="s">
        <v>1273</v>
      </c>
      <c r="H436" s="42" t="s">
        <v>207</v>
      </c>
      <c r="I436" s="43">
        <v>42887.0</v>
      </c>
      <c r="J436" s="29"/>
      <c r="K436" s="44">
        <v>43983.0</v>
      </c>
      <c r="L436" s="45">
        <v>3.0</v>
      </c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41" t="s">
        <v>3101</v>
      </c>
      <c r="B437" s="42" t="s">
        <v>2956</v>
      </c>
      <c r="C437" s="42" t="s">
        <v>743</v>
      </c>
      <c r="D437" s="42" t="s">
        <v>118</v>
      </c>
      <c r="E437" s="42" t="s">
        <v>21</v>
      </c>
      <c r="F437" s="42" t="s">
        <v>1794</v>
      </c>
      <c r="G437" s="42" t="s">
        <v>36</v>
      </c>
      <c r="H437" s="42" t="s">
        <v>171</v>
      </c>
      <c r="I437" s="43">
        <v>43617.0</v>
      </c>
      <c r="J437" s="29"/>
      <c r="K437" s="44">
        <v>44713.0</v>
      </c>
      <c r="L437" s="42">
        <v>3.0</v>
      </c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41" t="s">
        <v>3102</v>
      </c>
      <c r="B438" s="42" t="s">
        <v>2171</v>
      </c>
      <c r="C438" s="42" t="s">
        <v>1512</v>
      </c>
      <c r="D438" s="42" t="s">
        <v>108</v>
      </c>
      <c r="E438" s="42" t="s">
        <v>21</v>
      </c>
      <c r="F438" s="42" t="s">
        <v>1964</v>
      </c>
      <c r="G438" s="42" t="s">
        <v>23</v>
      </c>
      <c r="H438" s="42" t="s">
        <v>110</v>
      </c>
      <c r="I438" s="43">
        <v>43617.0</v>
      </c>
      <c r="J438" s="29"/>
      <c r="K438" s="44">
        <v>44713.0</v>
      </c>
      <c r="L438" s="42">
        <v>3.0</v>
      </c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41" t="s">
        <v>3103</v>
      </c>
      <c r="B439" s="42" t="s">
        <v>1841</v>
      </c>
      <c r="C439" s="42" t="s">
        <v>3104</v>
      </c>
      <c r="D439" s="42" t="s">
        <v>78</v>
      </c>
      <c r="E439" s="42" t="s">
        <v>21</v>
      </c>
      <c r="F439" s="42" t="s">
        <v>1809</v>
      </c>
      <c r="G439" s="42" t="s">
        <v>23</v>
      </c>
      <c r="H439" s="42" t="s">
        <v>434</v>
      </c>
      <c r="I439" s="43">
        <v>43617.0</v>
      </c>
      <c r="J439" s="29"/>
      <c r="K439" s="44">
        <v>44713.0</v>
      </c>
      <c r="L439" s="42">
        <v>3.0</v>
      </c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41" t="s">
        <v>3105</v>
      </c>
      <c r="B440" s="42" t="s">
        <v>3106</v>
      </c>
      <c r="C440" s="32"/>
      <c r="D440" s="42" t="s">
        <v>27</v>
      </c>
      <c r="E440" s="42" t="s">
        <v>27</v>
      </c>
      <c r="F440" s="42" t="s">
        <v>408</v>
      </c>
      <c r="G440" s="42" t="s">
        <v>3107</v>
      </c>
      <c r="H440" s="42" t="s">
        <v>408</v>
      </c>
      <c r="I440" s="43">
        <v>42772.0</v>
      </c>
      <c r="J440" s="43">
        <v>43983.0</v>
      </c>
      <c r="K440" s="44">
        <v>45078.0</v>
      </c>
      <c r="L440" s="45">
        <v>4.0</v>
      </c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41" t="s">
        <v>3108</v>
      </c>
      <c r="B441" s="45" t="s">
        <v>2094</v>
      </c>
      <c r="C441" s="45" t="s">
        <v>514</v>
      </c>
      <c r="D441" s="45" t="s">
        <v>78</v>
      </c>
      <c r="E441" s="42" t="s">
        <v>21</v>
      </c>
      <c r="F441" s="32"/>
      <c r="G441" s="32"/>
      <c r="H441" s="45" t="s">
        <v>913</v>
      </c>
      <c r="I441" s="43">
        <v>43252.0</v>
      </c>
      <c r="J441" s="29"/>
      <c r="K441" s="44">
        <v>44348.0</v>
      </c>
      <c r="L441" s="45">
        <v>3.0</v>
      </c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41" t="s">
        <v>3109</v>
      </c>
      <c r="B442" s="42" t="s">
        <v>3110</v>
      </c>
      <c r="C442" s="42" t="s">
        <v>3111</v>
      </c>
      <c r="D442" s="42" t="s">
        <v>282</v>
      </c>
      <c r="E442" s="42" t="s">
        <v>21</v>
      </c>
      <c r="F442" s="42" t="s">
        <v>2472</v>
      </c>
      <c r="G442" s="42" t="s">
        <v>23</v>
      </c>
      <c r="H442" s="42" t="s">
        <v>135</v>
      </c>
      <c r="I442" s="43">
        <v>43252.0</v>
      </c>
      <c r="J442" s="43">
        <v>44348.0</v>
      </c>
      <c r="K442" s="44">
        <v>45444.0</v>
      </c>
      <c r="L442" s="45">
        <v>4.0</v>
      </c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41" t="s">
        <v>2916</v>
      </c>
      <c r="B443" s="42" t="s">
        <v>3112</v>
      </c>
      <c r="C443" s="42" t="s">
        <v>236</v>
      </c>
      <c r="D443" s="42" t="s">
        <v>89</v>
      </c>
      <c r="E443" s="42" t="s">
        <v>21</v>
      </c>
      <c r="F443" s="42" t="s">
        <v>1809</v>
      </c>
      <c r="G443" s="42" t="s">
        <v>23</v>
      </c>
      <c r="H443" s="42" t="s">
        <v>171</v>
      </c>
      <c r="I443" s="43">
        <v>43617.0</v>
      </c>
      <c r="J443" s="29"/>
      <c r="K443" s="44">
        <v>44713.0</v>
      </c>
      <c r="L443" s="42">
        <v>3.0</v>
      </c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41" t="s">
        <v>3113</v>
      </c>
      <c r="B444" s="42" t="s">
        <v>2098</v>
      </c>
      <c r="C444" s="42" t="s">
        <v>3114</v>
      </c>
      <c r="D444" s="42" t="s">
        <v>143</v>
      </c>
      <c r="E444" s="42" t="s">
        <v>21</v>
      </c>
      <c r="F444" s="42" t="s">
        <v>144</v>
      </c>
      <c r="G444" s="42" t="s">
        <v>23</v>
      </c>
      <c r="H444" s="42" t="s">
        <v>135</v>
      </c>
      <c r="I444" s="43">
        <v>43252.0</v>
      </c>
      <c r="J444" s="29"/>
      <c r="K444" s="44">
        <v>44348.0</v>
      </c>
      <c r="L444" s="45">
        <v>3.0</v>
      </c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41" t="s">
        <v>3113</v>
      </c>
      <c r="B445" s="42" t="s">
        <v>3115</v>
      </c>
      <c r="C445" s="42" t="s">
        <v>3114</v>
      </c>
      <c r="D445" s="42" t="s">
        <v>143</v>
      </c>
      <c r="E445" s="42" t="s">
        <v>21</v>
      </c>
      <c r="F445" s="42" t="s">
        <v>2295</v>
      </c>
      <c r="G445" s="42" t="s">
        <v>137</v>
      </c>
      <c r="H445" s="42" t="s">
        <v>126</v>
      </c>
      <c r="I445" s="43">
        <v>43617.0</v>
      </c>
      <c r="J445" s="29"/>
      <c r="K445" s="44">
        <v>44713.0</v>
      </c>
      <c r="L445" s="42">
        <v>3.0</v>
      </c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41" t="s">
        <v>2936</v>
      </c>
      <c r="B446" s="42" t="s">
        <v>2437</v>
      </c>
      <c r="C446" s="32"/>
      <c r="D446" s="42" t="s">
        <v>27</v>
      </c>
      <c r="E446" s="42" t="s">
        <v>21</v>
      </c>
      <c r="F446" s="42" t="s">
        <v>155</v>
      </c>
      <c r="G446" s="42" t="s">
        <v>436</v>
      </c>
      <c r="H446" s="42" t="s">
        <v>155</v>
      </c>
      <c r="I446" s="43">
        <v>43132.0</v>
      </c>
      <c r="J446" s="43">
        <v>43983.0</v>
      </c>
      <c r="K446" s="44">
        <v>45078.0</v>
      </c>
      <c r="L446" s="45">
        <v>4.0</v>
      </c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46" t="s">
        <v>2936</v>
      </c>
      <c r="B447" s="47" t="s">
        <v>1948</v>
      </c>
      <c r="C447" s="47" t="s">
        <v>826</v>
      </c>
      <c r="D447" s="47" t="s">
        <v>641</v>
      </c>
      <c r="E447" s="47" t="s">
        <v>21</v>
      </c>
      <c r="F447" s="42" t="s">
        <v>1823</v>
      </c>
      <c r="G447" s="42" t="s">
        <v>36</v>
      </c>
      <c r="H447" s="47" t="s">
        <v>147</v>
      </c>
      <c r="I447" s="43">
        <v>42887.0</v>
      </c>
      <c r="J447" s="29"/>
      <c r="K447" s="44">
        <v>43983.0</v>
      </c>
      <c r="L447" s="45">
        <v>3.0</v>
      </c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41" t="s">
        <v>2936</v>
      </c>
      <c r="B448" s="42" t="s">
        <v>3057</v>
      </c>
      <c r="C448" s="42" t="s">
        <v>3116</v>
      </c>
      <c r="D448" s="42" t="s">
        <v>641</v>
      </c>
      <c r="E448" s="42" t="s">
        <v>21</v>
      </c>
      <c r="F448" s="42" t="s">
        <v>1823</v>
      </c>
      <c r="G448" s="42" t="s">
        <v>36</v>
      </c>
      <c r="H448" s="42" t="s">
        <v>147</v>
      </c>
      <c r="I448" s="43">
        <v>42887.0</v>
      </c>
      <c r="J448" s="29"/>
      <c r="K448" s="44">
        <v>43983.0</v>
      </c>
      <c r="L448" s="45">
        <v>3.0</v>
      </c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41" t="s">
        <v>3117</v>
      </c>
      <c r="B449" s="42" t="s">
        <v>2357</v>
      </c>
      <c r="C449" s="42" t="s">
        <v>191</v>
      </c>
      <c r="D449" s="42" t="s">
        <v>44</v>
      </c>
      <c r="E449" s="42" t="s">
        <v>21</v>
      </c>
      <c r="F449" s="42" t="s">
        <v>1794</v>
      </c>
      <c r="G449" s="42" t="s">
        <v>23</v>
      </c>
      <c r="H449" s="42" t="s">
        <v>171</v>
      </c>
      <c r="I449" s="43">
        <v>43617.0</v>
      </c>
      <c r="J449" s="29"/>
      <c r="K449" s="44">
        <v>44713.0</v>
      </c>
      <c r="L449" s="42">
        <v>3.0</v>
      </c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41" t="s">
        <v>3118</v>
      </c>
      <c r="B450" s="42" t="s">
        <v>194</v>
      </c>
      <c r="C450" s="42" t="s">
        <v>1000</v>
      </c>
      <c r="D450" s="42" t="s">
        <v>183</v>
      </c>
      <c r="E450" s="42" t="s">
        <v>21</v>
      </c>
      <c r="F450" s="42" t="s">
        <v>2327</v>
      </c>
      <c r="G450" s="42" t="s">
        <v>137</v>
      </c>
      <c r="H450" s="42" t="s">
        <v>126</v>
      </c>
      <c r="I450" s="43">
        <v>43617.0</v>
      </c>
      <c r="J450" s="43">
        <v>44713.0</v>
      </c>
      <c r="K450" s="44">
        <v>45809.0</v>
      </c>
      <c r="L450" s="42">
        <v>4.0</v>
      </c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41" t="s">
        <v>2967</v>
      </c>
      <c r="B451" s="42" t="s">
        <v>3058</v>
      </c>
      <c r="C451" s="42" t="s">
        <v>2493</v>
      </c>
      <c r="D451" s="42" t="s">
        <v>20</v>
      </c>
      <c r="E451" s="42" t="s">
        <v>21</v>
      </c>
      <c r="F451" s="42" t="s">
        <v>155</v>
      </c>
      <c r="G451" s="42" t="s">
        <v>854</v>
      </c>
      <c r="H451" s="42" t="s">
        <v>155</v>
      </c>
      <c r="I451" s="43">
        <v>43132.0</v>
      </c>
      <c r="J451" s="43">
        <v>44348.0</v>
      </c>
      <c r="K451" s="44">
        <v>45444.0</v>
      </c>
      <c r="L451" s="45">
        <v>4.0</v>
      </c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41" t="s">
        <v>2967</v>
      </c>
      <c r="B452" s="42" t="s">
        <v>1994</v>
      </c>
      <c r="C452" s="42" t="s">
        <v>2975</v>
      </c>
      <c r="D452" s="42" t="s">
        <v>130</v>
      </c>
      <c r="E452" s="42" t="s">
        <v>21</v>
      </c>
      <c r="F452" s="42" t="s">
        <v>1819</v>
      </c>
      <c r="G452" s="42" t="s">
        <v>23</v>
      </c>
      <c r="H452" s="42" t="s">
        <v>72</v>
      </c>
      <c r="I452" s="43">
        <v>43252.0</v>
      </c>
      <c r="J452" s="29"/>
      <c r="K452" s="44">
        <v>44348.0</v>
      </c>
      <c r="L452" s="45">
        <v>3.0</v>
      </c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41" t="s">
        <v>2967</v>
      </c>
      <c r="B453" s="42" t="s">
        <v>3119</v>
      </c>
      <c r="C453" s="42" t="s">
        <v>3120</v>
      </c>
      <c r="D453" s="42" t="s">
        <v>348</v>
      </c>
      <c r="E453" s="42" t="s">
        <v>21</v>
      </c>
      <c r="F453" s="42" t="s">
        <v>2049</v>
      </c>
      <c r="G453" s="42" t="s">
        <v>36</v>
      </c>
      <c r="H453" s="42" t="s">
        <v>207</v>
      </c>
      <c r="I453" s="43">
        <v>42887.0</v>
      </c>
      <c r="J453" s="29"/>
      <c r="K453" s="44">
        <v>43983.0</v>
      </c>
      <c r="L453" s="45">
        <v>3.0</v>
      </c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41" t="s">
        <v>3121</v>
      </c>
      <c r="B454" s="42" t="s">
        <v>2280</v>
      </c>
      <c r="C454" s="42" t="s">
        <v>1822</v>
      </c>
      <c r="D454" s="42" t="s">
        <v>2613</v>
      </c>
      <c r="E454" s="42" t="s">
        <v>21</v>
      </c>
      <c r="F454" s="42" t="s">
        <v>1782</v>
      </c>
      <c r="G454" s="42" t="s">
        <v>23</v>
      </c>
      <c r="H454" s="42" t="s">
        <v>135</v>
      </c>
      <c r="I454" s="43">
        <v>43252.0</v>
      </c>
      <c r="J454" s="29"/>
      <c r="K454" s="44">
        <v>44348.0</v>
      </c>
      <c r="L454" s="45">
        <v>3.0</v>
      </c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41" t="s">
        <v>3122</v>
      </c>
      <c r="B455" s="42" t="s">
        <v>1798</v>
      </c>
      <c r="C455" s="42" t="s">
        <v>3123</v>
      </c>
      <c r="D455" s="42" t="s">
        <v>348</v>
      </c>
      <c r="E455" s="42" t="s">
        <v>21</v>
      </c>
      <c r="F455" s="42" t="s">
        <v>2158</v>
      </c>
      <c r="G455" s="42" t="s">
        <v>23</v>
      </c>
      <c r="H455" s="42" t="s">
        <v>135</v>
      </c>
      <c r="I455" s="43">
        <v>43252.0</v>
      </c>
      <c r="J455" s="29"/>
      <c r="K455" s="44">
        <v>44348.0</v>
      </c>
      <c r="L455" s="45">
        <v>3.0</v>
      </c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22"/>
      <c r="B456" s="3"/>
      <c r="C456" s="3"/>
      <c r="D456" s="3"/>
      <c r="E456" s="51"/>
      <c r="F456" s="3"/>
      <c r="G456" s="3"/>
      <c r="H456" s="52"/>
      <c r="I456" s="53"/>
      <c r="J456" s="53"/>
      <c r="K456" s="18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22"/>
      <c r="B457" s="3"/>
      <c r="C457" s="3"/>
      <c r="D457" s="3"/>
      <c r="E457" s="51"/>
      <c r="F457" s="3"/>
      <c r="G457" s="3"/>
      <c r="H457" s="52"/>
      <c r="I457" s="53"/>
      <c r="J457" s="53"/>
      <c r="K457" s="18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22"/>
      <c r="B458" s="3"/>
      <c r="C458" s="3"/>
      <c r="D458" s="3"/>
      <c r="E458" s="51"/>
      <c r="F458" s="3"/>
      <c r="G458" s="3"/>
      <c r="H458" s="52"/>
      <c r="I458" s="53"/>
      <c r="J458" s="53"/>
      <c r="K458" s="18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22"/>
      <c r="B459" s="3"/>
      <c r="C459" s="3"/>
      <c r="D459" s="3"/>
      <c r="E459" s="3"/>
      <c r="F459" s="3"/>
      <c r="G459" s="3"/>
      <c r="H459" s="3"/>
      <c r="I459" s="2"/>
      <c r="J459" s="2"/>
      <c r="K459" s="2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22"/>
      <c r="B460" s="3"/>
      <c r="C460" s="3"/>
      <c r="D460" s="3"/>
      <c r="E460" s="3"/>
      <c r="F460" s="3"/>
      <c r="G460" s="3"/>
      <c r="H460" s="3"/>
      <c r="I460" s="2"/>
      <c r="J460" s="2"/>
      <c r="K460" s="2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22"/>
      <c r="B461" s="3"/>
      <c r="C461" s="3"/>
      <c r="D461" s="3"/>
      <c r="E461" s="3"/>
      <c r="F461" s="3"/>
      <c r="G461" s="3"/>
      <c r="H461" s="3"/>
      <c r="I461" s="2"/>
      <c r="J461" s="2"/>
      <c r="K461" s="2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22"/>
      <c r="B462" s="3"/>
      <c r="C462" s="3"/>
      <c r="D462" s="3"/>
      <c r="E462" s="3"/>
      <c r="F462" s="3"/>
      <c r="G462" s="3"/>
      <c r="H462" s="3"/>
      <c r="I462" s="2"/>
      <c r="J462" s="2"/>
      <c r="K462" s="2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22"/>
      <c r="B463" s="3"/>
      <c r="C463" s="3"/>
      <c r="D463" s="3"/>
      <c r="E463" s="3"/>
      <c r="F463" s="3"/>
      <c r="G463" s="3"/>
      <c r="H463" s="3"/>
      <c r="I463" s="2"/>
      <c r="J463" s="2"/>
      <c r="K463" s="2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22"/>
      <c r="B464" s="3"/>
      <c r="C464" s="3"/>
      <c r="D464" s="3"/>
      <c r="E464" s="3"/>
      <c r="F464" s="3"/>
      <c r="G464" s="3"/>
      <c r="H464" s="3"/>
      <c r="I464" s="2"/>
      <c r="J464" s="2"/>
      <c r="K464" s="2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22"/>
      <c r="B465" s="3"/>
      <c r="C465" s="3"/>
      <c r="D465" s="3"/>
      <c r="E465" s="3"/>
      <c r="F465" s="3"/>
      <c r="G465" s="3"/>
      <c r="H465" s="3"/>
      <c r="I465" s="2"/>
      <c r="J465" s="2"/>
      <c r="K465" s="2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22"/>
      <c r="B466" s="3"/>
      <c r="C466" s="3"/>
      <c r="D466" s="3"/>
      <c r="E466" s="3"/>
      <c r="F466" s="3"/>
      <c r="G466" s="3"/>
      <c r="H466" s="3"/>
      <c r="I466" s="2"/>
      <c r="J466" s="2"/>
      <c r="K466" s="2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22"/>
      <c r="B467" s="3"/>
      <c r="C467" s="3"/>
      <c r="D467" s="3"/>
      <c r="E467" s="3"/>
      <c r="F467" s="3"/>
      <c r="G467" s="3"/>
      <c r="H467" s="3"/>
      <c r="I467" s="2"/>
      <c r="J467" s="2"/>
      <c r="K467" s="2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22"/>
      <c r="B468" s="3"/>
      <c r="C468" s="3"/>
      <c r="D468" s="3"/>
      <c r="E468" s="3"/>
      <c r="F468" s="3"/>
      <c r="G468" s="3"/>
      <c r="H468" s="3"/>
      <c r="I468" s="2"/>
      <c r="J468" s="2"/>
      <c r="K468" s="2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22"/>
      <c r="B469" s="3"/>
      <c r="C469" s="3"/>
      <c r="D469" s="3"/>
      <c r="E469" s="3"/>
      <c r="F469" s="3"/>
      <c r="G469" s="3"/>
      <c r="H469" s="3"/>
      <c r="I469" s="2"/>
      <c r="J469" s="2"/>
      <c r="K469" s="2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22"/>
      <c r="B470" s="3"/>
      <c r="C470" s="3"/>
      <c r="D470" s="3"/>
      <c r="E470" s="3"/>
      <c r="F470" s="3"/>
      <c r="G470" s="3"/>
      <c r="H470" s="3"/>
      <c r="I470" s="2"/>
      <c r="J470" s="2"/>
      <c r="K470" s="2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22"/>
      <c r="B471" s="3"/>
      <c r="C471" s="3"/>
      <c r="D471" s="3"/>
      <c r="E471" s="3"/>
      <c r="F471" s="3"/>
      <c r="G471" s="3"/>
      <c r="H471" s="3"/>
      <c r="I471" s="2"/>
      <c r="J471" s="2"/>
      <c r="K471" s="2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22"/>
      <c r="B472" s="3"/>
      <c r="C472" s="3"/>
      <c r="D472" s="3"/>
      <c r="E472" s="3"/>
      <c r="F472" s="3"/>
      <c r="G472" s="3"/>
      <c r="H472" s="3"/>
      <c r="I472" s="2"/>
      <c r="J472" s="2"/>
      <c r="K472" s="2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22"/>
      <c r="B473" s="3"/>
      <c r="C473" s="3"/>
      <c r="D473" s="3"/>
      <c r="E473" s="3"/>
      <c r="F473" s="3"/>
      <c r="G473" s="3"/>
      <c r="H473" s="3"/>
      <c r="I473" s="2"/>
      <c r="J473" s="2"/>
      <c r="K473" s="2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22"/>
      <c r="B474" s="3"/>
      <c r="C474" s="3"/>
      <c r="D474" s="3"/>
      <c r="E474" s="3"/>
      <c r="F474" s="3"/>
      <c r="G474" s="3"/>
      <c r="H474" s="3"/>
      <c r="I474" s="2"/>
      <c r="J474" s="2"/>
      <c r="K474" s="2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22"/>
      <c r="B475" s="3"/>
      <c r="C475" s="3"/>
      <c r="D475" s="3"/>
      <c r="E475" s="3"/>
      <c r="F475" s="3"/>
      <c r="G475" s="3"/>
      <c r="H475" s="3"/>
      <c r="I475" s="2"/>
      <c r="J475" s="2"/>
      <c r="K475" s="2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22"/>
      <c r="B476" s="3"/>
      <c r="C476" s="3"/>
      <c r="D476" s="3"/>
      <c r="E476" s="3"/>
      <c r="F476" s="3"/>
      <c r="G476" s="3"/>
      <c r="H476" s="3"/>
      <c r="I476" s="2"/>
      <c r="J476" s="2"/>
      <c r="K476" s="2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22"/>
      <c r="B477" s="3"/>
      <c r="C477" s="3"/>
      <c r="D477" s="3"/>
      <c r="E477" s="3"/>
      <c r="F477" s="3"/>
      <c r="G477" s="3"/>
      <c r="H477" s="3"/>
      <c r="I477" s="2"/>
      <c r="J477" s="2"/>
      <c r="K477" s="2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22"/>
      <c r="B478" s="3"/>
      <c r="C478" s="3"/>
      <c r="D478" s="3"/>
      <c r="E478" s="3"/>
      <c r="F478" s="3"/>
      <c r="G478" s="3"/>
      <c r="H478" s="3"/>
      <c r="I478" s="2"/>
      <c r="J478" s="2"/>
      <c r="K478" s="2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22"/>
      <c r="B479" s="3"/>
      <c r="C479" s="3"/>
      <c r="D479" s="3"/>
      <c r="E479" s="3"/>
      <c r="F479" s="3"/>
      <c r="G479" s="3"/>
      <c r="H479" s="3"/>
      <c r="I479" s="2"/>
      <c r="J479" s="2"/>
      <c r="K479" s="2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22"/>
      <c r="B480" s="3"/>
      <c r="C480" s="3"/>
      <c r="D480" s="3"/>
      <c r="E480" s="3"/>
      <c r="F480" s="3"/>
      <c r="G480" s="3"/>
      <c r="H480" s="3"/>
      <c r="I480" s="2"/>
      <c r="J480" s="2"/>
      <c r="K480" s="2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22"/>
      <c r="B481" s="3"/>
      <c r="C481" s="3"/>
      <c r="D481" s="3"/>
      <c r="E481" s="3"/>
      <c r="F481" s="3"/>
      <c r="G481" s="3"/>
      <c r="H481" s="3"/>
      <c r="I481" s="2"/>
      <c r="J481" s="2"/>
      <c r="K481" s="2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22"/>
      <c r="B482" s="3"/>
      <c r="C482" s="3"/>
      <c r="D482" s="3"/>
      <c r="E482" s="3"/>
      <c r="F482" s="3"/>
      <c r="G482" s="3"/>
      <c r="H482" s="3"/>
      <c r="I482" s="2"/>
      <c r="J482" s="2"/>
      <c r="K482" s="2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22"/>
      <c r="B483" s="3"/>
      <c r="C483" s="3"/>
      <c r="D483" s="3"/>
      <c r="E483" s="3"/>
      <c r="F483" s="3"/>
      <c r="G483" s="3"/>
      <c r="H483" s="3"/>
      <c r="I483" s="2"/>
      <c r="J483" s="2"/>
      <c r="K483" s="2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22"/>
      <c r="B484" s="3"/>
      <c r="C484" s="3"/>
      <c r="D484" s="3"/>
      <c r="E484" s="3"/>
      <c r="F484" s="3"/>
      <c r="G484" s="3"/>
      <c r="H484" s="3"/>
      <c r="I484" s="2"/>
      <c r="J484" s="2"/>
      <c r="K484" s="2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22"/>
      <c r="B485" s="3"/>
      <c r="C485" s="3"/>
      <c r="D485" s="3"/>
      <c r="E485" s="3"/>
      <c r="F485" s="3"/>
      <c r="G485" s="3"/>
      <c r="H485" s="3"/>
      <c r="I485" s="2"/>
      <c r="J485" s="2"/>
      <c r="K485" s="2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22"/>
      <c r="B486" s="3"/>
      <c r="C486" s="3"/>
      <c r="D486" s="3"/>
      <c r="E486" s="3"/>
      <c r="F486" s="3"/>
      <c r="G486" s="3"/>
      <c r="H486" s="3"/>
      <c r="I486" s="2"/>
      <c r="J486" s="2"/>
      <c r="K486" s="2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22"/>
      <c r="B487" s="3"/>
      <c r="C487" s="3"/>
      <c r="D487" s="3"/>
      <c r="E487" s="3"/>
      <c r="F487" s="3"/>
      <c r="G487" s="3"/>
      <c r="H487" s="3"/>
      <c r="I487" s="2"/>
      <c r="J487" s="2"/>
      <c r="K487" s="2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22"/>
      <c r="B488" s="3"/>
      <c r="C488" s="3"/>
      <c r="D488" s="3"/>
      <c r="E488" s="3"/>
      <c r="F488" s="3"/>
      <c r="G488" s="3"/>
      <c r="H488" s="3"/>
      <c r="I488" s="2"/>
      <c r="J488" s="2"/>
      <c r="K488" s="2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22"/>
      <c r="B489" s="3"/>
      <c r="C489" s="3"/>
      <c r="D489" s="3"/>
      <c r="E489" s="3"/>
      <c r="F489" s="3"/>
      <c r="G489" s="3"/>
      <c r="H489" s="3"/>
      <c r="I489" s="2"/>
      <c r="J489" s="2"/>
      <c r="K489" s="2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22"/>
      <c r="B490" s="3"/>
      <c r="C490" s="3"/>
      <c r="D490" s="3"/>
      <c r="E490" s="3"/>
      <c r="F490" s="3"/>
      <c r="G490" s="3"/>
      <c r="H490" s="3"/>
      <c r="I490" s="2"/>
      <c r="J490" s="2"/>
      <c r="K490" s="2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22"/>
      <c r="B491" s="3"/>
      <c r="C491" s="3"/>
      <c r="D491" s="3"/>
      <c r="E491" s="3"/>
      <c r="F491" s="3"/>
      <c r="G491" s="3"/>
      <c r="H491" s="3"/>
      <c r="I491" s="2"/>
      <c r="J491" s="2"/>
      <c r="K491" s="2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22"/>
      <c r="B492" s="3"/>
      <c r="C492" s="3"/>
      <c r="D492" s="3"/>
      <c r="E492" s="3"/>
      <c r="F492" s="3"/>
      <c r="G492" s="3"/>
      <c r="H492" s="3"/>
      <c r="I492" s="2"/>
      <c r="J492" s="2"/>
      <c r="K492" s="2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22"/>
      <c r="B493" s="3"/>
      <c r="C493" s="3"/>
      <c r="D493" s="3"/>
      <c r="E493" s="3"/>
      <c r="F493" s="3"/>
      <c r="G493" s="3"/>
      <c r="H493" s="3"/>
      <c r="I493" s="2"/>
      <c r="J493" s="2"/>
      <c r="K493" s="2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22"/>
      <c r="B494" s="3"/>
      <c r="C494" s="3"/>
      <c r="D494" s="3"/>
      <c r="E494" s="3"/>
      <c r="F494" s="3"/>
      <c r="G494" s="3"/>
      <c r="H494" s="3"/>
      <c r="I494" s="2"/>
      <c r="J494" s="2"/>
      <c r="K494" s="2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22"/>
      <c r="B495" s="3"/>
      <c r="C495" s="3"/>
      <c r="D495" s="3"/>
      <c r="E495" s="3"/>
      <c r="F495" s="3"/>
      <c r="G495" s="3"/>
      <c r="H495" s="3"/>
      <c r="I495" s="2"/>
      <c r="J495" s="2"/>
      <c r="K495" s="2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22"/>
      <c r="B496" s="3"/>
      <c r="C496" s="3"/>
      <c r="D496" s="3"/>
      <c r="E496" s="3"/>
      <c r="F496" s="3"/>
      <c r="G496" s="3"/>
      <c r="H496" s="3"/>
      <c r="I496" s="2"/>
      <c r="J496" s="2"/>
      <c r="K496" s="2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22"/>
      <c r="B497" s="3"/>
      <c r="C497" s="3"/>
      <c r="D497" s="3"/>
      <c r="E497" s="3"/>
      <c r="F497" s="3"/>
      <c r="G497" s="3"/>
      <c r="H497" s="3"/>
      <c r="I497" s="2"/>
      <c r="J497" s="2"/>
      <c r="K497" s="2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22"/>
      <c r="B498" s="3"/>
      <c r="C498" s="3"/>
      <c r="D498" s="3"/>
      <c r="E498" s="3"/>
      <c r="F498" s="3"/>
      <c r="G498" s="3"/>
      <c r="H498" s="3"/>
      <c r="I498" s="2"/>
      <c r="J498" s="2"/>
      <c r="K498" s="2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22"/>
      <c r="B499" s="3"/>
      <c r="C499" s="3"/>
      <c r="D499" s="3"/>
      <c r="E499" s="3"/>
      <c r="F499" s="3"/>
      <c r="G499" s="3"/>
      <c r="H499" s="3"/>
      <c r="I499" s="2"/>
      <c r="J499" s="2"/>
      <c r="K499" s="2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22"/>
      <c r="B500" s="3"/>
      <c r="C500" s="3"/>
      <c r="D500" s="3"/>
      <c r="E500" s="3"/>
      <c r="F500" s="3"/>
      <c r="G500" s="3"/>
      <c r="H500" s="3"/>
      <c r="I500" s="2"/>
      <c r="J500" s="2"/>
      <c r="K500" s="2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22"/>
      <c r="B501" s="3"/>
      <c r="C501" s="3"/>
      <c r="D501" s="3"/>
      <c r="E501" s="3"/>
      <c r="F501" s="3"/>
      <c r="G501" s="3"/>
      <c r="H501" s="3"/>
      <c r="I501" s="2"/>
      <c r="J501" s="2"/>
      <c r="K501" s="2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22"/>
      <c r="B502" s="3"/>
      <c r="C502" s="3"/>
      <c r="D502" s="3"/>
      <c r="E502" s="3"/>
      <c r="F502" s="3"/>
      <c r="G502" s="3"/>
      <c r="H502" s="3"/>
      <c r="I502" s="2"/>
      <c r="J502" s="2"/>
      <c r="K502" s="2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22"/>
      <c r="B503" s="3"/>
      <c r="C503" s="3"/>
      <c r="D503" s="3"/>
      <c r="E503" s="3"/>
      <c r="F503" s="3"/>
      <c r="G503" s="3"/>
      <c r="H503" s="3"/>
      <c r="I503" s="2"/>
      <c r="J503" s="2"/>
      <c r="K503" s="2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22"/>
      <c r="B504" s="3"/>
      <c r="C504" s="3"/>
      <c r="D504" s="3"/>
      <c r="E504" s="3"/>
      <c r="F504" s="3"/>
      <c r="G504" s="3"/>
      <c r="H504" s="3"/>
      <c r="I504" s="2"/>
      <c r="J504" s="2"/>
      <c r="K504" s="2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22"/>
      <c r="B505" s="3"/>
      <c r="C505" s="3"/>
      <c r="D505" s="3"/>
      <c r="E505" s="3"/>
      <c r="F505" s="3"/>
      <c r="G505" s="3"/>
      <c r="H505" s="3"/>
      <c r="I505" s="2"/>
      <c r="J505" s="2"/>
      <c r="K505" s="2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22"/>
      <c r="B506" s="3"/>
      <c r="C506" s="3"/>
      <c r="D506" s="3"/>
      <c r="E506" s="3"/>
      <c r="F506" s="3"/>
      <c r="G506" s="3"/>
      <c r="H506" s="3"/>
      <c r="I506" s="2"/>
      <c r="J506" s="2"/>
      <c r="K506" s="2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22"/>
      <c r="B507" s="3"/>
      <c r="C507" s="3"/>
      <c r="D507" s="3"/>
      <c r="E507" s="3"/>
      <c r="F507" s="3"/>
      <c r="G507" s="3"/>
      <c r="H507" s="3"/>
      <c r="I507" s="2"/>
      <c r="J507" s="2"/>
      <c r="K507" s="2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22"/>
      <c r="B508" s="3"/>
      <c r="C508" s="3"/>
      <c r="D508" s="3"/>
      <c r="E508" s="3"/>
      <c r="F508" s="3"/>
      <c r="G508" s="3"/>
      <c r="H508" s="3"/>
      <c r="I508" s="2"/>
      <c r="J508" s="2"/>
      <c r="K508" s="2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22"/>
      <c r="B509" s="3"/>
      <c r="C509" s="3"/>
      <c r="D509" s="3"/>
      <c r="E509" s="3"/>
      <c r="F509" s="3"/>
      <c r="G509" s="3"/>
      <c r="H509" s="3"/>
      <c r="I509" s="2"/>
      <c r="J509" s="2"/>
      <c r="K509" s="2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22"/>
      <c r="B510" s="3"/>
      <c r="C510" s="3"/>
      <c r="D510" s="3"/>
      <c r="E510" s="3"/>
      <c r="F510" s="3"/>
      <c r="G510" s="3"/>
      <c r="H510" s="3"/>
      <c r="I510" s="2"/>
      <c r="J510" s="2"/>
      <c r="K510" s="2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22"/>
      <c r="B511" s="3"/>
      <c r="C511" s="3"/>
      <c r="D511" s="3"/>
      <c r="E511" s="3"/>
      <c r="F511" s="3"/>
      <c r="G511" s="3"/>
      <c r="H511" s="3"/>
      <c r="I511" s="2"/>
      <c r="J511" s="2"/>
      <c r="K511" s="2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22"/>
      <c r="B512" s="3"/>
      <c r="C512" s="3"/>
      <c r="D512" s="3"/>
      <c r="E512" s="3"/>
      <c r="F512" s="3"/>
      <c r="G512" s="3"/>
      <c r="H512" s="3"/>
      <c r="I512" s="2"/>
      <c r="J512" s="2"/>
      <c r="K512" s="2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22"/>
      <c r="B513" s="3"/>
      <c r="C513" s="3"/>
      <c r="D513" s="3"/>
      <c r="E513" s="3"/>
      <c r="F513" s="3"/>
      <c r="G513" s="3"/>
      <c r="H513" s="3"/>
      <c r="I513" s="2"/>
      <c r="J513" s="2"/>
      <c r="K513" s="2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22"/>
      <c r="B514" s="3"/>
      <c r="C514" s="3"/>
      <c r="D514" s="3"/>
      <c r="E514" s="3"/>
      <c r="F514" s="3"/>
      <c r="G514" s="3"/>
      <c r="H514" s="3"/>
      <c r="I514" s="2"/>
      <c r="J514" s="2"/>
      <c r="K514" s="2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22"/>
      <c r="B515" s="3"/>
      <c r="C515" s="3"/>
      <c r="D515" s="3"/>
      <c r="E515" s="3"/>
      <c r="F515" s="3"/>
      <c r="G515" s="3"/>
      <c r="H515" s="3"/>
      <c r="I515" s="2"/>
      <c r="J515" s="2"/>
      <c r="K515" s="2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22"/>
      <c r="B516" s="3"/>
      <c r="C516" s="3"/>
      <c r="D516" s="3"/>
      <c r="E516" s="3"/>
      <c r="F516" s="3"/>
      <c r="G516" s="3"/>
      <c r="H516" s="3"/>
      <c r="I516" s="2"/>
      <c r="J516" s="2"/>
      <c r="K516" s="2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22"/>
      <c r="B517" s="3"/>
      <c r="C517" s="3"/>
      <c r="D517" s="3"/>
      <c r="E517" s="3"/>
      <c r="F517" s="3"/>
      <c r="G517" s="3"/>
      <c r="H517" s="3"/>
      <c r="I517" s="2"/>
      <c r="J517" s="2"/>
      <c r="K517" s="2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22"/>
      <c r="B518" s="3"/>
      <c r="C518" s="3"/>
      <c r="D518" s="3"/>
      <c r="E518" s="3"/>
      <c r="F518" s="3"/>
      <c r="G518" s="3"/>
      <c r="H518" s="3"/>
      <c r="I518" s="2"/>
      <c r="J518" s="2"/>
      <c r="K518" s="2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22"/>
      <c r="B519" s="3"/>
      <c r="C519" s="3"/>
      <c r="D519" s="3"/>
      <c r="E519" s="3"/>
      <c r="F519" s="3"/>
      <c r="G519" s="3"/>
      <c r="H519" s="3"/>
      <c r="I519" s="2"/>
      <c r="J519" s="2"/>
      <c r="K519" s="2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22"/>
      <c r="B520" s="3"/>
      <c r="C520" s="3"/>
      <c r="D520" s="3"/>
      <c r="E520" s="3"/>
      <c r="F520" s="3"/>
      <c r="G520" s="3"/>
      <c r="H520" s="3"/>
      <c r="I520" s="2"/>
      <c r="J520" s="2"/>
      <c r="K520" s="2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22"/>
      <c r="B521" s="3"/>
      <c r="C521" s="3"/>
      <c r="D521" s="3"/>
      <c r="E521" s="3"/>
      <c r="F521" s="3"/>
      <c r="G521" s="3"/>
      <c r="H521" s="3"/>
      <c r="I521" s="2"/>
      <c r="J521" s="2"/>
      <c r="K521" s="2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22"/>
      <c r="B522" s="3"/>
      <c r="C522" s="3"/>
      <c r="D522" s="3"/>
      <c r="E522" s="3"/>
      <c r="F522" s="3"/>
      <c r="G522" s="3"/>
      <c r="H522" s="3"/>
      <c r="I522" s="2"/>
      <c r="J522" s="2"/>
      <c r="K522" s="2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22"/>
      <c r="B523" s="3"/>
      <c r="C523" s="3"/>
      <c r="D523" s="3"/>
      <c r="E523" s="3"/>
      <c r="F523" s="3"/>
      <c r="G523" s="3"/>
      <c r="H523" s="3"/>
      <c r="I523" s="2"/>
      <c r="J523" s="2"/>
      <c r="K523" s="2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22"/>
      <c r="B524" s="3"/>
      <c r="C524" s="3"/>
      <c r="D524" s="3"/>
      <c r="E524" s="3"/>
      <c r="F524" s="3"/>
      <c r="G524" s="3"/>
      <c r="H524" s="3"/>
      <c r="I524" s="2"/>
      <c r="J524" s="2"/>
      <c r="K524" s="2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22"/>
      <c r="B525" s="3"/>
      <c r="C525" s="3"/>
      <c r="D525" s="3"/>
      <c r="E525" s="3"/>
      <c r="F525" s="3"/>
      <c r="G525" s="3"/>
      <c r="H525" s="3"/>
      <c r="I525" s="2"/>
      <c r="J525" s="2"/>
      <c r="K525" s="2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22"/>
      <c r="B526" s="3"/>
      <c r="C526" s="3"/>
      <c r="D526" s="3"/>
      <c r="E526" s="3"/>
      <c r="F526" s="3"/>
      <c r="G526" s="3"/>
      <c r="H526" s="3"/>
      <c r="I526" s="2"/>
      <c r="J526" s="2"/>
      <c r="K526" s="2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22"/>
      <c r="B527" s="3"/>
      <c r="C527" s="3"/>
      <c r="D527" s="3"/>
      <c r="E527" s="3"/>
      <c r="F527" s="3"/>
      <c r="G527" s="3"/>
      <c r="H527" s="3"/>
      <c r="I527" s="2"/>
      <c r="J527" s="2"/>
      <c r="K527" s="2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22"/>
      <c r="B528" s="3"/>
      <c r="C528" s="3"/>
      <c r="D528" s="3"/>
      <c r="E528" s="3"/>
      <c r="F528" s="3"/>
      <c r="G528" s="3"/>
      <c r="H528" s="3"/>
      <c r="I528" s="2"/>
      <c r="J528" s="2"/>
      <c r="K528" s="2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22"/>
      <c r="B529" s="3"/>
      <c r="C529" s="3"/>
      <c r="D529" s="3"/>
      <c r="E529" s="3"/>
      <c r="F529" s="3"/>
      <c r="G529" s="3"/>
      <c r="H529" s="3"/>
      <c r="I529" s="2"/>
      <c r="J529" s="2"/>
      <c r="K529" s="2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22"/>
      <c r="B530" s="3"/>
      <c r="C530" s="3"/>
      <c r="D530" s="3"/>
      <c r="E530" s="3"/>
      <c r="F530" s="3"/>
      <c r="G530" s="3"/>
      <c r="H530" s="3"/>
      <c r="I530" s="2"/>
      <c r="J530" s="2"/>
      <c r="K530" s="2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22"/>
      <c r="B531" s="3"/>
      <c r="C531" s="3"/>
      <c r="D531" s="3"/>
      <c r="E531" s="3"/>
      <c r="F531" s="3"/>
      <c r="G531" s="3"/>
      <c r="H531" s="3"/>
      <c r="I531" s="2"/>
      <c r="J531" s="2"/>
      <c r="K531" s="2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22"/>
      <c r="B532" s="3"/>
      <c r="C532" s="3"/>
      <c r="D532" s="3"/>
      <c r="E532" s="3"/>
      <c r="F532" s="3"/>
      <c r="G532" s="3"/>
      <c r="H532" s="3"/>
      <c r="I532" s="2"/>
      <c r="J532" s="2"/>
      <c r="K532" s="2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22"/>
      <c r="B533" s="3"/>
      <c r="C533" s="3"/>
      <c r="D533" s="3"/>
      <c r="E533" s="3"/>
      <c r="F533" s="3"/>
      <c r="G533" s="3"/>
      <c r="H533" s="3"/>
      <c r="I533" s="2"/>
      <c r="J533" s="2"/>
      <c r="K533" s="2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22"/>
      <c r="B534" s="3"/>
      <c r="C534" s="3"/>
      <c r="D534" s="3"/>
      <c r="E534" s="3"/>
      <c r="F534" s="3"/>
      <c r="G534" s="3"/>
      <c r="H534" s="3"/>
      <c r="I534" s="2"/>
      <c r="J534" s="2"/>
      <c r="K534" s="2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22"/>
      <c r="B535" s="3"/>
      <c r="C535" s="3"/>
      <c r="D535" s="3"/>
      <c r="E535" s="3"/>
      <c r="F535" s="3"/>
      <c r="G535" s="3"/>
      <c r="H535" s="3"/>
      <c r="I535" s="2"/>
      <c r="J535" s="2"/>
      <c r="K535" s="2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22"/>
      <c r="B536" s="3"/>
      <c r="C536" s="3"/>
      <c r="D536" s="3"/>
      <c r="E536" s="3"/>
      <c r="F536" s="3"/>
      <c r="G536" s="3"/>
      <c r="H536" s="3"/>
      <c r="I536" s="2"/>
      <c r="J536" s="2"/>
      <c r="K536" s="2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22"/>
      <c r="B537" s="3"/>
      <c r="C537" s="3"/>
      <c r="D537" s="3"/>
      <c r="E537" s="3"/>
      <c r="F537" s="3"/>
      <c r="G537" s="3"/>
      <c r="H537" s="3"/>
      <c r="I537" s="2"/>
      <c r="J537" s="2"/>
      <c r="K537" s="2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22"/>
      <c r="B538" s="3"/>
      <c r="C538" s="3"/>
      <c r="D538" s="3"/>
      <c r="E538" s="3"/>
      <c r="F538" s="3"/>
      <c r="G538" s="3"/>
      <c r="H538" s="3"/>
      <c r="I538" s="2"/>
      <c r="J538" s="2"/>
      <c r="K538" s="2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22"/>
      <c r="B539" s="3"/>
      <c r="C539" s="3"/>
      <c r="D539" s="3"/>
      <c r="E539" s="3"/>
      <c r="F539" s="3"/>
      <c r="G539" s="3"/>
      <c r="H539" s="3"/>
      <c r="I539" s="2"/>
      <c r="J539" s="2"/>
      <c r="K539" s="2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22"/>
      <c r="B540" s="3"/>
      <c r="C540" s="3"/>
      <c r="D540" s="3"/>
      <c r="E540" s="3"/>
      <c r="F540" s="3"/>
      <c r="G540" s="3"/>
      <c r="H540" s="3"/>
      <c r="I540" s="2"/>
      <c r="J540" s="2"/>
      <c r="K540" s="2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22"/>
      <c r="B541" s="3"/>
      <c r="C541" s="3"/>
      <c r="D541" s="3"/>
      <c r="E541" s="3"/>
      <c r="F541" s="3"/>
      <c r="G541" s="3"/>
      <c r="H541" s="3"/>
      <c r="I541" s="2"/>
      <c r="J541" s="2"/>
      <c r="K541" s="2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22"/>
      <c r="B542" s="3"/>
      <c r="C542" s="3"/>
      <c r="D542" s="3"/>
      <c r="E542" s="3"/>
      <c r="F542" s="3"/>
      <c r="G542" s="3"/>
      <c r="H542" s="3"/>
      <c r="I542" s="2"/>
      <c r="J542" s="2"/>
      <c r="K542" s="2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22"/>
      <c r="B543" s="3"/>
      <c r="C543" s="3"/>
      <c r="D543" s="3"/>
      <c r="E543" s="3"/>
      <c r="F543" s="3"/>
      <c r="G543" s="3"/>
      <c r="H543" s="3"/>
      <c r="I543" s="2"/>
      <c r="J543" s="2"/>
      <c r="K543" s="2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22"/>
      <c r="B544" s="3"/>
      <c r="C544" s="3"/>
      <c r="D544" s="3"/>
      <c r="E544" s="3"/>
      <c r="F544" s="3"/>
      <c r="G544" s="3"/>
      <c r="H544" s="3"/>
      <c r="I544" s="2"/>
      <c r="J544" s="2"/>
      <c r="K544" s="2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22"/>
      <c r="B545" s="3"/>
      <c r="C545" s="3"/>
      <c r="D545" s="3"/>
      <c r="E545" s="3"/>
      <c r="F545" s="3"/>
      <c r="G545" s="3"/>
      <c r="H545" s="3"/>
      <c r="I545" s="2"/>
      <c r="J545" s="2"/>
      <c r="K545" s="2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22"/>
      <c r="B546" s="3"/>
      <c r="C546" s="3"/>
      <c r="D546" s="3"/>
      <c r="E546" s="3"/>
      <c r="F546" s="3"/>
      <c r="G546" s="3"/>
      <c r="H546" s="3"/>
      <c r="I546" s="2"/>
      <c r="J546" s="2"/>
      <c r="K546" s="2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22"/>
      <c r="B547" s="3"/>
      <c r="C547" s="3"/>
      <c r="D547" s="3"/>
      <c r="E547" s="3"/>
      <c r="F547" s="3"/>
      <c r="G547" s="3"/>
      <c r="H547" s="3"/>
      <c r="I547" s="2"/>
      <c r="J547" s="2"/>
      <c r="K547" s="2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22"/>
      <c r="B548" s="3"/>
      <c r="C548" s="3"/>
      <c r="D548" s="3"/>
      <c r="E548" s="3"/>
      <c r="F548" s="3"/>
      <c r="G548" s="3"/>
      <c r="H548" s="3"/>
      <c r="I548" s="2"/>
      <c r="J548" s="2"/>
      <c r="K548" s="2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22"/>
      <c r="B549" s="3"/>
      <c r="C549" s="3"/>
      <c r="D549" s="3"/>
      <c r="E549" s="3"/>
      <c r="F549" s="3"/>
      <c r="G549" s="3"/>
      <c r="H549" s="3"/>
      <c r="I549" s="2"/>
      <c r="J549" s="2"/>
      <c r="K549" s="2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22"/>
      <c r="B550" s="3"/>
      <c r="C550" s="3"/>
      <c r="D550" s="3"/>
      <c r="E550" s="3"/>
      <c r="F550" s="3"/>
      <c r="G550" s="3"/>
      <c r="H550" s="3"/>
      <c r="I550" s="2"/>
      <c r="J550" s="2"/>
      <c r="K550" s="2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22"/>
      <c r="B551" s="3"/>
      <c r="C551" s="3"/>
      <c r="D551" s="3"/>
      <c r="E551" s="3"/>
      <c r="F551" s="3"/>
      <c r="G551" s="3"/>
      <c r="H551" s="3"/>
      <c r="I551" s="2"/>
      <c r="J551" s="2"/>
      <c r="K551" s="2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22"/>
      <c r="B552" s="3"/>
      <c r="C552" s="3"/>
      <c r="D552" s="3"/>
      <c r="E552" s="3"/>
      <c r="F552" s="3"/>
      <c r="G552" s="3"/>
      <c r="H552" s="3"/>
      <c r="I552" s="2"/>
      <c r="J552" s="2"/>
      <c r="K552" s="2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22"/>
      <c r="B553" s="3"/>
      <c r="C553" s="3"/>
      <c r="D553" s="3"/>
      <c r="E553" s="3"/>
      <c r="F553" s="3"/>
      <c r="G553" s="3"/>
      <c r="H553" s="3"/>
      <c r="I553" s="2"/>
      <c r="J553" s="2"/>
      <c r="K553" s="2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22"/>
      <c r="B554" s="3"/>
      <c r="C554" s="3"/>
      <c r="D554" s="3"/>
      <c r="E554" s="3"/>
      <c r="F554" s="3"/>
      <c r="G554" s="3"/>
      <c r="H554" s="3"/>
      <c r="I554" s="2"/>
      <c r="J554" s="2"/>
      <c r="K554" s="2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22"/>
      <c r="B555" s="3"/>
      <c r="C555" s="3"/>
      <c r="D555" s="3"/>
      <c r="E555" s="3"/>
      <c r="F555" s="3"/>
      <c r="G555" s="3"/>
      <c r="H555" s="3"/>
      <c r="I555" s="2"/>
      <c r="J555" s="2"/>
      <c r="K555" s="2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22"/>
      <c r="B556" s="3"/>
      <c r="C556" s="3"/>
      <c r="D556" s="3"/>
      <c r="E556" s="3"/>
      <c r="F556" s="3"/>
      <c r="G556" s="3"/>
      <c r="H556" s="3"/>
      <c r="I556" s="2"/>
      <c r="J556" s="2"/>
      <c r="K556" s="2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22"/>
      <c r="B557" s="3"/>
      <c r="C557" s="3"/>
      <c r="D557" s="3"/>
      <c r="E557" s="3"/>
      <c r="F557" s="3"/>
      <c r="G557" s="3"/>
      <c r="H557" s="3"/>
      <c r="I557" s="2"/>
      <c r="J557" s="2"/>
      <c r="K557" s="2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22"/>
      <c r="B558" s="3"/>
      <c r="C558" s="3"/>
      <c r="D558" s="3"/>
      <c r="E558" s="3"/>
      <c r="F558" s="3"/>
      <c r="G558" s="3"/>
      <c r="H558" s="3"/>
      <c r="I558" s="2"/>
      <c r="J558" s="2"/>
      <c r="K558" s="2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22"/>
      <c r="B559" s="3"/>
      <c r="C559" s="3"/>
      <c r="D559" s="3"/>
      <c r="E559" s="3"/>
      <c r="F559" s="3"/>
      <c r="G559" s="3"/>
      <c r="H559" s="3"/>
      <c r="I559" s="2"/>
      <c r="J559" s="2"/>
      <c r="K559" s="2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22"/>
      <c r="B560" s="3"/>
      <c r="C560" s="3"/>
      <c r="D560" s="3"/>
      <c r="E560" s="3"/>
      <c r="F560" s="3"/>
      <c r="G560" s="3"/>
      <c r="H560" s="3"/>
      <c r="I560" s="2"/>
      <c r="J560" s="2"/>
      <c r="K560" s="2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22"/>
      <c r="B561" s="3"/>
      <c r="C561" s="3"/>
      <c r="D561" s="3"/>
      <c r="E561" s="3"/>
      <c r="F561" s="3"/>
      <c r="G561" s="3"/>
      <c r="H561" s="3"/>
      <c r="I561" s="2"/>
      <c r="J561" s="2"/>
      <c r="K561" s="2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22"/>
      <c r="B562" s="3"/>
      <c r="C562" s="3"/>
      <c r="D562" s="3"/>
      <c r="E562" s="3"/>
      <c r="F562" s="3"/>
      <c r="G562" s="3"/>
      <c r="H562" s="3"/>
      <c r="I562" s="2"/>
      <c r="J562" s="2"/>
      <c r="K562" s="2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22"/>
      <c r="B563" s="3"/>
      <c r="C563" s="3"/>
      <c r="D563" s="3"/>
      <c r="E563" s="3"/>
      <c r="F563" s="3"/>
      <c r="G563" s="3"/>
      <c r="H563" s="3"/>
      <c r="I563" s="2"/>
      <c r="J563" s="2"/>
      <c r="K563" s="2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22"/>
      <c r="B564" s="3"/>
      <c r="C564" s="3"/>
      <c r="D564" s="3"/>
      <c r="E564" s="3"/>
      <c r="F564" s="3"/>
      <c r="G564" s="3"/>
      <c r="H564" s="3"/>
      <c r="I564" s="2"/>
      <c r="J564" s="2"/>
      <c r="K564" s="2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22"/>
      <c r="B565" s="3"/>
      <c r="C565" s="3"/>
      <c r="D565" s="3"/>
      <c r="E565" s="3"/>
      <c r="F565" s="3"/>
      <c r="G565" s="3"/>
      <c r="H565" s="3"/>
      <c r="I565" s="2"/>
      <c r="J565" s="2"/>
      <c r="K565" s="2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22"/>
      <c r="B566" s="3"/>
      <c r="C566" s="3"/>
      <c r="D566" s="3"/>
      <c r="E566" s="3"/>
      <c r="F566" s="3"/>
      <c r="G566" s="3"/>
      <c r="H566" s="3"/>
      <c r="I566" s="2"/>
      <c r="J566" s="2"/>
      <c r="K566" s="2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22"/>
      <c r="B567" s="3"/>
      <c r="C567" s="3"/>
      <c r="D567" s="3"/>
      <c r="E567" s="3"/>
      <c r="F567" s="3"/>
      <c r="G567" s="3"/>
      <c r="H567" s="3"/>
      <c r="I567" s="2"/>
      <c r="J567" s="2"/>
      <c r="K567" s="2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22"/>
      <c r="B568" s="3"/>
      <c r="C568" s="3"/>
      <c r="D568" s="3"/>
      <c r="E568" s="3"/>
      <c r="F568" s="3"/>
      <c r="G568" s="3"/>
      <c r="H568" s="3"/>
      <c r="I568" s="2"/>
      <c r="J568" s="2"/>
      <c r="K568" s="2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22"/>
      <c r="B569" s="3"/>
      <c r="C569" s="3"/>
      <c r="D569" s="3"/>
      <c r="E569" s="3"/>
      <c r="F569" s="3"/>
      <c r="G569" s="3"/>
      <c r="H569" s="3"/>
      <c r="I569" s="2"/>
      <c r="J569" s="2"/>
      <c r="K569" s="2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22"/>
      <c r="B570" s="3"/>
      <c r="C570" s="3"/>
      <c r="D570" s="3"/>
      <c r="E570" s="3"/>
      <c r="F570" s="3"/>
      <c r="G570" s="3"/>
      <c r="H570" s="3"/>
      <c r="I570" s="2"/>
      <c r="J570" s="2"/>
      <c r="K570" s="2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22"/>
      <c r="B571" s="3"/>
      <c r="C571" s="3"/>
      <c r="D571" s="3"/>
      <c r="E571" s="3"/>
      <c r="F571" s="3"/>
      <c r="G571" s="3"/>
      <c r="H571" s="3"/>
      <c r="I571" s="2"/>
      <c r="J571" s="2"/>
      <c r="K571" s="2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22"/>
      <c r="B572" s="3"/>
      <c r="C572" s="3"/>
      <c r="D572" s="3"/>
      <c r="E572" s="3"/>
      <c r="F572" s="3"/>
      <c r="G572" s="3"/>
      <c r="H572" s="3"/>
      <c r="I572" s="2"/>
      <c r="J572" s="2"/>
      <c r="K572" s="2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22"/>
      <c r="B573" s="3"/>
      <c r="C573" s="3"/>
      <c r="D573" s="3"/>
      <c r="E573" s="3"/>
      <c r="F573" s="3"/>
      <c r="G573" s="3"/>
      <c r="H573" s="3"/>
      <c r="I573" s="2"/>
      <c r="J573" s="2"/>
      <c r="K573" s="2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22"/>
      <c r="B574" s="3"/>
      <c r="C574" s="3"/>
      <c r="D574" s="3"/>
      <c r="E574" s="3"/>
      <c r="F574" s="3"/>
      <c r="G574" s="3"/>
      <c r="H574" s="3"/>
      <c r="I574" s="2"/>
      <c r="J574" s="2"/>
      <c r="K574" s="2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22"/>
      <c r="B575" s="3"/>
      <c r="C575" s="3"/>
      <c r="D575" s="3"/>
      <c r="E575" s="3"/>
      <c r="F575" s="3"/>
      <c r="G575" s="3"/>
      <c r="H575" s="3"/>
      <c r="I575" s="2"/>
      <c r="J575" s="2"/>
      <c r="K575" s="2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22"/>
      <c r="B576" s="3"/>
      <c r="C576" s="3"/>
      <c r="D576" s="3"/>
      <c r="E576" s="3"/>
      <c r="F576" s="3"/>
      <c r="G576" s="3"/>
      <c r="H576" s="3"/>
      <c r="I576" s="2"/>
      <c r="J576" s="2"/>
      <c r="K576" s="2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22"/>
      <c r="B577" s="3"/>
      <c r="C577" s="3"/>
      <c r="D577" s="3"/>
      <c r="E577" s="3"/>
      <c r="F577" s="3"/>
      <c r="G577" s="3"/>
      <c r="H577" s="3"/>
      <c r="I577" s="2"/>
      <c r="J577" s="2"/>
      <c r="K577" s="2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22"/>
      <c r="B578" s="3"/>
      <c r="C578" s="3"/>
      <c r="D578" s="3"/>
      <c r="E578" s="3"/>
      <c r="F578" s="3"/>
      <c r="G578" s="3"/>
      <c r="H578" s="3"/>
      <c r="I578" s="2"/>
      <c r="J578" s="2"/>
      <c r="K578" s="2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22"/>
      <c r="B579" s="3"/>
      <c r="C579" s="3"/>
      <c r="D579" s="3"/>
      <c r="E579" s="3"/>
      <c r="F579" s="3"/>
      <c r="G579" s="3"/>
      <c r="H579" s="3"/>
      <c r="I579" s="2"/>
      <c r="J579" s="2"/>
      <c r="K579" s="2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22"/>
      <c r="B580" s="3"/>
      <c r="C580" s="3"/>
      <c r="D580" s="3"/>
      <c r="E580" s="3"/>
      <c r="F580" s="3"/>
      <c r="G580" s="3"/>
      <c r="H580" s="3"/>
      <c r="I580" s="2"/>
      <c r="J580" s="2"/>
      <c r="K580" s="2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22"/>
      <c r="B581" s="3"/>
      <c r="C581" s="3"/>
      <c r="D581" s="3"/>
      <c r="E581" s="3"/>
      <c r="F581" s="3"/>
      <c r="G581" s="3"/>
      <c r="H581" s="3"/>
      <c r="I581" s="2"/>
      <c r="J581" s="2"/>
      <c r="K581" s="2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22"/>
      <c r="B582" s="3"/>
      <c r="C582" s="3"/>
      <c r="D582" s="3"/>
      <c r="E582" s="3"/>
      <c r="F582" s="3"/>
      <c r="G582" s="3"/>
      <c r="H582" s="3"/>
      <c r="I582" s="2"/>
      <c r="J582" s="2"/>
      <c r="K582" s="2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22"/>
      <c r="B583" s="3"/>
      <c r="C583" s="3"/>
      <c r="D583" s="3"/>
      <c r="E583" s="3"/>
      <c r="F583" s="3"/>
      <c r="G583" s="3"/>
      <c r="H583" s="3"/>
      <c r="I583" s="2"/>
      <c r="J583" s="2"/>
      <c r="K583" s="2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22"/>
      <c r="B584" s="3"/>
      <c r="C584" s="3"/>
      <c r="D584" s="3"/>
      <c r="E584" s="3"/>
      <c r="F584" s="3"/>
      <c r="G584" s="3"/>
      <c r="H584" s="3"/>
      <c r="I584" s="2"/>
      <c r="J584" s="2"/>
      <c r="K584" s="2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22"/>
      <c r="B585" s="3"/>
      <c r="C585" s="3"/>
      <c r="D585" s="3"/>
      <c r="E585" s="3"/>
      <c r="F585" s="3"/>
      <c r="G585" s="3"/>
      <c r="H585" s="3"/>
      <c r="I585" s="2"/>
      <c r="J585" s="2"/>
      <c r="K585" s="2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22"/>
      <c r="B586" s="3"/>
      <c r="C586" s="3"/>
      <c r="D586" s="3"/>
      <c r="E586" s="3"/>
      <c r="F586" s="3"/>
      <c r="G586" s="3"/>
      <c r="H586" s="3"/>
      <c r="I586" s="2"/>
      <c r="J586" s="2"/>
      <c r="K586" s="2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22"/>
      <c r="B587" s="3"/>
      <c r="C587" s="3"/>
      <c r="D587" s="3"/>
      <c r="E587" s="3"/>
      <c r="F587" s="3"/>
      <c r="G587" s="3"/>
      <c r="H587" s="3"/>
      <c r="I587" s="2"/>
      <c r="J587" s="2"/>
      <c r="K587" s="2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22"/>
      <c r="B588" s="3"/>
      <c r="C588" s="3"/>
      <c r="D588" s="3"/>
      <c r="E588" s="3"/>
      <c r="F588" s="3"/>
      <c r="G588" s="3"/>
      <c r="H588" s="3"/>
      <c r="I588" s="2"/>
      <c r="J588" s="2"/>
      <c r="K588" s="2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22"/>
      <c r="B589" s="3"/>
      <c r="C589" s="3"/>
      <c r="D589" s="3"/>
      <c r="E589" s="3"/>
      <c r="F589" s="3"/>
      <c r="G589" s="3"/>
      <c r="H589" s="3"/>
      <c r="I589" s="2"/>
      <c r="J589" s="2"/>
      <c r="K589" s="2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22"/>
      <c r="B590" s="3"/>
      <c r="C590" s="3"/>
      <c r="D590" s="3"/>
      <c r="E590" s="3"/>
      <c r="F590" s="3"/>
      <c r="G590" s="3"/>
      <c r="H590" s="3"/>
      <c r="I590" s="2"/>
      <c r="J590" s="2"/>
      <c r="K590" s="2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22"/>
      <c r="B591" s="3"/>
      <c r="C591" s="3"/>
      <c r="D591" s="3"/>
      <c r="E591" s="3"/>
      <c r="F591" s="3"/>
      <c r="G591" s="3"/>
      <c r="H591" s="3"/>
      <c r="I591" s="2"/>
      <c r="J591" s="2"/>
      <c r="K591" s="2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22"/>
      <c r="B592" s="3"/>
      <c r="C592" s="3"/>
      <c r="D592" s="3"/>
      <c r="E592" s="3"/>
      <c r="F592" s="3"/>
      <c r="G592" s="3"/>
      <c r="H592" s="3"/>
      <c r="I592" s="2"/>
      <c r="J592" s="2"/>
      <c r="K592" s="2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22"/>
      <c r="B593" s="3"/>
      <c r="C593" s="3"/>
      <c r="D593" s="3"/>
      <c r="E593" s="3"/>
      <c r="F593" s="3"/>
      <c r="G593" s="3"/>
      <c r="H593" s="3"/>
      <c r="I593" s="2"/>
      <c r="J593" s="2"/>
      <c r="K593" s="2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22"/>
      <c r="B594" s="3"/>
      <c r="C594" s="3"/>
      <c r="D594" s="3"/>
      <c r="E594" s="3"/>
      <c r="F594" s="3"/>
      <c r="G594" s="3"/>
      <c r="H594" s="3"/>
      <c r="I594" s="2"/>
      <c r="J594" s="2"/>
      <c r="K594" s="2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22"/>
      <c r="B595" s="3"/>
      <c r="C595" s="3"/>
      <c r="D595" s="3"/>
      <c r="E595" s="3"/>
      <c r="F595" s="3"/>
      <c r="G595" s="3"/>
      <c r="H595" s="3"/>
      <c r="I595" s="2"/>
      <c r="J595" s="2"/>
      <c r="K595" s="2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22"/>
      <c r="B596" s="3"/>
      <c r="C596" s="3"/>
      <c r="D596" s="3"/>
      <c r="E596" s="3"/>
      <c r="F596" s="3"/>
      <c r="G596" s="3"/>
      <c r="H596" s="3"/>
      <c r="I596" s="2"/>
      <c r="J596" s="2"/>
      <c r="K596" s="2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22"/>
      <c r="B597" s="3"/>
      <c r="C597" s="3"/>
      <c r="D597" s="3"/>
      <c r="E597" s="3"/>
      <c r="F597" s="3"/>
      <c r="G597" s="3"/>
      <c r="H597" s="3"/>
      <c r="I597" s="2"/>
      <c r="J597" s="2"/>
      <c r="K597" s="2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22"/>
      <c r="B598" s="3"/>
      <c r="C598" s="3"/>
      <c r="D598" s="3"/>
      <c r="E598" s="3"/>
      <c r="F598" s="3"/>
      <c r="G598" s="3"/>
      <c r="H598" s="3"/>
      <c r="I598" s="2"/>
      <c r="J598" s="2"/>
      <c r="K598" s="2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22"/>
      <c r="B599" s="3"/>
      <c r="C599" s="3"/>
      <c r="D599" s="3"/>
      <c r="E599" s="3"/>
      <c r="F599" s="3"/>
      <c r="G599" s="3"/>
      <c r="H599" s="3"/>
      <c r="I599" s="2"/>
      <c r="J599" s="2"/>
      <c r="K599" s="2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22"/>
      <c r="B600" s="3"/>
      <c r="C600" s="3"/>
      <c r="D600" s="3"/>
      <c r="E600" s="3"/>
      <c r="F600" s="3"/>
      <c r="G600" s="3"/>
      <c r="H600" s="3"/>
      <c r="I600" s="2"/>
      <c r="J600" s="2"/>
      <c r="K600" s="2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22"/>
      <c r="B601" s="3"/>
      <c r="C601" s="3"/>
      <c r="D601" s="3"/>
      <c r="E601" s="3"/>
      <c r="F601" s="3"/>
      <c r="G601" s="3"/>
      <c r="H601" s="3"/>
      <c r="I601" s="2"/>
      <c r="J601" s="2"/>
      <c r="K601" s="2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22"/>
      <c r="B602" s="3"/>
      <c r="C602" s="3"/>
      <c r="D602" s="3"/>
      <c r="E602" s="3"/>
      <c r="F602" s="3"/>
      <c r="G602" s="3"/>
      <c r="H602" s="3"/>
      <c r="I602" s="2"/>
      <c r="J602" s="2"/>
      <c r="K602" s="2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22"/>
      <c r="B603" s="3"/>
      <c r="C603" s="3"/>
      <c r="D603" s="3"/>
      <c r="E603" s="3"/>
      <c r="F603" s="3"/>
      <c r="G603" s="3"/>
      <c r="H603" s="3"/>
      <c r="I603" s="2"/>
      <c r="J603" s="2"/>
      <c r="K603" s="2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22"/>
      <c r="B604" s="3"/>
      <c r="C604" s="3"/>
      <c r="D604" s="3"/>
      <c r="E604" s="3"/>
      <c r="F604" s="3"/>
      <c r="G604" s="3"/>
      <c r="H604" s="3"/>
      <c r="I604" s="2"/>
      <c r="J604" s="2"/>
      <c r="K604" s="2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22"/>
      <c r="B605" s="3"/>
      <c r="C605" s="3"/>
      <c r="D605" s="3"/>
      <c r="E605" s="3"/>
      <c r="F605" s="3"/>
      <c r="G605" s="3"/>
      <c r="H605" s="3"/>
      <c r="I605" s="2"/>
      <c r="J605" s="2"/>
      <c r="K605" s="2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22"/>
      <c r="B606" s="3"/>
      <c r="C606" s="3"/>
      <c r="D606" s="3"/>
      <c r="E606" s="3"/>
      <c r="F606" s="3"/>
      <c r="G606" s="3"/>
      <c r="H606" s="3"/>
      <c r="I606" s="2"/>
      <c r="J606" s="2"/>
      <c r="K606" s="2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22"/>
      <c r="B607" s="3"/>
      <c r="C607" s="3"/>
      <c r="D607" s="3"/>
      <c r="E607" s="3"/>
      <c r="F607" s="3"/>
      <c r="G607" s="3"/>
      <c r="H607" s="3"/>
      <c r="I607" s="2"/>
      <c r="J607" s="2"/>
      <c r="K607" s="2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22"/>
      <c r="B608" s="3"/>
      <c r="C608" s="3"/>
      <c r="D608" s="3"/>
      <c r="E608" s="3"/>
      <c r="F608" s="3"/>
      <c r="G608" s="3"/>
      <c r="H608" s="3"/>
      <c r="I608" s="2"/>
      <c r="J608" s="2"/>
      <c r="K608" s="2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22"/>
      <c r="B609" s="3"/>
      <c r="C609" s="3"/>
      <c r="D609" s="3"/>
      <c r="E609" s="3"/>
      <c r="F609" s="3"/>
      <c r="G609" s="3"/>
      <c r="H609" s="3"/>
      <c r="I609" s="2"/>
      <c r="J609" s="2"/>
      <c r="K609" s="2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22"/>
      <c r="B610" s="3"/>
      <c r="C610" s="3"/>
      <c r="D610" s="3"/>
      <c r="E610" s="3"/>
      <c r="F610" s="3"/>
      <c r="G610" s="3"/>
      <c r="H610" s="3"/>
      <c r="I610" s="2"/>
      <c r="J610" s="2"/>
      <c r="K610" s="2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22"/>
      <c r="B611" s="3"/>
      <c r="C611" s="3"/>
      <c r="D611" s="3"/>
      <c r="E611" s="3"/>
      <c r="F611" s="3"/>
      <c r="G611" s="3"/>
      <c r="H611" s="3"/>
      <c r="I611" s="2"/>
      <c r="J611" s="2"/>
      <c r="K611" s="2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22"/>
      <c r="B612" s="3"/>
      <c r="C612" s="3"/>
      <c r="D612" s="3"/>
      <c r="E612" s="3"/>
      <c r="F612" s="3"/>
      <c r="G612" s="3"/>
      <c r="H612" s="3"/>
      <c r="I612" s="2"/>
      <c r="J612" s="2"/>
      <c r="K612" s="2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22"/>
      <c r="B613" s="3"/>
      <c r="C613" s="3"/>
      <c r="D613" s="3"/>
      <c r="E613" s="3"/>
      <c r="F613" s="3"/>
      <c r="G613" s="3"/>
      <c r="H613" s="3"/>
      <c r="I613" s="2"/>
      <c r="J613" s="2"/>
      <c r="K613" s="2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22"/>
      <c r="B614" s="3"/>
      <c r="C614" s="3"/>
      <c r="D614" s="3"/>
      <c r="E614" s="3"/>
      <c r="F614" s="3"/>
      <c r="G614" s="3"/>
      <c r="H614" s="3"/>
      <c r="I614" s="2"/>
      <c r="J614" s="2"/>
      <c r="K614" s="2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22"/>
      <c r="B615" s="3"/>
      <c r="C615" s="3"/>
      <c r="D615" s="3"/>
      <c r="E615" s="3"/>
      <c r="F615" s="3"/>
      <c r="G615" s="3"/>
      <c r="H615" s="3"/>
      <c r="I615" s="2"/>
      <c r="J615" s="2"/>
      <c r="K615" s="2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22"/>
      <c r="B616" s="3"/>
      <c r="C616" s="3"/>
      <c r="D616" s="3"/>
      <c r="E616" s="3"/>
      <c r="F616" s="3"/>
      <c r="G616" s="3"/>
      <c r="H616" s="3"/>
      <c r="I616" s="2"/>
      <c r="J616" s="2"/>
      <c r="K616" s="2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22"/>
      <c r="B617" s="3"/>
      <c r="C617" s="3"/>
      <c r="D617" s="3"/>
      <c r="E617" s="3"/>
      <c r="F617" s="3"/>
      <c r="G617" s="3"/>
      <c r="H617" s="3"/>
      <c r="I617" s="2"/>
      <c r="J617" s="2"/>
      <c r="K617" s="2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22"/>
      <c r="B618" s="3"/>
      <c r="C618" s="3"/>
      <c r="D618" s="3"/>
      <c r="E618" s="3"/>
      <c r="F618" s="3"/>
      <c r="G618" s="3"/>
      <c r="H618" s="3"/>
      <c r="I618" s="2"/>
      <c r="J618" s="2"/>
      <c r="K618" s="2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22"/>
      <c r="B619" s="3"/>
      <c r="C619" s="3"/>
      <c r="D619" s="3"/>
      <c r="E619" s="3"/>
      <c r="F619" s="3"/>
      <c r="G619" s="3"/>
      <c r="H619" s="3"/>
      <c r="I619" s="2"/>
      <c r="J619" s="2"/>
      <c r="K619" s="2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22"/>
      <c r="B620" s="3"/>
      <c r="C620" s="3"/>
      <c r="D620" s="3"/>
      <c r="E620" s="3"/>
      <c r="F620" s="3"/>
      <c r="G620" s="3"/>
      <c r="H620" s="3"/>
      <c r="I620" s="2"/>
      <c r="J620" s="2"/>
      <c r="K620" s="2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22"/>
      <c r="B621" s="3"/>
      <c r="C621" s="3"/>
      <c r="D621" s="3"/>
      <c r="E621" s="3"/>
      <c r="F621" s="3"/>
      <c r="G621" s="3"/>
      <c r="H621" s="3"/>
      <c r="I621" s="2"/>
      <c r="J621" s="2"/>
      <c r="K621" s="2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22"/>
      <c r="B622" s="3"/>
      <c r="C622" s="3"/>
      <c r="D622" s="3"/>
      <c r="E622" s="3"/>
      <c r="F622" s="3"/>
      <c r="G622" s="3"/>
      <c r="H622" s="3"/>
      <c r="I622" s="2"/>
      <c r="J622" s="2"/>
      <c r="K622" s="2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22"/>
      <c r="B623" s="3"/>
      <c r="C623" s="3"/>
      <c r="D623" s="3"/>
      <c r="E623" s="3"/>
      <c r="F623" s="3"/>
      <c r="G623" s="3"/>
      <c r="H623" s="3"/>
      <c r="I623" s="2"/>
      <c r="J623" s="2"/>
      <c r="K623" s="2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22"/>
      <c r="B624" s="3"/>
      <c r="C624" s="3"/>
      <c r="D624" s="3"/>
      <c r="E624" s="3"/>
      <c r="F624" s="3"/>
      <c r="G624" s="3"/>
      <c r="H624" s="3"/>
      <c r="I624" s="2"/>
      <c r="J624" s="2"/>
      <c r="K624" s="2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22"/>
      <c r="B625" s="3"/>
      <c r="C625" s="3"/>
      <c r="D625" s="3"/>
      <c r="E625" s="3"/>
      <c r="F625" s="3"/>
      <c r="G625" s="3"/>
      <c r="H625" s="3"/>
      <c r="I625" s="2"/>
      <c r="J625" s="2"/>
      <c r="K625" s="2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22"/>
      <c r="B626" s="3"/>
      <c r="C626" s="3"/>
      <c r="D626" s="3"/>
      <c r="E626" s="3"/>
      <c r="F626" s="3"/>
      <c r="G626" s="3"/>
      <c r="H626" s="3"/>
      <c r="I626" s="2"/>
      <c r="J626" s="2"/>
      <c r="K626" s="2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22"/>
      <c r="B627" s="3"/>
      <c r="C627" s="3"/>
      <c r="D627" s="3"/>
      <c r="E627" s="3"/>
      <c r="F627" s="3"/>
      <c r="G627" s="3"/>
      <c r="H627" s="3"/>
      <c r="I627" s="2"/>
      <c r="J627" s="2"/>
      <c r="K627" s="2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22"/>
      <c r="B628" s="3"/>
      <c r="C628" s="3"/>
      <c r="D628" s="3"/>
      <c r="E628" s="3"/>
      <c r="F628" s="3"/>
      <c r="G628" s="3"/>
      <c r="H628" s="3"/>
      <c r="I628" s="2"/>
      <c r="J628" s="2"/>
      <c r="K628" s="2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22"/>
      <c r="B629" s="3"/>
      <c r="C629" s="3"/>
      <c r="D629" s="3"/>
      <c r="E629" s="3"/>
      <c r="F629" s="3"/>
      <c r="G629" s="3"/>
      <c r="H629" s="3"/>
      <c r="I629" s="2"/>
      <c r="J629" s="2"/>
      <c r="K629" s="2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22"/>
      <c r="B630" s="3"/>
      <c r="C630" s="3"/>
      <c r="D630" s="3"/>
      <c r="E630" s="3"/>
      <c r="F630" s="3"/>
      <c r="G630" s="3"/>
      <c r="H630" s="3"/>
      <c r="I630" s="2"/>
      <c r="J630" s="2"/>
      <c r="K630" s="2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22"/>
      <c r="B631" s="3"/>
      <c r="C631" s="3"/>
      <c r="D631" s="3"/>
      <c r="E631" s="3"/>
      <c r="F631" s="3"/>
      <c r="G631" s="3"/>
      <c r="H631" s="3"/>
      <c r="I631" s="2"/>
      <c r="J631" s="2"/>
      <c r="K631" s="2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22"/>
      <c r="B632" s="3"/>
      <c r="C632" s="3"/>
      <c r="D632" s="3"/>
      <c r="E632" s="3"/>
      <c r="F632" s="3"/>
      <c r="G632" s="3"/>
      <c r="H632" s="3"/>
      <c r="I632" s="2"/>
      <c r="J632" s="2"/>
      <c r="K632" s="2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22"/>
      <c r="B633" s="3"/>
      <c r="C633" s="3"/>
      <c r="D633" s="3"/>
      <c r="E633" s="3"/>
      <c r="F633" s="3"/>
      <c r="G633" s="3"/>
      <c r="H633" s="3"/>
      <c r="I633" s="2"/>
      <c r="J633" s="2"/>
      <c r="K633" s="2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22"/>
      <c r="B634" s="3"/>
      <c r="C634" s="3"/>
      <c r="D634" s="3"/>
      <c r="E634" s="3"/>
      <c r="F634" s="3"/>
      <c r="G634" s="3"/>
      <c r="H634" s="3"/>
      <c r="I634" s="2"/>
      <c r="J634" s="2"/>
      <c r="K634" s="2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22"/>
      <c r="B635" s="3"/>
      <c r="C635" s="3"/>
      <c r="D635" s="3"/>
      <c r="E635" s="3"/>
      <c r="F635" s="3"/>
      <c r="G635" s="3"/>
      <c r="H635" s="3"/>
      <c r="I635" s="2"/>
      <c r="J635" s="2"/>
      <c r="K635" s="2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22"/>
      <c r="B636" s="3"/>
      <c r="C636" s="3"/>
      <c r="D636" s="3"/>
      <c r="E636" s="3"/>
      <c r="F636" s="3"/>
      <c r="G636" s="3"/>
      <c r="H636" s="3"/>
      <c r="I636" s="2"/>
      <c r="J636" s="2"/>
      <c r="K636" s="2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22"/>
      <c r="B637" s="3"/>
      <c r="C637" s="3"/>
      <c r="D637" s="3"/>
      <c r="E637" s="3"/>
      <c r="F637" s="3"/>
      <c r="G637" s="3"/>
      <c r="H637" s="3"/>
      <c r="I637" s="2"/>
      <c r="J637" s="2"/>
      <c r="K637" s="2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22"/>
      <c r="B638" s="3"/>
      <c r="C638" s="3"/>
      <c r="D638" s="3"/>
      <c r="E638" s="3"/>
      <c r="F638" s="3"/>
      <c r="G638" s="3"/>
      <c r="H638" s="3"/>
      <c r="I638" s="2"/>
      <c r="J638" s="2"/>
      <c r="K638" s="2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22"/>
      <c r="B639" s="3"/>
      <c r="C639" s="3"/>
      <c r="D639" s="3"/>
      <c r="E639" s="3"/>
      <c r="F639" s="3"/>
      <c r="G639" s="3"/>
      <c r="H639" s="3"/>
      <c r="I639" s="2"/>
      <c r="J639" s="2"/>
      <c r="K639" s="2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22"/>
      <c r="B640" s="3"/>
      <c r="C640" s="3"/>
      <c r="D640" s="3"/>
      <c r="E640" s="3"/>
      <c r="F640" s="3"/>
      <c r="G640" s="3"/>
      <c r="H640" s="3"/>
      <c r="I640" s="2"/>
      <c r="J640" s="2"/>
      <c r="K640" s="2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22"/>
      <c r="B641" s="3"/>
      <c r="C641" s="3"/>
      <c r="D641" s="3"/>
      <c r="E641" s="3"/>
      <c r="F641" s="3"/>
      <c r="G641" s="3"/>
      <c r="H641" s="3"/>
      <c r="I641" s="2"/>
      <c r="J641" s="2"/>
      <c r="K641" s="2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22"/>
      <c r="B642" s="3"/>
      <c r="C642" s="3"/>
      <c r="D642" s="3"/>
      <c r="E642" s="3"/>
      <c r="F642" s="3"/>
      <c r="G642" s="3"/>
      <c r="H642" s="3"/>
      <c r="I642" s="2"/>
      <c r="J642" s="2"/>
      <c r="K642" s="2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22"/>
      <c r="B643" s="3"/>
      <c r="C643" s="3"/>
      <c r="D643" s="3"/>
      <c r="E643" s="3"/>
      <c r="F643" s="3"/>
      <c r="G643" s="3"/>
      <c r="H643" s="3"/>
      <c r="I643" s="2"/>
      <c r="J643" s="2"/>
      <c r="K643" s="2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22"/>
      <c r="B644" s="3"/>
      <c r="C644" s="3"/>
      <c r="D644" s="3"/>
      <c r="E644" s="3"/>
      <c r="F644" s="3"/>
      <c r="G644" s="3"/>
      <c r="H644" s="3"/>
      <c r="I644" s="2"/>
      <c r="J644" s="2"/>
      <c r="K644" s="2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22"/>
      <c r="B645" s="3"/>
      <c r="C645" s="3"/>
      <c r="D645" s="3"/>
      <c r="E645" s="3"/>
      <c r="F645" s="3"/>
      <c r="G645" s="3"/>
      <c r="H645" s="3"/>
      <c r="I645" s="2"/>
      <c r="J645" s="2"/>
      <c r="K645" s="2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22"/>
      <c r="B646" s="3"/>
      <c r="C646" s="3"/>
      <c r="D646" s="3"/>
      <c r="E646" s="3"/>
      <c r="F646" s="3"/>
      <c r="G646" s="3"/>
      <c r="H646" s="3"/>
      <c r="I646" s="2"/>
      <c r="J646" s="2"/>
      <c r="K646" s="2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22"/>
      <c r="B647" s="3"/>
      <c r="C647" s="3"/>
      <c r="D647" s="3"/>
      <c r="E647" s="3"/>
      <c r="F647" s="3"/>
      <c r="G647" s="3"/>
      <c r="H647" s="3"/>
      <c r="I647" s="2"/>
      <c r="J647" s="2"/>
      <c r="K647" s="2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22"/>
      <c r="B648" s="3"/>
      <c r="C648" s="3"/>
      <c r="D648" s="3"/>
      <c r="E648" s="3"/>
      <c r="F648" s="3"/>
      <c r="G648" s="3"/>
      <c r="H648" s="3"/>
      <c r="I648" s="2"/>
      <c r="J648" s="2"/>
      <c r="K648" s="2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22"/>
      <c r="B649" s="3"/>
      <c r="C649" s="3"/>
      <c r="D649" s="3"/>
      <c r="E649" s="3"/>
      <c r="F649" s="3"/>
      <c r="G649" s="3"/>
      <c r="H649" s="3"/>
      <c r="I649" s="2"/>
      <c r="J649" s="2"/>
      <c r="K649" s="2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22"/>
      <c r="B650" s="3"/>
      <c r="C650" s="3"/>
      <c r="D650" s="3"/>
      <c r="E650" s="3"/>
      <c r="F650" s="3"/>
      <c r="G650" s="3"/>
      <c r="H650" s="3"/>
      <c r="I650" s="2"/>
      <c r="J650" s="2"/>
      <c r="K650" s="2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22"/>
      <c r="B651" s="3"/>
      <c r="C651" s="3"/>
      <c r="D651" s="3"/>
      <c r="E651" s="3"/>
      <c r="F651" s="3"/>
      <c r="G651" s="3"/>
      <c r="H651" s="3"/>
      <c r="I651" s="2"/>
      <c r="J651" s="2"/>
      <c r="K651" s="2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22"/>
      <c r="B652" s="3"/>
      <c r="C652" s="3"/>
      <c r="D652" s="3"/>
      <c r="E652" s="3"/>
      <c r="F652" s="3"/>
      <c r="G652" s="3"/>
      <c r="H652" s="3"/>
      <c r="I652" s="2"/>
      <c r="J652" s="2"/>
      <c r="K652" s="2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22"/>
      <c r="B653" s="3"/>
      <c r="C653" s="3"/>
      <c r="D653" s="3"/>
      <c r="E653" s="3"/>
      <c r="F653" s="3"/>
      <c r="G653" s="3"/>
      <c r="H653" s="3"/>
      <c r="I653" s="2"/>
      <c r="J653" s="2"/>
      <c r="K653" s="2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22"/>
      <c r="B654" s="3"/>
      <c r="C654" s="3"/>
      <c r="D654" s="3"/>
      <c r="E654" s="3"/>
      <c r="F654" s="3"/>
      <c r="G654" s="3"/>
      <c r="H654" s="3"/>
      <c r="I654" s="2"/>
      <c r="J654" s="2"/>
      <c r="K654" s="2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22"/>
      <c r="B655" s="3"/>
      <c r="C655" s="3"/>
      <c r="D655" s="3"/>
      <c r="E655" s="3"/>
      <c r="F655" s="3"/>
      <c r="G655" s="3"/>
      <c r="H655" s="3"/>
      <c r="I655" s="2"/>
      <c r="J655" s="2"/>
      <c r="K655" s="2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22"/>
      <c r="B656" s="3"/>
      <c r="C656" s="3"/>
      <c r="D656" s="3"/>
      <c r="E656" s="3"/>
      <c r="F656" s="3"/>
      <c r="G656" s="3"/>
      <c r="H656" s="3"/>
      <c r="I656" s="2"/>
      <c r="J656" s="2"/>
      <c r="K656" s="2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22"/>
      <c r="B657" s="3"/>
      <c r="C657" s="3"/>
      <c r="D657" s="3"/>
      <c r="E657" s="3"/>
      <c r="F657" s="3"/>
      <c r="G657" s="3"/>
      <c r="H657" s="3"/>
      <c r="I657" s="2"/>
      <c r="J657" s="2"/>
      <c r="K657" s="2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22"/>
      <c r="B658" s="3"/>
      <c r="C658" s="3"/>
      <c r="D658" s="3"/>
      <c r="E658" s="3"/>
      <c r="F658" s="3"/>
      <c r="G658" s="3"/>
      <c r="H658" s="3"/>
      <c r="I658" s="2"/>
      <c r="J658" s="2"/>
      <c r="K658" s="2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22"/>
      <c r="B659" s="3"/>
      <c r="C659" s="3"/>
      <c r="D659" s="3"/>
      <c r="E659" s="3"/>
      <c r="F659" s="3"/>
      <c r="G659" s="3"/>
      <c r="H659" s="3"/>
      <c r="I659" s="2"/>
      <c r="J659" s="2"/>
      <c r="K659" s="2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22"/>
      <c r="B660" s="3"/>
      <c r="C660" s="3"/>
      <c r="D660" s="3"/>
      <c r="E660" s="3"/>
      <c r="F660" s="3"/>
      <c r="G660" s="3"/>
      <c r="H660" s="3"/>
      <c r="I660" s="2"/>
      <c r="J660" s="2"/>
      <c r="K660" s="2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22"/>
      <c r="B661" s="3"/>
      <c r="C661" s="3"/>
      <c r="D661" s="3"/>
      <c r="E661" s="3"/>
      <c r="F661" s="3"/>
      <c r="G661" s="3"/>
      <c r="H661" s="3"/>
      <c r="I661" s="2"/>
      <c r="J661" s="2"/>
      <c r="K661" s="2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22"/>
      <c r="B662" s="3"/>
      <c r="C662" s="3"/>
      <c r="D662" s="3"/>
      <c r="E662" s="3"/>
      <c r="F662" s="3"/>
      <c r="G662" s="3"/>
      <c r="H662" s="3"/>
      <c r="I662" s="2"/>
      <c r="J662" s="2"/>
      <c r="K662" s="2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22"/>
      <c r="B663" s="3"/>
      <c r="C663" s="3"/>
      <c r="D663" s="3"/>
      <c r="E663" s="3"/>
      <c r="F663" s="3"/>
      <c r="G663" s="3"/>
      <c r="H663" s="3"/>
      <c r="I663" s="2"/>
      <c r="J663" s="2"/>
      <c r="K663" s="2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22"/>
      <c r="B664" s="3"/>
      <c r="C664" s="3"/>
      <c r="D664" s="3"/>
      <c r="E664" s="3"/>
      <c r="F664" s="3"/>
      <c r="G664" s="3"/>
      <c r="H664" s="3"/>
      <c r="I664" s="2"/>
      <c r="J664" s="2"/>
      <c r="K664" s="2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22"/>
      <c r="B665" s="3"/>
      <c r="C665" s="3"/>
      <c r="D665" s="3"/>
      <c r="E665" s="3"/>
      <c r="F665" s="3"/>
      <c r="G665" s="3"/>
      <c r="H665" s="3"/>
      <c r="I665" s="2"/>
      <c r="J665" s="2"/>
      <c r="K665" s="2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22"/>
      <c r="B666" s="3"/>
      <c r="C666" s="3"/>
      <c r="D666" s="3"/>
      <c r="E666" s="3"/>
      <c r="F666" s="3"/>
      <c r="G666" s="3"/>
      <c r="H666" s="3"/>
      <c r="I666" s="2"/>
      <c r="J666" s="2"/>
      <c r="K666" s="2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22"/>
      <c r="B667" s="3"/>
      <c r="C667" s="3"/>
      <c r="D667" s="3"/>
      <c r="E667" s="3"/>
      <c r="F667" s="3"/>
      <c r="G667" s="3"/>
      <c r="H667" s="3"/>
      <c r="I667" s="2"/>
      <c r="J667" s="2"/>
      <c r="K667" s="2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22"/>
      <c r="B668" s="3"/>
      <c r="C668" s="3"/>
      <c r="D668" s="3"/>
      <c r="E668" s="3"/>
      <c r="F668" s="3"/>
      <c r="G668" s="3"/>
      <c r="H668" s="3"/>
      <c r="I668" s="2"/>
      <c r="J668" s="2"/>
      <c r="K668" s="2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22"/>
      <c r="B669" s="3"/>
      <c r="C669" s="3"/>
      <c r="D669" s="3"/>
      <c r="E669" s="3"/>
      <c r="F669" s="3"/>
      <c r="G669" s="3"/>
      <c r="H669" s="3"/>
      <c r="I669" s="2"/>
      <c r="J669" s="2"/>
      <c r="K669" s="2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22"/>
      <c r="B670" s="3"/>
      <c r="C670" s="3"/>
      <c r="D670" s="3"/>
      <c r="E670" s="3"/>
      <c r="F670" s="3"/>
      <c r="G670" s="3"/>
      <c r="H670" s="3"/>
      <c r="I670" s="2"/>
      <c r="J670" s="2"/>
      <c r="K670" s="2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22"/>
      <c r="B671" s="3"/>
      <c r="C671" s="3"/>
      <c r="D671" s="3"/>
      <c r="E671" s="3"/>
      <c r="F671" s="3"/>
      <c r="G671" s="3"/>
      <c r="H671" s="3"/>
      <c r="I671" s="2"/>
      <c r="J671" s="2"/>
      <c r="K671" s="2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22"/>
      <c r="B672" s="3"/>
      <c r="C672" s="3"/>
      <c r="D672" s="3"/>
      <c r="E672" s="3"/>
      <c r="F672" s="3"/>
      <c r="G672" s="3"/>
      <c r="H672" s="3"/>
      <c r="I672" s="2"/>
      <c r="J672" s="2"/>
      <c r="K672" s="2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22"/>
      <c r="B673" s="3"/>
      <c r="C673" s="3"/>
      <c r="D673" s="3"/>
      <c r="E673" s="3"/>
      <c r="F673" s="3"/>
      <c r="G673" s="3"/>
      <c r="H673" s="3"/>
      <c r="I673" s="2"/>
      <c r="J673" s="2"/>
      <c r="K673" s="2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22"/>
      <c r="B674" s="3"/>
      <c r="C674" s="3"/>
      <c r="D674" s="3"/>
      <c r="E674" s="3"/>
      <c r="F674" s="3"/>
      <c r="G674" s="3"/>
      <c r="H674" s="3"/>
      <c r="I674" s="2"/>
      <c r="J674" s="2"/>
      <c r="K674" s="2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22"/>
      <c r="B675" s="3"/>
      <c r="C675" s="3"/>
      <c r="D675" s="3"/>
      <c r="E675" s="3"/>
      <c r="F675" s="3"/>
      <c r="G675" s="3"/>
      <c r="H675" s="3"/>
      <c r="I675" s="2"/>
      <c r="J675" s="2"/>
      <c r="K675" s="2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22"/>
      <c r="B676" s="3"/>
      <c r="C676" s="3"/>
      <c r="D676" s="3"/>
      <c r="E676" s="3"/>
      <c r="F676" s="3"/>
      <c r="G676" s="3"/>
      <c r="H676" s="3"/>
      <c r="I676" s="2"/>
      <c r="J676" s="2"/>
      <c r="K676" s="2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22"/>
      <c r="B677" s="3"/>
      <c r="C677" s="3"/>
      <c r="D677" s="3"/>
      <c r="E677" s="3"/>
      <c r="F677" s="3"/>
      <c r="G677" s="3"/>
      <c r="H677" s="3"/>
      <c r="I677" s="2"/>
      <c r="J677" s="2"/>
      <c r="K677" s="2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22"/>
      <c r="B678" s="3"/>
      <c r="C678" s="3"/>
      <c r="D678" s="3"/>
      <c r="E678" s="3"/>
      <c r="F678" s="3"/>
      <c r="G678" s="3"/>
      <c r="H678" s="3"/>
      <c r="I678" s="2"/>
      <c r="J678" s="2"/>
      <c r="K678" s="2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22"/>
      <c r="B679" s="3"/>
      <c r="C679" s="3"/>
      <c r="D679" s="3"/>
      <c r="E679" s="3"/>
      <c r="F679" s="3"/>
      <c r="G679" s="3"/>
      <c r="H679" s="3"/>
      <c r="I679" s="2"/>
      <c r="J679" s="2"/>
      <c r="K679" s="2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22"/>
      <c r="B680" s="3"/>
      <c r="C680" s="3"/>
      <c r="D680" s="3"/>
      <c r="E680" s="3"/>
      <c r="F680" s="3"/>
      <c r="G680" s="3"/>
      <c r="H680" s="3"/>
      <c r="I680" s="2"/>
      <c r="J680" s="2"/>
      <c r="K680" s="2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22"/>
      <c r="B681" s="3"/>
      <c r="C681" s="3"/>
      <c r="D681" s="3"/>
      <c r="E681" s="3"/>
      <c r="F681" s="3"/>
      <c r="G681" s="3"/>
      <c r="H681" s="3"/>
      <c r="I681" s="2"/>
      <c r="J681" s="2"/>
      <c r="K681" s="2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22"/>
      <c r="B682" s="3"/>
      <c r="C682" s="3"/>
      <c r="D682" s="3"/>
      <c r="E682" s="3"/>
      <c r="F682" s="3"/>
      <c r="G682" s="3"/>
      <c r="H682" s="3"/>
      <c r="I682" s="2"/>
      <c r="J682" s="2"/>
      <c r="K682" s="2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22"/>
      <c r="B683" s="3"/>
      <c r="C683" s="3"/>
      <c r="D683" s="3"/>
      <c r="E683" s="3"/>
      <c r="F683" s="3"/>
      <c r="G683" s="3"/>
      <c r="H683" s="3"/>
      <c r="I683" s="2"/>
      <c r="J683" s="2"/>
      <c r="K683" s="2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22"/>
      <c r="B684" s="3"/>
      <c r="C684" s="3"/>
      <c r="D684" s="3"/>
      <c r="E684" s="3"/>
      <c r="F684" s="3"/>
      <c r="G684" s="3"/>
      <c r="H684" s="3"/>
      <c r="I684" s="2"/>
      <c r="J684" s="2"/>
      <c r="K684" s="2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22"/>
      <c r="B685" s="3"/>
      <c r="C685" s="3"/>
      <c r="D685" s="3"/>
      <c r="E685" s="3"/>
      <c r="F685" s="3"/>
      <c r="G685" s="3"/>
      <c r="H685" s="3"/>
      <c r="I685" s="2"/>
      <c r="J685" s="2"/>
      <c r="K685" s="2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22"/>
      <c r="B686" s="3"/>
      <c r="C686" s="3"/>
      <c r="D686" s="3"/>
      <c r="E686" s="3"/>
      <c r="F686" s="3"/>
      <c r="G686" s="3"/>
      <c r="H686" s="3"/>
      <c r="I686" s="2"/>
      <c r="J686" s="2"/>
      <c r="K686" s="2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22"/>
      <c r="B687" s="3"/>
      <c r="C687" s="3"/>
      <c r="D687" s="3"/>
      <c r="E687" s="3"/>
      <c r="F687" s="3"/>
      <c r="G687" s="3"/>
      <c r="H687" s="3"/>
      <c r="I687" s="2"/>
      <c r="J687" s="2"/>
      <c r="K687" s="2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22"/>
      <c r="B688" s="3"/>
      <c r="C688" s="3"/>
      <c r="D688" s="3"/>
      <c r="E688" s="3"/>
      <c r="F688" s="3"/>
      <c r="G688" s="3"/>
      <c r="H688" s="3"/>
      <c r="I688" s="2"/>
      <c r="J688" s="2"/>
      <c r="K688" s="2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22"/>
      <c r="B689" s="3"/>
      <c r="C689" s="3"/>
      <c r="D689" s="3"/>
      <c r="E689" s="3"/>
      <c r="F689" s="3"/>
      <c r="G689" s="3"/>
      <c r="H689" s="3"/>
      <c r="I689" s="2"/>
      <c r="J689" s="2"/>
      <c r="K689" s="2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22"/>
      <c r="B690" s="3"/>
      <c r="C690" s="3"/>
      <c r="D690" s="3"/>
      <c r="E690" s="3"/>
      <c r="F690" s="3"/>
      <c r="G690" s="3"/>
      <c r="H690" s="3"/>
      <c r="I690" s="2"/>
      <c r="J690" s="2"/>
      <c r="K690" s="2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22"/>
      <c r="B691" s="3"/>
      <c r="C691" s="3"/>
      <c r="D691" s="3"/>
      <c r="E691" s="3"/>
      <c r="F691" s="3"/>
      <c r="G691" s="3"/>
      <c r="H691" s="3"/>
      <c r="I691" s="2"/>
      <c r="J691" s="2"/>
      <c r="K691" s="2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22"/>
      <c r="B692" s="3"/>
      <c r="C692" s="3"/>
      <c r="D692" s="3"/>
      <c r="E692" s="3"/>
      <c r="F692" s="3"/>
      <c r="G692" s="3"/>
      <c r="H692" s="3"/>
      <c r="I692" s="2"/>
      <c r="J692" s="2"/>
      <c r="K692" s="2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22"/>
      <c r="B693" s="3"/>
      <c r="C693" s="3"/>
      <c r="D693" s="3"/>
      <c r="E693" s="3"/>
      <c r="F693" s="3"/>
      <c r="G693" s="3"/>
      <c r="H693" s="3"/>
      <c r="I693" s="2"/>
      <c r="J693" s="2"/>
      <c r="K693" s="2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22"/>
      <c r="B694" s="3"/>
      <c r="C694" s="3"/>
      <c r="D694" s="3"/>
      <c r="E694" s="3"/>
      <c r="F694" s="3"/>
      <c r="G694" s="3"/>
      <c r="H694" s="3"/>
      <c r="I694" s="2"/>
      <c r="J694" s="2"/>
      <c r="K694" s="2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22"/>
      <c r="B695" s="3"/>
      <c r="C695" s="3"/>
      <c r="D695" s="3"/>
      <c r="E695" s="3"/>
      <c r="F695" s="3"/>
      <c r="G695" s="3"/>
      <c r="H695" s="3"/>
      <c r="I695" s="2"/>
      <c r="J695" s="2"/>
      <c r="K695" s="2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22"/>
      <c r="B696" s="3"/>
      <c r="C696" s="3"/>
      <c r="D696" s="3"/>
      <c r="E696" s="3"/>
      <c r="F696" s="3"/>
      <c r="G696" s="3"/>
      <c r="H696" s="3"/>
      <c r="I696" s="2"/>
      <c r="J696" s="2"/>
      <c r="K696" s="2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22"/>
      <c r="B697" s="3"/>
      <c r="C697" s="3"/>
      <c r="D697" s="3"/>
      <c r="E697" s="3"/>
      <c r="F697" s="3"/>
      <c r="G697" s="3"/>
      <c r="H697" s="3"/>
      <c r="I697" s="2"/>
      <c r="J697" s="2"/>
      <c r="K697" s="2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22"/>
      <c r="B698" s="3"/>
      <c r="C698" s="3"/>
      <c r="D698" s="3"/>
      <c r="E698" s="3"/>
      <c r="F698" s="3"/>
      <c r="G698" s="3"/>
      <c r="H698" s="3"/>
      <c r="I698" s="2"/>
      <c r="J698" s="2"/>
      <c r="K698" s="2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22"/>
      <c r="B699" s="3"/>
      <c r="C699" s="3"/>
      <c r="D699" s="3"/>
      <c r="E699" s="3"/>
      <c r="F699" s="3"/>
      <c r="G699" s="3"/>
      <c r="H699" s="3"/>
      <c r="I699" s="2"/>
      <c r="J699" s="2"/>
      <c r="K699" s="2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22"/>
      <c r="B700" s="3"/>
      <c r="C700" s="3"/>
      <c r="D700" s="3"/>
      <c r="E700" s="3"/>
      <c r="F700" s="3"/>
      <c r="G700" s="3"/>
      <c r="H700" s="3"/>
      <c r="I700" s="2"/>
      <c r="J700" s="2"/>
      <c r="K700" s="2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22"/>
      <c r="B701" s="3"/>
      <c r="C701" s="3"/>
      <c r="D701" s="3"/>
      <c r="E701" s="3"/>
      <c r="F701" s="3"/>
      <c r="G701" s="3"/>
      <c r="H701" s="3"/>
      <c r="I701" s="2"/>
      <c r="J701" s="2"/>
      <c r="K701" s="2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22"/>
      <c r="B702" s="3"/>
      <c r="C702" s="3"/>
      <c r="D702" s="3"/>
      <c r="E702" s="3"/>
      <c r="F702" s="3"/>
      <c r="G702" s="3"/>
      <c r="H702" s="3"/>
      <c r="I702" s="2"/>
      <c r="J702" s="2"/>
      <c r="K702" s="2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22"/>
      <c r="B703" s="3"/>
      <c r="C703" s="3"/>
      <c r="D703" s="3"/>
      <c r="E703" s="3"/>
      <c r="F703" s="3"/>
      <c r="G703" s="3"/>
      <c r="H703" s="3"/>
      <c r="I703" s="2"/>
      <c r="J703" s="2"/>
      <c r="K703" s="2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22"/>
      <c r="B704" s="3"/>
      <c r="C704" s="3"/>
      <c r="D704" s="3"/>
      <c r="E704" s="3"/>
      <c r="F704" s="3"/>
      <c r="G704" s="3"/>
      <c r="H704" s="3"/>
      <c r="I704" s="2"/>
      <c r="J704" s="2"/>
      <c r="K704" s="2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22"/>
      <c r="B705" s="3"/>
      <c r="C705" s="3"/>
      <c r="D705" s="3"/>
      <c r="E705" s="3"/>
      <c r="F705" s="3"/>
      <c r="G705" s="3"/>
      <c r="H705" s="3"/>
      <c r="I705" s="2"/>
      <c r="J705" s="2"/>
      <c r="K705" s="2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22"/>
      <c r="B706" s="3"/>
      <c r="C706" s="3"/>
      <c r="D706" s="3"/>
      <c r="E706" s="3"/>
      <c r="F706" s="3"/>
      <c r="G706" s="3"/>
      <c r="H706" s="3"/>
      <c r="I706" s="2"/>
      <c r="J706" s="2"/>
      <c r="K706" s="2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22"/>
      <c r="B707" s="3"/>
      <c r="C707" s="3"/>
      <c r="D707" s="3"/>
      <c r="E707" s="3"/>
      <c r="F707" s="3"/>
      <c r="G707" s="3"/>
      <c r="H707" s="3"/>
      <c r="I707" s="2"/>
      <c r="J707" s="2"/>
      <c r="K707" s="2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22"/>
      <c r="B708" s="3"/>
      <c r="C708" s="3"/>
      <c r="D708" s="3"/>
      <c r="E708" s="3"/>
      <c r="F708" s="3"/>
      <c r="G708" s="3"/>
      <c r="H708" s="3"/>
      <c r="I708" s="2"/>
      <c r="J708" s="2"/>
      <c r="K708" s="2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22"/>
      <c r="B709" s="3"/>
      <c r="C709" s="3"/>
      <c r="D709" s="3"/>
      <c r="E709" s="3"/>
      <c r="F709" s="3"/>
      <c r="G709" s="3"/>
      <c r="H709" s="3"/>
      <c r="I709" s="2"/>
      <c r="J709" s="2"/>
      <c r="K709" s="2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22"/>
      <c r="B710" s="3"/>
      <c r="C710" s="3"/>
      <c r="D710" s="3"/>
      <c r="E710" s="3"/>
      <c r="F710" s="3"/>
      <c r="G710" s="3"/>
      <c r="H710" s="3"/>
      <c r="I710" s="2"/>
      <c r="J710" s="2"/>
      <c r="K710" s="2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22"/>
      <c r="B711" s="3"/>
      <c r="C711" s="3"/>
      <c r="D711" s="3"/>
      <c r="E711" s="3"/>
      <c r="F711" s="3"/>
      <c r="G711" s="3"/>
      <c r="H711" s="3"/>
      <c r="I711" s="2"/>
      <c r="J711" s="2"/>
      <c r="K711" s="2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22"/>
      <c r="B712" s="3"/>
      <c r="C712" s="3"/>
      <c r="D712" s="3"/>
      <c r="E712" s="3"/>
      <c r="F712" s="3"/>
      <c r="G712" s="3"/>
      <c r="H712" s="3"/>
      <c r="I712" s="2"/>
      <c r="J712" s="2"/>
      <c r="K712" s="2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22"/>
      <c r="B713" s="3"/>
      <c r="C713" s="3"/>
      <c r="D713" s="3"/>
      <c r="E713" s="3"/>
      <c r="F713" s="3"/>
      <c r="G713" s="3"/>
      <c r="H713" s="3"/>
      <c r="I713" s="2"/>
      <c r="J713" s="2"/>
      <c r="K713" s="2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22"/>
      <c r="B714" s="3"/>
      <c r="C714" s="3"/>
      <c r="D714" s="3"/>
      <c r="E714" s="3"/>
      <c r="F714" s="3"/>
      <c r="G714" s="3"/>
      <c r="H714" s="3"/>
      <c r="I714" s="2"/>
      <c r="J714" s="2"/>
      <c r="K714" s="2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22"/>
      <c r="B715" s="3"/>
      <c r="C715" s="3"/>
      <c r="D715" s="3"/>
      <c r="E715" s="3"/>
      <c r="F715" s="3"/>
      <c r="G715" s="3"/>
      <c r="H715" s="3"/>
      <c r="I715" s="2"/>
      <c r="J715" s="2"/>
      <c r="K715" s="2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22"/>
      <c r="B716" s="3"/>
      <c r="C716" s="3"/>
      <c r="D716" s="3"/>
      <c r="E716" s="3"/>
      <c r="F716" s="3"/>
      <c r="G716" s="3"/>
      <c r="H716" s="3"/>
      <c r="I716" s="2"/>
      <c r="J716" s="2"/>
      <c r="K716" s="2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22"/>
      <c r="B717" s="3"/>
      <c r="C717" s="3"/>
      <c r="D717" s="3"/>
      <c r="E717" s="3"/>
      <c r="F717" s="3"/>
      <c r="G717" s="3"/>
      <c r="H717" s="3"/>
      <c r="I717" s="2"/>
      <c r="J717" s="2"/>
      <c r="K717" s="2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22"/>
      <c r="B718" s="3"/>
      <c r="C718" s="3"/>
      <c r="D718" s="3"/>
      <c r="E718" s="3"/>
      <c r="F718" s="3"/>
      <c r="G718" s="3"/>
      <c r="H718" s="3"/>
      <c r="I718" s="2"/>
      <c r="J718" s="2"/>
      <c r="K718" s="2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22"/>
      <c r="B719" s="3"/>
      <c r="C719" s="3"/>
      <c r="D719" s="3"/>
      <c r="E719" s="3"/>
      <c r="F719" s="3"/>
      <c r="G719" s="3"/>
      <c r="H719" s="3"/>
      <c r="I719" s="2"/>
      <c r="J719" s="2"/>
      <c r="K719" s="2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22"/>
      <c r="B720" s="3"/>
      <c r="C720" s="3"/>
      <c r="D720" s="3"/>
      <c r="E720" s="3"/>
      <c r="F720" s="3"/>
      <c r="G720" s="3"/>
      <c r="H720" s="3"/>
      <c r="I720" s="2"/>
      <c r="J720" s="2"/>
      <c r="K720" s="2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22"/>
      <c r="B721" s="3"/>
      <c r="C721" s="3"/>
      <c r="D721" s="3"/>
      <c r="E721" s="3"/>
      <c r="F721" s="3"/>
      <c r="G721" s="3"/>
      <c r="H721" s="3"/>
      <c r="I721" s="2"/>
      <c r="J721" s="2"/>
      <c r="K721" s="2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22"/>
      <c r="B722" s="3"/>
      <c r="C722" s="3"/>
      <c r="D722" s="3"/>
      <c r="E722" s="3"/>
      <c r="F722" s="3"/>
      <c r="G722" s="3"/>
      <c r="H722" s="3"/>
      <c r="I722" s="2"/>
      <c r="J722" s="2"/>
      <c r="K722" s="2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22"/>
      <c r="B723" s="3"/>
      <c r="C723" s="3"/>
      <c r="D723" s="3"/>
      <c r="E723" s="3"/>
      <c r="F723" s="3"/>
      <c r="G723" s="3"/>
      <c r="H723" s="3"/>
      <c r="I723" s="2"/>
      <c r="J723" s="2"/>
      <c r="K723" s="2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22"/>
      <c r="B724" s="3"/>
      <c r="C724" s="3"/>
      <c r="D724" s="3"/>
      <c r="E724" s="3"/>
      <c r="F724" s="3"/>
      <c r="G724" s="3"/>
      <c r="H724" s="3"/>
      <c r="I724" s="2"/>
      <c r="J724" s="2"/>
      <c r="K724" s="2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22"/>
      <c r="B725" s="3"/>
      <c r="C725" s="3"/>
      <c r="D725" s="3"/>
      <c r="E725" s="3"/>
      <c r="F725" s="3"/>
      <c r="G725" s="3"/>
      <c r="H725" s="3"/>
      <c r="I725" s="2"/>
      <c r="J725" s="2"/>
      <c r="K725" s="2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22"/>
      <c r="B726" s="3"/>
      <c r="C726" s="3"/>
      <c r="D726" s="3"/>
      <c r="E726" s="3"/>
      <c r="F726" s="3"/>
      <c r="G726" s="3"/>
      <c r="H726" s="3"/>
      <c r="I726" s="2"/>
      <c r="J726" s="2"/>
      <c r="K726" s="2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22"/>
      <c r="B727" s="3"/>
      <c r="C727" s="3"/>
      <c r="D727" s="3"/>
      <c r="E727" s="3"/>
      <c r="F727" s="3"/>
      <c r="G727" s="3"/>
      <c r="H727" s="3"/>
      <c r="I727" s="2"/>
      <c r="J727" s="2"/>
      <c r="K727" s="2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22"/>
      <c r="B728" s="3"/>
      <c r="C728" s="3"/>
      <c r="D728" s="3"/>
      <c r="E728" s="3"/>
      <c r="F728" s="3"/>
      <c r="G728" s="3"/>
      <c r="H728" s="3"/>
      <c r="I728" s="2"/>
      <c r="J728" s="2"/>
      <c r="K728" s="2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22"/>
      <c r="B729" s="3"/>
      <c r="C729" s="3"/>
      <c r="D729" s="3"/>
      <c r="E729" s="3"/>
      <c r="F729" s="3"/>
      <c r="G729" s="3"/>
      <c r="H729" s="3"/>
      <c r="I729" s="2"/>
      <c r="J729" s="2"/>
      <c r="K729" s="2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22"/>
      <c r="B730" s="3"/>
      <c r="C730" s="3"/>
      <c r="D730" s="3"/>
      <c r="E730" s="3"/>
      <c r="F730" s="3"/>
      <c r="G730" s="3"/>
      <c r="H730" s="3"/>
      <c r="I730" s="2"/>
      <c r="J730" s="2"/>
      <c r="K730" s="2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22"/>
      <c r="B731" s="3"/>
      <c r="C731" s="3"/>
      <c r="D731" s="3"/>
      <c r="E731" s="3"/>
      <c r="F731" s="3"/>
      <c r="G731" s="3"/>
      <c r="H731" s="3"/>
      <c r="I731" s="2"/>
      <c r="J731" s="2"/>
      <c r="K731" s="2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22"/>
      <c r="B732" s="3"/>
      <c r="C732" s="3"/>
      <c r="D732" s="3"/>
      <c r="E732" s="3"/>
      <c r="F732" s="3"/>
      <c r="G732" s="3"/>
      <c r="H732" s="3"/>
      <c r="I732" s="2"/>
      <c r="J732" s="2"/>
      <c r="K732" s="2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22"/>
      <c r="B733" s="3"/>
      <c r="C733" s="3"/>
      <c r="D733" s="3"/>
      <c r="E733" s="3"/>
      <c r="F733" s="3"/>
      <c r="G733" s="3"/>
      <c r="H733" s="3"/>
      <c r="I733" s="2"/>
      <c r="J733" s="2"/>
      <c r="K733" s="2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22"/>
      <c r="B734" s="3"/>
      <c r="C734" s="3"/>
      <c r="D734" s="3"/>
      <c r="E734" s="3"/>
      <c r="F734" s="3"/>
      <c r="G734" s="3"/>
      <c r="H734" s="3"/>
      <c r="I734" s="2"/>
      <c r="J734" s="2"/>
      <c r="K734" s="2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22"/>
      <c r="B735" s="3"/>
      <c r="C735" s="3"/>
      <c r="D735" s="3"/>
      <c r="E735" s="3"/>
      <c r="F735" s="3"/>
      <c r="G735" s="3"/>
      <c r="H735" s="3"/>
      <c r="I735" s="2"/>
      <c r="J735" s="2"/>
      <c r="K735" s="2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22"/>
      <c r="B736" s="3"/>
      <c r="C736" s="3"/>
      <c r="D736" s="3"/>
      <c r="E736" s="3"/>
      <c r="F736" s="3"/>
      <c r="G736" s="3"/>
      <c r="H736" s="3"/>
      <c r="I736" s="2"/>
      <c r="J736" s="2"/>
      <c r="K736" s="2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22"/>
      <c r="B737" s="3"/>
      <c r="C737" s="3"/>
      <c r="D737" s="3"/>
      <c r="E737" s="3"/>
      <c r="F737" s="3"/>
      <c r="G737" s="3"/>
      <c r="H737" s="3"/>
      <c r="I737" s="2"/>
      <c r="J737" s="2"/>
      <c r="K737" s="2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22"/>
      <c r="B738" s="3"/>
      <c r="C738" s="3"/>
      <c r="D738" s="3"/>
      <c r="E738" s="3"/>
      <c r="F738" s="3"/>
      <c r="G738" s="3"/>
      <c r="H738" s="3"/>
      <c r="I738" s="2"/>
      <c r="J738" s="2"/>
      <c r="K738" s="2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22"/>
      <c r="B739" s="3"/>
      <c r="C739" s="3"/>
      <c r="D739" s="3"/>
      <c r="E739" s="3"/>
      <c r="F739" s="3"/>
      <c r="G739" s="3"/>
      <c r="H739" s="3"/>
      <c r="I739" s="2"/>
      <c r="J739" s="2"/>
      <c r="K739" s="2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22"/>
      <c r="B740" s="3"/>
      <c r="C740" s="3"/>
      <c r="D740" s="3"/>
      <c r="E740" s="3"/>
      <c r="F740" s="3"/>
      <c r="G740" s="3"/>
      <c r="H740" s="3"/>
      <c r="I740" s="2"/>
      <c r="J740" s="2"/>
      <c r="K740" s="2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22"/>
      <c r="B741" s="3"/>
      <c r="C741" s="3"/>
      <c r="D741" s="3"/>
      <c r="E741" s="3"/>
      <c r="F741" s="3"/>
      <c r="G741" s="3"/>
      <c r="H741" s="3"/>
      <c r="I741" s="2"/>
      <c r="J741" s="2"/>
      <c r="K741" s="2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22"/>
      <c r="B742" s="3"/>
      <c r="C742" s="3"/>
      <c r="D742" s="3"/>
      <c r="E742" s="3"/>
      <c r="F742" s="3"/>
      <c r="G742" s="3"/>
      <c r="H742" s="3"/>
      <c r="I742" s="2"/>
      <c r="J742" s="2"/>
      <c r="K742" s="2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22"/>
      <c r="B743" s="3"/>
      <c r="C743" s="3"/>
      <c r="D743" s="3"/>
      <c r="E743" s="3"/>
      <c r="F743" s="3"/>
      <c r="G743" s="3"/>
      <c r="H743" s="3"/>
      <c r="I743" s="2"/>
      <c r="J743" s="2"/>
      <c r="K743" s="2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22"/>
      <c r="B744" s="3"/>
      <c r="C744" s="3"/>
      <c r="D744" s="3"/>
      <c r="E744" s="3"/>
      <c r="F744" s="3"/>
      <c r="G744" s="3"/>
      <c r="H744" s="3"/>
      <c r="I744" s="2"/>
      <c r="J744" s="2"/>
      <c r="K744" s="2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22"/>
      <c r="B745" s="3"/>
      <c r="C745" s="3"/>
      <c r="D745" s="3"/>
      <c r="E745" s="3"/>
      <c r="F745" s="3"/>
      <c r="G745" s="3"/>
      <c r="H745" s="3"/>
      <c r="I745" s="2"/>
      <c r="J745" s="2"/>
      <c r="K745" s="2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22"/>
      <c r="B746" s="3"/>
      <c r="C746" s="3"/>
      <c r="D746" s="3"/>
      <c r="E746" s="3"/>
      <c r="F746" s="3"/>
      <c r="G746" s="3"/>
      <c r="H746" s="3"/>
      <c r="I746" s="2"/>
      <c r="J746" s="2"/>
      <c r="K746" s="2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22"/>
      <c r="B747" s="3"/>
      <c r="C747" s="3"/>
      <c r="D747" s="3"/>
      <c r="E747" s="3"/>
      <c r="F747" s="3"/>
      <c r="G747" s="3"/>
      <c r="H747" s="3"/>
      <c r="I747" s="2"/>
      <c r="J747" s="2"/>
      <c r="K747" s="2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22"/>
      <c r="B748" s="3"/>
      <c r="C748" s="3"/>
      <c r="D748" s="3"/>
      <c r="E748" s="3"/>
      <c r="F748" s="3"/>
      <c r="G748" s="3"/>
      <c r="H748" s="3"/>
      <c r="I748" s="2"/>
      <c r="J748" s="2"/>
      <c r="K748" s="2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22"/>
      <c r="B749" s="3"/>
      <c r="C749" s="3"/>
      <c r="D749" s="3"/>
      <c r="E749" s="3"/>
      <c r="F749" s="3"/>
      <c r="G749" s="3"/>
      <c r="H749" s="3"/>
      <c r="I749" s="2"/>
      <c r="J749" s="2"/>
      <c r="K749" s="2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22"/>
      <c r="B750" s="3"/>
      <c r="C750" s="3"/>
      <c r="D750" s="3"/>
      <c r="E750" s="3"/>
      <c r="F750" s="3"/>
      <c r="G750" s="3"/>
      <c r="H750" s="3"/>
      <c r="I750" s="2"/>
      <c r="J750" s="2"/>
      <c r="K750" s="2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22"/>
      <c r="B751" s="3"/>
      <c r="C751" s="3"/>
      <c r="D751" s="3"/>
      <c r="E751" s="3"/>
      <c r="F751" s="3"/>
      <c r="G751" s="3"/>
      <c r="H751" s="3"/>
      <c r="I751" s="2"/>
      <c r="J751" s="2"/>
      <c r="K751" s="2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22"/>
      <c r="B752" s="3"/>
      <c r="C752" s="3"/>
      <c r="D752" s="3"/>
      <c r="E752" s="3"/>
      <c r="F752" s="3"/>
      <c r="G752" s="3"/>
      <c r="H752" s="3"/>
      <c r="I752" s="2"/>
      <c r="J752" s="2"/>
      <c r="K752" s="2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22"/>
      <c r="B753" s="3"/>
      <c r="C753" s="3"/>
      <c r="D753" s="3"/>
      <c r="E753" s="3"/>
      <c r="F753" s="3"/>
      <c r="G753" s="3"/>
      <c r="H753" s="3"/>
      <c r="I753" s="2"/>
      <c r="J753" s="2"/>
      <c r="K753" s="2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22"/>
      <c r="B754" s="3"/>
      <c r="C754" s="3"/>
      <c r="D754" s="3"/>
      <c r="E754" s="3"/>
      <c r="F754" s="3"/>
      <c r="G754" s="3"/>
      <c r="H754" s="3"/>
      <c r="I754" s="2"/>
      <c r="J754" s="2"/>
      <c r="K754" s="2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22"/>
      <c r="B755" s="3"/>
      <c r="C755" s="3"/>
      <c r="D755" s="3"/>
      <c r="E755" s="3"/>
      <c r="F755" s="3"/>
      <c r="G755" s="3"/>
      <c r="H755" s="3"/>
      <c r="I755" s="2"/>
      <c r="J755" s="2"/>
      <c r="K755" s="2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22"/>
      <c r="B756" s="3"/>
      <c r="C756" s="3"/>
      <c r="D756" s="3"/>
      <c r="E756" s="3"/>
      <c r="F756" s="3"/>
      <c r="G756" s="3"/>
      <c r="H756" s="3"/>
      <c r="I756" s="2"/>
      <c r="J756" s="2"/>
      <c r="K756" s="2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22"/>
      <c r="B757" s="3"/>
      <c r="C757" s="3"/>
      <c r="D757" s="3"/>
      <c r="E757" s="3"/>
      <c r="F757" s="3"/>
      <c r="G757" s="3"/>
      <c r="H757" s="3"/>
      <c r="I757" s="2"/>
      <c r="J757" s="2"/>
      <c r="K757" s="2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22"/>
      <c r="B758" s="3"/>
      <c r="C758" s="3"/>
      <c r="D758" s="3"/>
      <c r="E758" s="3"/>
      <c r="F758" s="3"/>
      <c r="G758" s="3"/>
      <c r="H758" s="3"/>
      <c r="I758" s="2"/>
      <c r="J758" s="2"/>
      <c r="K758" s="2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22"/>
      <c r="B759" s="3"/>
      <c r="C759" s="3"/>
      <c r="D759" s="3"/>
      <c r="E759" s="3"/>
      <c r="F759" s="3"/>
      <c r="G759" s="3"/>
      <c r="H759" s="3"/>
      <c r="I759" s="2"/>
      <c r="J759" s="2"/>
      <c r="K759" s="2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22"/>
      <c r="B760" s="3"/>
      <c r="C760" s="3"/>
      <c r="D760" s="3"/>
      <c r="E760" s="3"/>
      <c r="F760" s="3"/>
      <c r="G760" s="3"/>
      <c r="H760" s="3"/>
      <c r="I760" s="2"/>
      <c r="J760" s="2"/>
      <c r="K760" s="2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22"/>
      <c r="B761" s="3"/>
      <c r="C761" s="3"/>
      <c r="D761" s="3"/>
      <c r="E761" s="3"/>
      <c r="F761" s="3"/>
      <c r="G761" s="3"/>
      <c r="H761" s="3"/>
      <c r="I761" s="2"/>
      <c r="J761" s="2"/>
      <c r="K761" s="2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22"/>
      <c r="B762" s="3"/>
      <c r="C762" s="3"/>
      <c r="D762" s="3"/>
      <c r="E762" s="3"/>
      <c r="F762" s="3"/>
      <c r="G762" s="3"/>
      <c r="H762" s="3"/>
      <c r="I762" s="2"/>
      <c r="J762" s="2"/>
      <c r="K762" s="2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22"/>
      <c r="B763" s="3"/>
      <c r="C763" s="3"/>
      <c r="D763" s="3"/>
      <c r="E763" s="3"/>
      <c r="F763" s="3"/>
      <c r="G763" s="3"/>
      <c r="H763" s="3"/>
      <c r="I763" s="2"/>
      <c r="J763" s="2"/>
      <c r="K763" s="2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22"/>
      <c r="B764" s="3"/>
      <c r="C764" s="3"/>
      <c r="D764" s="3"/>
      <c r="E764" s="3"/>
      <c r="F764" s="3"/>
      <c r="G764" s="3"/>
      <c r="H764" s="3"/>
      <c r="I764" s="2"/>
      <c r="J764" s="2"/>
      <c r="K764" s="2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22"/>
      <c r="B765" s="3"/>
      <c r="C765" s="3"/>
      <c r="D765" s="3"/>
      <c r="E765" s="3"/>
      <c r="F765" s="3"/>
      <c r="G765" s="3"/>
      <c r="H765" s="3"/>
      <c r="I765" s="2"/>
      <c r="J765" s="2"/>
      <c r="K765" s="2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22"/>
      <c r="B766" s="3"/>
      <c r="C766" s="3"/>
      <c r="D766" s="3"/>
      <c r="E766" s="3"/>
      <c r="F766" s="3"/>
      <c r="G766" s="3"/>
      <c r="H766" s="3"/>
      <c r="I766" s="2"/>
      <c r="J766" s="2"/>
      <c r="K766" s="2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22"/>
      <c r="B767" s="3"/>
      <c r="C767" s="3"/>
      <c r="D767" s="3"/>
      <c r="E767" s="3"/>
      <c r="F767" s="3"/>
      <c r="G767" s="3"/>
      <c r="H767" s="3"/>
      <c r="I767" s="2"/>
      <c r="J767" s="2"/>
      <c r="K767" s="2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22"/>
      <c r="B768" s="3"/>
      <c r="C768" s="3"/>
      <c r="D768" s="3"/>
      <c r="E768" s="3"/>
      <c r="F768" s="3"/>
      <c r="G768" s="3"/>
      <c r="H768" s="3"/>
      <c r="I768" s="2"/>
      <c r="J768" s="2"/>
      <c r="K768" s="2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22"/>
      <c r="B769" s="3"/>
      <c r="C769" s="3"/>
      <c r="D769" s="3"/>
      <c r="E769" s="3"/>
      <c r="F769" s="3"/>
      <c r="G769" s="3"/>
      <c r="H769" s="3"/>
      <c r="I769" s="2"/>
      <c r="J769" s="2"/>
      <c r="K769" s="2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22"/>
      <c r="B770" s="3"/>
      <c r="C770" s="3"/>
      <c r="D770" s="3"/>
      <c r="E770" s="3"/>
      <c r="F770" s="3"/>
      <c r="G770" s="3"/>
      <c r="H770" s="3"/>
      <c r="I770" s="2"/>
      <c r="J770" s="2"/>
      <c r="K770" s="2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22"/>
      <c r="B771" s="3"/>
      <c r="C771" s="3"/>
      <c r="D771" s="3"/>
      <c r="E771" s="3"/>
      <c r="F771" s="3"/>
      <c r="G771" s="3"/>
      <c r="H771" s="3"/>
      <c r="I771" s="2"/>
      <c r="J771" s="2"/>
      <c r="K771" s="2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22"/>
      <c r="B772" s="3"/>
      <c r="C772" s="3"/>
      <c r="D772" s="3"/>
      <c r="E772" s="3"/>
      <c r="F772" s="3"/>
      <c r="G772" s="3"/>
      <c r="H772" s="3"/>
      <c r="I772" s="2"/>
      <c r="J772" s="2"/>
      <c r="K772" s="2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22"/>
      <c r="B773" s="3"/>
      <c r="C773" s="3"/>
      <c r="D773" s="3"/>
      <c r="E773" s="3"/>
      <c r="F773" s="3"/>
      <c r="G773" s="3"/>
      <c r="H773" s="3"/>
      <c r="I773" s="2"/>
      <c r="J773" s="2"/>
      <c r="K773" s="2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22"/>
      <c r="B774" s="3"/>
      <c r="C774" s="3"/>
      <c r="D774" s="3"/>
      <c r="E774" s="3"/>
      <c r="F774" s="3"/>
      <c r="G774" s="3"/>
      <c r="H774" s="3"/>
      <c r="I774" s="2"/>
      <c r="J774" s="2"/>
      <c r="K774" s="2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22"/>
      <c r="B775" s="3"/>
      <c r="C775" s="3"/>
      <c r="D775" s="3"/>
      <c r="E775" s="3"/>
      <c r="F775" s="3"/>
      <c r="G775" s="3"/>
      <c r="H775" s="3"/>
      <c r="I775" s="2"/>
      <c r="J775" s="2"/>
      <c r="K775" s="2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22"/>
      <c r="B776" s="3"/>
      <c r="C776" s="3"/>
      <c r="D776" s="3"/>
      <c r="E776" s="3"/>
      <c r="F776" s="3"/>
      <c r="G776" s="3"/>
      <c r="H776" s="3"/>
      <c r="I776" s="2"/>
      <c r="J776" s="2"/>
      <c r="K776" s="2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22"/>
      <c r="B777" s="3"/>
      <c r="C777" s="3"/>
      <c r="D777" s="3"/>
      <c r="E777" s="3"/>
      <c r="F777" s="3"/>
      <c r="G777" s="3"/>
      <c r="H777" s="3"/>
      <c r="I777" s="2"/>
      <c r="J777" s="2"/>
      <c r="K777" s="2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22"/>
      <c r="B778" s="3"/>
      <c r="C778" s="3"/>
      <c r="D778" s="3"/>
      <c r="E778" s="3"/>
      <c r="F778" s="3"/>
      <c r="G778" s="3"/>
      <c r="H778" s="3"/>
      <c r="I778" s="2"/>
      <c r="J778" s="2"/>
      <c r="K778" s="2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22"/>
      <c r="B779" s="3"/>
      <c r="C779" s="3"/>
      <c r="D779" s="3"/>
      <c r="E779" s="3"/>
      <c r="F779" s="3"/>
      <c r="G779" s="3"/>
      <c r="H779" s="3"/>
      <c r="I779" s="2"/>
      <c r="J779" s="2"/>
      <c r="K779" s="2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22"/>
      <c r="B780" s="3"/>
      <c r="C780" s="3"/>
      <c r="D780" s="3"/>
      <c r="E780" s="3"/>
      <c r="F780" s="3"/>
      <c r="G780" s="3"/>
      <c r="H780" s="3"/>
      <c r="I780" s="2"/>
      <c r="J780" s="2"/>
      <c r="K780" s="2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22"/>
      <c r="B781" s="3"/>
      <c r="C781" s="3"/>
      <c r="D781" s="3"/>
      <c r="E781" s="3"/>
      <c r="F781" s="3"/>
      <c r="G781" s="3"/>
      <c r="H781" s="3"/>
      <c r="I781" s="2"/>
      <c r="J781" s="2"/>
      <c r="K781" s="2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22"/>
      <c r="B782" s="3"/>
      <c r="C782" s="3"/>
      <c r="D782" s="3"/>
      <c r="E782" s="3"/>
      <c r="F782" s="3"/>
      <c r="G782" s="3"/>
      <c r="H782" s="3"/>
      <c r="I782" s="2"/>
      <c r="J782" s="2"/>
      <c r="K782" s="2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22"/>
      <c r="B783" s="3"/>
      <c r="C783" s="3"/>
      <c r="D783" s="3"/>
      <c r="E783" s="3"/>
      <c r="F783" s="3"/>
      <c r="G783" s="3"/>
      <c r="H783" s="3"/>
      <c r="I783" s="2"/>
      <c r="J783" s="2"/>
      <c r="K783" s="2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22"/>
      <c r="B784" s="3"/>
      <c r="C784" s="3"/>
      <c r="D784" s="3"/>
      <c r="E784" s="3"/>
      <c r="F784" s="3"/>
      <c r="G784" s="3"/>
      <c r="H784" s="3"/>
      <c r="I784" s="2"/>
      <c r="J784" s="2"/>
      <c r="K784" s="2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22"/>
      <c r="B785" s="3"/>
      <c r="C785" s="3"/>
      <c r="D785" s="3"/>
      <c r="E785" s="3"/>
      <c r="F785" s="3"/>
      <c r="G785" s="3"/>
      <c r="H785" s="3"/>
      <c r="I785" s="2"/>
      <c r="J785" s="2"/>
      <c r="K785" s="2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22"/>
      <c r="B786" s="3"/>
      <c r="C786" s="3"/>
      <c r="D786" s="3"/>
      <c r="E786" s="3"/>
      <c r="F786" s="3"/>
      <c r="G786" s="3"/>
      <c r="H786" s="3"/>
      <c r="I786" s="2"/>
      <c r="J786" s="2"/>
      <c r="K786" s="2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22"/>
      <c r="B787" s="3"/>
      <c r="C787" s="3"/>
      <c r="D787" s="3"/>
      <c r="E787" s="3"/>
      <c r="F787" s="3"/>
      <c r="G787" s="3"/>
      <c r="H787" s="3"/>
      <c r="I787" s="2"/>
      <c r="J787" s="2"/>
      <c r="K787" s="2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22"/>
      <c r="B788" s="3"/>
      <c r="C788" s="3"/>
      <c r="D788" s="3"/>
      <c r="E788" s="3"/>
      <c r="F788" s="3"/>
      <c r="G788" s="3"/>
      <c r="H788" s="3"/>
      <c r="I788" s="2"/>
      <c r="J788" s="2"/>
      <c r="K788" s="2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22"/>
      <c r="B789" s="3"/>
      <c r="C789" s="3"/>
      <c r="D789" s="3"/>
      <c r="E789" s="3"/>
      <c r="F789" s="3"/>
      <c r="G789" s="3"/>
      <c r="H789" s="3"/>
      <c r="I789" s="2"/>
      <c r="J789" s="2"/>
      <c r="K789" s="2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22"/>
      <c r="B790" s="3"/>
      <c r="C790" s="3"/>
      <c r="D790" s="3"/>
      <c r="E790" s="3"/>
      <c r="F790" s="3"/>
      <c r="G790" s="3"/>
      <c r="H790" s="3"/>
      <c r="I790" s="2"/>
      <c r="J790" s="2"/>
      <c r="K790" s="2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22"/>
      <c r="B791" s="3"/>
      <c r="C791" s="3"/>
      <c r="D791" s="3"/>
      <c r="E791" s="3"/>
      <c r="F791" s="3"/>
      <c r="G791" s="3"/>
      <c r="H791" s="3"/>
      <c r="I791" s="2"/>
      <c r="J791" s="2"/>
      <c r="K791" s="2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22"/>
      <c r="B792" s="3"/>
      <c r="C792" s="3"/>
      <c r="D792" s="3"/>
      <c r="E792" s="3"/>
      <c r="F792" s="3"/>
      <c r="G792" s="3"/>
      <c r="H792" s="3"/>
      <c r="I792" s="2"/>
      <c r="J792" s="2"/>
      <c r="K792" s="2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22"/>
      <c r="B793" s="3"/>
      <c r="C793" s="3"/>
      <c r="D793" s="3"/>
      <c r="E793" s="3"/>
      <c r="F793" s="3"/>
      <c r="G793" s="3"/>
      <c r="H793" s="3"/>
      <c r="I793" s="2"/>
      <c r="J793" s="2"/>
      <c r="K793" s="2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22"/>
      <c r="B794" s="3"/>
      <c r="C794" s="3"/>
      <c r="D794" s="3"/>
      <c r="E794" s="3"/>
      <c r="F794" s="3"/>
      <c r="G794" s="3"/>
      <c r="H794" s="3"/>
      <c r="I794" s="2"/>
      <c r="J794" s="2"/>
      <c r="K794" s="2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22"/>
      <c r="B795" s="3"/>
      <c r="C795" s="3"/>
      <c r="D795" s="3"/>
      <c r="E795" s="3"/>
      <c r="F795" s="3"/>
      <c r="G795" s="3"/>
      <c r="H795" s="3"/>
      <c r="I795" s="2"/>
      <c r="J795" s="2"/>
      <c r="K795" s="2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22"/>
      <c r="B796" s="3"/>
      <c r="C796" s="3"/>
      <c r="D796" s="3"/>
      <c r="E796" s="3"/>
      <c r="F796" s="3"/>
      <c r="G796" s="3"/>
      <c r="H796" s="3"/>
      <c r="I796" s="2"/>
      <c r="J796" s="2"/>
      <c r="K796" s="2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22"/>
      <c r="B797" s="3"/>
      <c r="C797" s="3"/>
      <c r="D797" s="3"/>
      <c r="E797" s="3"/>
      <c r="F797" s="3"/>
      <c r="G797" s="3"/>
      <c r="H797" s="3"/>
      <c r="I797" s="2"/>
      <c r="J797" s="2"/>
      <c r="K797" s="2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22"/>
      <c r="B798" s="3"/>
      <c r="C798" s="3"/>
      <c r="D798" s="3"/>
      <c r="E798" s="3"/>
      <c r="F798" s="3"/>
      <c r="G798" s="3"/>
      <c r="H798" s="3"/>
      <c r="I798" s="2"/>
      <c r="J798" s="2"/>
      <c r="K798" s="2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22"/>
      <c r="B799" s="3"/>
      <c r="C799" s="3"/>
      <c r="D799" s="3"/>
      <c r="E799" s="3"/>
      <c r="F799" s="3"/>
      <c r="G799" s="3"/>
      <c r="H799" s="3"/>
      <c r="I799" s="2"/>
      <c r="J799" s="2"/>
      <c r="K799" s="2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22"/>
      <c r="B800" s="3"/>
      <c r="C800" s="3"/>
      <c r="D800" s="3"/>
      <c r="E800" s="3"/>
      <c r="F800" s="3"/>
      <c r="G800" s="3"/>
      <c r="H800" s="3"/>
      <c r="I800" s="2"/>
      <c r="J800" s="2"/>
      <c r="K800" s="2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22"/>
      <c r="B801" s="3"/>
      <c r="C801" s="3"/>
      <c r="D801" s="3"/>
      <c r="E801" s="3"/>
      <c r="F801" s="3"/>
      <c r="G801" s="3"/>
      <c r="H801" s="3"/>
      <c r="I801" s="2"/>
      <c r="J801" s="2"/>
      <c r="K801" s="2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22"/>
      <c r="B802" s="3"/>
      <c r="C802" s="3"/>
      <c r="D802" s="3"/>
      <c r="E802" s="3"/>
      <c r="F802" s="3"/>
      <c r="G802" s="3"/>
      <c r="H802" s="3"/>
      <c r="I802" s="2"/>
      <c r="J802" s="2"/>
      <c r="K802" s="2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22"/>
      <c r="B803" s="3"/>
      <c r="C803" s="3"/>
      <c r="D803" s="3"/>
      <c r="E803" s="3"/>
      <c r="F803" s="3"/>
      <c r="G803" s="3"/>
      <c r="H803" s="3"/>
      <c r="I803" s="2"/>
      <c r="J803" s="2"/>
      <c r="K803" s="2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22"/>
      <c r="B804" s="3"/>
      <c r="C804" s="3"/>
      <c r="D804" s="3"/>
      <c r="E804" s="3"/>
      <c r="F804" s="3"/>
      <c r="G804" s="3"/>
      <c r="H804" s="3"/>
      <c r="I804" s="2"/>
      <c r="J804" s="2"/>
      <c r="K804" s="2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22"/>
      <c r="B805" s="3"/>
      <c r="C805" s="3"/>
      <c r="D805" s="3"/>
      <c r="E805" s="3"/>
      <c r="F805" s="3"/>
      <c r="G805" s="3"/>
      <c r="H805" s="3"/>
      <c r="I805" s="2"/>
      <c r="J805" s="2"/>
      <c r="K805" s="2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22"/>
      <c r="B806" s="3"/>
      <c r="C806" s="3"/>
      <c r="D806" s="3"/>
      <c r="E806" s="3"/>
      <c r="F806" s="3"/>
      <c r="G806" s="3"/>
      <c r="H806" s="3"/>
      <c r="I806" s="2"/>
      <c r="J806" s="2"/>
      <c r="K806" s="2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22"/>
      <c r="B807" s="3"/>
      <c r="C807" s="3"/>
      <c r="D807" s="3"/>
      <c r="E807" s="3"/>
      <c r="F807" s="3"/>
      <c r="G807" s="3"/>
      <c r="H807" s="3"/>
      <c r="I807" s="2"/>
      <c r="J807" s="2"/>
      <c r="K807" s="2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22"/>
      <c r="B808" s="3"/>
      <c r="C808" s="3"/>
      <c r="D808" s="3"/>
      <c r="E808" s="3"/>
      <c r="F808" s="3"/>
      <c r="G808" s="3"/>
      <c r="H808" s="3"/>
      <c r="I808" s="2"/>
      <c r="J808" s="2"/>
      <c r="K808" s="2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22"/>
      <c r="B809" s="3"/>
      <c r="C809" s="3"/>
      <c r="D809" s="3"/>
      <c r="E809" s="3"/>
      <c r="F809" s="3"/>
      <c r="G809" s="3"/>
      <c r="H809" s="3"/>
      <c r="I809" s="2"/>
      <c r="J809" s="2"/>
      <c r="K809" s="2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22"/>
      <c r="B810" s="3"/>
      <c r="C810" s="3"/>
      <c r="D810" s="3"/>
      <c r="E810" s="3"/>
      <c r="F810" s="3"/>
      <c r="G810" s="3"/>
      <c r="H810" s="3"/>
      <c r="I810" s="2"/>
      <c r="J810" s="2"/>
      <c r="K810" s="2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22"/>
      <c r="B811" s="3"/>
      <c r="C811" s="3"/>
      <c r="D811" s="3"/>
      <c r="E811" s="3"/>
      <c r="F811" s="3"/>
      <c r="G811" s="3"/>
      <c r="H811" s="3"/>
      <c r="I811" s="2"/>
      <c r="J811" s="2"/>
      <c r="K811" s="2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22"/>
      <c r="B812" s="3"/>
      <c r="C812" s="3"/>
      <c r="D812" s="3"/>
      <c r="E812" s="3"/>
      <c r="F812" s="3"/>
      <c r="G812" s="3"/>
      <c r="H812" s="3"/>
      <c r="I812" s="2"/>
      <c r="J812" s="2"/>
      <c r="K812" s="2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22"/>
      <c r="B813" s="3"/>
      <c r="C813" s="3"/>
      <c r="D813" s="3"/>
      <c r="E813" s="3"/>
      <c r="F813" s="3"/>
      <c r="G813" s="3"/>
      <c r="H813" s="3"/>
      <c r="I813" s="2"/>
      <c r="J813" s="2"/>
      <c r="K813" s="2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22"/>
      <c r="B814" s="3"/>
      <c r="C814" s="3"/>
      <c r="D814" s="3"/>
      <c r="E814" s="3"/>
      <c r="F814" s="3"/>
      <c r="G814" s="3"/>
      <c r="H814" s="3"/>
      <c r="I814" s="2"/>
      <c r="J814" s="2"/>
      <c r="K814" s="2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22"/>
      <c r="B815" s="3"/>
      <c r="C815" s="3"/>
      <c r="D815" s="3"/>
      <c r="E815" s="3"/>
      <c r="F815" s="3"/>
      <c r="G815" s="3"/>
      <c r="H815" s="3"/>
      <c r="I815" s="2"/>
      <c r="J815" s="2"/>
      <c r="K815" s="2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22"/>
      <c r="B816" s="3"/>
      <c r="C816" s="3"/>
      <c r="D816" s="3"/>
      <c r="E816" s="3"/>
      <c r="F816" s="3"/>
      <c r="G816" s="3"/>
      <c r="H816" s="3"/>
      <c r="I816" s="2"/>
      <c r="J816" s="2"/>
      <c r="K816" s="2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22"/>
      <c r="B817" s="3"/>
      <c r="C817" s="3"/>
      <c r="D817" s="3"/>
      <c r="E817" s="3"/>
      <c r="F817" s="3"/>
      <c r="G817" s="3"/>
      <c r="H817" s="3"/>
      <c r="I817" s="2"/>
      <c r="J817" s="2"/>
      <c r="K817" s="2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22"/>
      <c r="B818" s="3"/>
      <c r="C818" s="3"/>
      <c r="D818" s="3"/>
      <c r="E818" s="3"/>
      <c r="F818" s="3"/>
      <c r="G818" s="3"/>
      <c r="H818" s="3"/>
      <c r="I818" s="2"/>
      <c r="J818" s="2"/>
      <c r="K818" s="2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22"/>
      <c r="B819" s="3"/>
      <c r="C819" s="3"/>
      <c r="D819" s="3"/>
      <c r="E819" s="3"/>
      <c r="F819" s="3"/>
      <c r="G819" s="3"/>
      <c r="H819" s="3"/>
      <c r="I819" s="2"/>
      <c r="J819" s="2"/>
      <c r="K819" s="2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22"/>
      <c r="B820" s="3"/>
      <c r="C820" s="3"/>
      <c r="D820" s="3"/>
      <c r="E820" s="3"/>
      <c r="F820" s="3"/>
      <c r="G820" s="3"/>
      <c r="H820" s="3"/>
      <c r="I820" s="2"/>
      <c r="J820" s="2"/>
      <c r="K820" s="2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22"/>
      <c r="B821" s="3"/>
      <c r="C821" s="3"/>
      <c r="D821" s="3"/>
      <c r="E821" s="3"/>
      <c r="F821" s="3"/>
      <c r="G821" s="3"/>
      <c r="H821" s="3"/>
      <c r="I821" s="2"/>
      <c r="J821" s="2"/>
      <c r="K821" s="2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22"/>
      <c r="B822" s="3"/>
      <c r="C822" s="3"/>
      <c r="D822" s="3"/>
      <c r="E822" s="3"/>
      <c r="F822" s="3"/>
      <c r="G822" s="3"/>
      <c r="H822" s="3"/>
      <c r="I822" s="2"/>
      <c r="J822" s="2"/>
      <c r="K822" s="2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22"/>
      <c r="B823" s="3"/>
      <c r="C823" s="3"/>
      <c r="D823" s="3"/>
      <c r="E823" s="3"/>
      <c r="F823" s="3"/>
      <c r="G823" s="3"/>
      <c r="H823" s="3"/>
      <c r="I823" s="2"/>
      <c r="J823" s="2"/>
      <c r="K823" s="2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22"/>
      <c r="B824" s="3"/>
      <c r="C824" s="3"/>
      <c r="D824" s="3"/>
      <c r="E824" s="3"/>
      <c r="F824" s="3"/>
      <c r="G824" s="3"/>
      <c r="H824" s="3"/>
      <c r="I824" s="2"/>
      <c r="J824" s="2"/>
      <c r="K824" s="2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22"/>
      <c r="B825" s="3"/>
      <c r="C825" s="3"/>
      <c r="D825" s="3"/>
      <c r="E825" s="3"/>
      <c r="F825" s="3"/>
      <c r="G825" s="3"/>
      <c r="H825" s="3"/>
      <c r="I825" s="2"/>
      <c r="J825" s="2"/>
      <c r="K825" s="2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22"/>
      <c r="B826" s="3"/>
      <c r="C826" s="3"/>
      <c r="D826" s="3"/>
      <c r="E826" s="3"/>
      <c r="F826" s="3"/>
      <c r="G826" s="3"/>
      <c r="H826" s="3"/>
      <c r="I826" s="2"/>
      <c r="J826" s="2"/>
      <c r="K826" s="2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22"/>
      <c r="B827" s="3"/>
      <c r="C827" s="3"/>
      <c r="D827" s="3"/>
      <c r="E827" s="3"/>
      <c r="F827" s="3"/>
      <c r="G827" s="3"/>
      <c r="H827" s="3"/>
      <c r="I827" s="2"/>
      <c r="J827" s="2"/>
      <c r="K827" s="2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22"/>
      <c r="B828" s="3"/>
      <c r="C828" s="3"/>
      <c r="D828" s="3"/>
      <c r="E828" s="3"/>
      <c r="F828" s="3"/>
      <c r="G828" s="3"/>
      <c r="H828" s="3"/>
      <c r="I828" s="2"/>
      <c r="J828" s="2"/>
      <c r="K828" s="2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22"/>
      <c r="B829" s="3"/>
      <c r="C829" s="3"/>
      <c r="D829" s="3"/>
      <c r="E829" s="3"/>
      <c r="F829" s="3"/>
      <c r="G829" s="3"/>
      <c r="H829" s="3"/>
      <c r="I829" s="2"/>
      <c r="J829" s="2"/>
      <c r="K829" s="2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22"/>
      <c r="B830" s="3"/>
      <c r="C830" s="3"/>
      <c r="D830" s="3"/>
      <c r="E830" s="3"/>
      <c r="F830" s="3"/>
      <c r="G830" s="3"/>
      <c r="H830" s="3"/>
      <c r="I830" s="2"/>
      <c r="J830" s="2"/>
      <c r="K830" s="2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22"/>
      <c r="B831" s="3"/>
      <c r="C831" s="3"/>
      <c r="D831" s="3"/>
      <c r="E831" s="3"/>
      <c r="F831" s="3"/>
      <c r="G831" s="3"/>
      <c r="H831" s="3"/>
      <c r="I831" s="2"/>
      <c r="J831" s="2"/>
      <c r="K831" s="2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22"/>
      <c r="B832" s="3"/>
      <c r="C832" s="3"/>
      <c r="D832" s="3"/>
      <c r="E832" s="3"/>
      <c r="F832" s="3"/>
      <c r="G832" s="3"/>
      <c r="H832" s="3"/>
      <c r="I832" s="2"/>
      <c r="J832" s="2"/>
      <c r="K832" s="2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22"/>
      <c r="B833" s="3"/>
      <c r="C833" s="3"/>
      <c r="D833" s="3"/>
      <c r="E833" s="3"/>
      <c r="F833" s="3"/>
      <c r="G833" s="3"/>
      <c r="H833" s="3"/>
      <c r="I833" s="2"/>
      <c r="J833" s="2"/>
      <c r="K833" s="2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22"/>
      <c r="B834" s="3"/>
      <c r="C834" s="3"/>
      <c r="D834" s="3"/>
      <c r="E834" s="3"/>
      <c r="F834" s="3"/>
      <c r="G834" s="3"/>
      <c r="H834" s="3"/>
      <c r="I834" s="2"/>
      <c r="J834" s="2"/>
      <c r="K834" s="2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22"/>
      <c r="B835" s="3"/>
      <c r="C835" s="3"/>
      <c r="D835" s="3"/>
      <c r="E835" s="3"/>
      <c r="F835" s="3"/>
      <c r="G835" s="3"/>
      <c r="H835" s="3"/>
      <c r="I835" s="2"/>
      <c r="J835" s="2"/>
      <c r="K835" s="2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22"/>
      <c r="B836" s="3"/>
      <c r="C836" s="3"/>
      <c r="D836" s="3"/>
      <c r="E836" s="3"/>
      <c r="F836" s="3"/>
      <c r="G836" s="3"/>
      <c r="H836" s="3"/>
      <c r="I836" s="2"/>
      <c r="J836" s="2"/>
      <c r="K836" s="2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22"/>
      <c r="B837" s="3"/>
      <c r="C837" s="3"/>
      <c r="D837" s="3"/>
      <c r="E837" s="3"/>
      <c r="F837" s="3"/>
      <c r="G837" s="3"/>
      <c r="H837" s="3"/>
      <c r="I837" s="2"/>
      <c r="J837" s="2"/>
      <c r="K837" s="2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22"/>
      <c r="B838" s="3"/>
      <c r="C838" s="3"/>
      <c r="D838" s="3"/>
      <c r="E838" s="3"/>
      <c r="F838" s="3"/>
      <c r="G838" s="3"/>
      <c r="H838" s="3"/>
      <c r="I838" s="2"/>
      <c r="J838" s="2"/>
      <c r="K838" s="2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22"/>
      <c r="B839" s="3"/>
      <c r="C839" s="3"/>
      <c r="D839" s="3"/>
      <c r="E839" s="3"/>
      <c r="F839" s="3"/>
      <c r="G839" s="3"/>
      <c r="H839" s="3"/>
      <c r="I839" s="2"/>
      <c r="J839" s="2"/>
      <c r="K839" s="2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22"/>
      <c r="B840" s="3"/>
      <c r="C840" s="3"/>
      <c r="D840" s="3"/>
      <c r="E840" s="3"/>
      <c r="F840" s="3"/>
      <c r="G840" s="3"/>
      <c r="H840" s="3"/>
      <c r="I840" s="2"/>
      <c r="J840" s="2"/>
      <c r="K840" s="2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22"/>
      <c r="B841" s="3"/>
      <c r="C841" s="3"/>
      <c r="D841" s="3"/>
      <c r="E841" s="3"/>
      <c r="F841" s="3"/>
      <c r="G841" s="3"/>
      <c r="H841" s="3"/>
      <c r="I841" s="2"/>
      <c r="J841" s="2"/>
      <c r="K841" s="2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22"/>
      <c r="B842" s="3"/>
      <c r="C842" s="3"/>
      <c r="D842" s="3"/>
      <c r="E842" s="3"/>
      <c r="F842" s="3"/>
      <c r="G842" s="3"/>
      <c r="H842" s="3"/>
      <c r="I842" s="2"/>
      <c r="J842" s="2"/>
      <c r="K842" s="2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22"/>
      <c r="B843" s="3"/>
      <c r="C843" s="3"/>
      <c r="D843" s="3"/>
      <c r="E843" s="3"/>
      <c r="F843" s="3"/>
      <c r="G843" s="3"/>
      <c r="H843" s="3"/>
      <c r="I843" s="2"/>
      <c r="J843" s="2"/>
      <c r="K843" s="2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22"/>
      <c r="B844" s="3"/>
      <c r="C844" s="3"/>
      <c r="D844" s="3"/>
      <c r="E844" s="3"/>
      <c r="F844" s="3"/>
      <c r="G844" s="3"/>
      <c r="H844" s="3"/>
      <c r="I844" s="2"/>
      <c r="J844" s="2"/>
      <c r="K844" s="2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22"/>
      <c r="B845" s="3"/>
      <c r="C845" s="3"/>
      <c r="D845" s="3"/>
      <c r="E845" s="3"/>
      <c r="F845" s="3"/>
      <c r="G845" s="3"/>
      <c r="H845" s="3"/>
      <c r="I845" s="2"/>
      <c r="J845" s="2"/>
      <c r="K845" s="2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22"/>
      <c r="B846" s="3"/>
      <c r="C846" s="3"/>
      <c r="D846" s="3"/>
      <c r="E846" s="3"/>
      <c r="F846" s="3"/>
      <c r="G846" s="3"/>
      <c r="H846" s="3"/>
      <c r="I846" s="2"/>
      <c r="J846" s="2"/>
      <c r="K846" s="2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22"/>
      <c r="B847" s="3"/>
      <c r="C847" s="3"/>
      <c r="D847" s="3"/>
      <c r="E847" s="3"/>
      <c r="F847" s="3"/>
      <c r="G847" s="3"/>
      <c r="H847" s="3"/>
      <c r="I847" s="2"/>
      <c r="J847" s="2"/>
      <c r="K847" s="2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22"/>
      <c r="B848" s="3"/>
      <c r="C848" s="3"/>
      <c r="D848" s="3"/>
      <c r="E848" s="3"/>
      <c r="F848" s="3"/>
      <c r="G848" s="3"/>
      <c r="H848" s="3"/>
      <c r="I848" s="2"/>
      <c r="J848" s="2"/>
      <c r="K848" s="2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22"/>
      <c r="B849" s="3"/>
      <c r="C849" s="3"/>
      <c r="D849" s="3"/>
      <c r="E849" s="3"/>
      <c r="F849" s="3"/>
      <c r="G849" s="3"/>
      <c r="H849" s="3"/>
      <c r="I849" s="2"/>
      <c r="J849" s="2"/>
      <c r="K849" s="2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22"/>
      <c r="B850" s="3"/>
      <c r="C850" s="3"/>
      <c r="D850" s="3"/>
      <c r="E850" s="3"/>
      <c r="F850" s="3"/>
      <c r="G850" s="3"/>
      <c r="H850" s="3"/>
      <c r="I850" s="2"/>
      <c r="J850" s="2"/>
      <c r="K850" s="2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22"/>
      <c r="B851" s="3"/>
      <c r="C851" s="3"/>
      <c r="D851" s="3"/>
      <c r="E851" s="3"/>
      <c r="F851" s="3"/>
      <c r="G851" s="3"/>
      <c r="H851" s="3"/>
      <c r="I851" s="2"/>
      <c r="J851" s="2"/>
      <c r="K851" s="2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22"/>
      <c r="B852" s="3"/>
      <c r="C852" s="3"/>
      <c r="D852" s="3"/>
      <c r="E852" s="3"/>
      <c r="F852" s="3"/>
      <c r="G852" s="3"/>
      <c r="H852" s="3"/>
      <c r="I852" s="2"/>
      <c r="J852" s="2"/>
      <c r="K852" s="2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22"/>
      <c r="B853" s="3"/>
      <c r="C853" s="3"/>
      <c r="D853" s="3"/>
      <c r="E853" s="3"/>
      <c r="F853" s="3"/>
      <c r="G853" s="3"/>
      <c r="H853" s="3"/>
      <c r="I853" s="2"/>
      <c r="J853" s="2"/>
      <c r="K853" s="2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22"/>
      <c r="B854" s="3"/>
      <c r="C854" s="3"/>
      <c r="D854" s="3"/>
      <c r="E854" s="3"/>
      <c r="F854" s="3"/>
      <c r="G854" s="3"/>
      <c r="H854" s="3"/>
      <c r="I854" s="2"/>
      <c r="J854" s="2"/>
      <c r="K854" s="2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22"/>
      <c r="B855" s="3"/>
      <c r="C855" s="3"/>
      <c r="D855" s="3"/>
      <c r="E855" s="3"/>
      <c r="F855" s="3"/>
      <c r="G855" s="3"/>
      <c r="H855" s="3"/>
      <c r="I855" s="2"/>
      <c r="J855" s="2"/>
      <c r="K855" s="2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22"/>
      <c r="B856" s="3"/>
      <c r="C856" s="3"/>
      <c r="D856" s="3"/>
      <c r="E856" s="3"/>
      <c r="F856" s="3"/>
      <c r="G856" s="3"/>
      <c r="H856" s="3"/>
      <c r="I856" s="2"/>
      <c r="J856" s="2"/>
      <c r="K856" s="2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22"/>
      <c r="B857" s="3"/>
      <c r="C857" s="3"/>
      <c r="D857" s="3"/>
      <c r="E857" s="3"/>
      <c r="F857" s="3"/>
      <c r="G857" s="3"/>
      <c r="H857" s="3"/>
      <c r="I857" s="2"/>
      <c r="J857" s="2"/>
      <c r="K857" s="2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22"/>
      <c r="B858" s="3"/>
      <c r="C858" s="3"/>
      <c r="D858" s="3"/>
      <c r="E858" s="3"/>
      <c r="F858" s="3"/>
      <c r="G858" s="3"/>
      <c r="H858" s="3"/>
      <c r="I858" s="2"/>
      <c r="J858" s="2"/>
      <c r="K858" s="2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22"/>
      <c r="B859" s="3"/>
      <c r="C859" s="3"/>
      <c r="D859" s="3"/>
      <c r="E859" s="3"/>
      <c r="F859" s="3"/>
      <c r="G859" s="3"/>
      <c r="H859" s="3"/>
      <c r="I859" s="2"/>
      <c r="J859" s="2"/>
      <c r="K859" s="2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22"/>
      <c r="B860" s="3"/>
      <c r="C860" s="3"/>
      <c r="D860" s="3"/>
      <c r="E860" s="3"/>
      <c r="F860" s="3"/>
      <c r="G860" s="3"/>
      <c r="H860" s="3"/>
      <c r="I860" s="2"/>
      <c r="J860" s="2"/>
      <c r="K860" s="2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22"/>
      <c r="B861" s="3"/>
      <c r="C861" s="3"/>
      <c r="D861" s="3"/>
      <c r="E861" s="3"/>
      <c r="F861" s="3"/>
      <c r="G861" s="3"/>
      <c r="H861" s="3"/>
      <c r="I861" s="2"/>
      <c r="J861" s="2"/>
      <c r="K861" s="2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22"/>
      <c r="B862" s="3"/>
      <c r="C862" s="3"/>
      <c r="D862" s="3"/>
      <c r="E862" s="3"/>
      <c r="F862" s="3"/>
      <c r="G862" s="3"/>
      <c r="H862" s="3"/>
      <c r="I862" s="2"/>
      <c r="J862" s="2"/>
      <c r="K862" s="2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22"/>
      <c r="B863" s="3"/>
      <c r="C863" s="3"/>
      <c r="D863" s="3"/>
      <c r="E863" s="3"/>
      <c r="F863" s="3"/>
      <c r="G863" s="3"/>
      <c r="H863" s="3"/>
      <c r="I863" s="2"/>
      <c r="J863" s="2"/>
      <c r="K863" s="2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22"/>
      <c r="B864" s="3"/>
      <c r="C864" s="3"/>
      <c r="D864" s="3"/>
      <c r="E864" s="3"/>
      <c r="F864" s="3"/>
      <c r="G864" s="3"/>
      <c r="H864" s="3"/>
      <c r="I864" s="2"/>
      <c r="J864" s="2"/>
      <c r="K864" s="2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22"/>
      <c r="B865" s="3"/>
      <c r="C865" s="3"/>
      <c r="D865" s="3"/>
      <c r="E865" s="3"/>
      <c r="F865" s="3"/>
      <c r="G865" s="3"/>
      <c r="H865" s="3"/>
      <c r="I865" s="2"/>
      <c r="J865" s="2"/>
      <c r="K865" s="2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22"/>
      <c r="B866" s="3"/>
      <c r="C866" s="3"/>
      <c r="D866" s="3"/>
      <c r="E866" s="3"/>
      <c r="F866" s="3"/>
      <c r="G866" s="3"/>
      <c r="H866" s="3"/>
      <c r="I866" s="2"/>
      <c r="J866" s="2"/>
      <c r="K866" s="2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22"/>
      <c r="B867" s="3"/>
      <c r="C867" s="3"/>
      <c r="D867" s="3"/>
      <c r="E867" s="3"/>
      <c r="F867" s="3"/>
      <c r="G867" s="3"/>
      <c r="H867" s="3"/>
      <c r="I867" s="2"/>
      <c r="J867" s="2"/>
      <c r="K867" s="2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22"/>
      <c r="B868" s="3"/>
      <c r="C868" s="3"/>
      <c r="D868" s="3"/>
      <c r="E868" s="3"/>
      <c r="F868" s="3"/>
      <c r="G868" s="3"/>
      <c r="H868" s="3"/>
      <c r="I868" s="2"/>
      <c r="J868" s="2"/>
      <c r="K868" s="2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22"/>
      <c r="B869" s="3"/>
      <c r="C869" s="3"/>
      <c r="D869" s="3"/>
      <c r="E869" s="3"/>
      <c r="F869" s="3"/>
      <c r="G869" s="3"/>
      <c r="H869" s="3"/>
      <c r="I869" s="2"/>
      <c r="J869" s="2"/>
      <c r="K869" s="2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22"/>
      <c r="B870" s="3"/>
      <c r="C870" s="3"/>
      <c r="D870" s="3"/>
      <c r="E870" s="3"/>
      <c r="F870" s="3"/>
      <c r="G870" s="3"/>
      <c r="H870" s="3"/>
      <c r="I870" s="2"/>
      <c r="J870" s="2"/>
      <c r="K870" s="2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22"/>
      <c r="B871" s="3"/>
      <c r="C871" s="3"/>
      <c r="D871" s="3"/>
      <c r="E871" s="3"/>
      <c r="F871" s="3"/>
      <c r="G871" s="3"/>
      <c r="H871" s="3"/>
      <c r="I871" s="2"/>
      <c r="J871" s="2"/>
      <c r="K871" s="2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22"/>
      <c r="B872" s="3"/>
      <c r="C872" s="3"/>
      <c r="D872" s="3"/>
      <c r="E872" s="3"/>
      <c r="F872" s="3"/>
      <c r="G872" s="3"/>
      <c r="H872" s="3"/>
      <c r="I872" s="2"/>
      <c r="J872" s="2"/>
      <c r="K872" s="2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22"/>
      <c r="B873" s="3"/>
      <c r="C873" s="3"/>
      <c r="D873" s="3"/>
      <c r="E873" s="3"/>
      <c r="F873" s="3"/>
      <c r="G873" s="3"/>
      <c r="H873" s="3"/>
      <c r="I873" s="2"/>
      <c r="J873" s="2"/>
      <c r="K873" s="2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22"/>
      <c r="B874" s="3"/>
      <c r="C874" s="3"/>
      <c r="D874" s="3"/>
      <c r="E874" s="3"/>
      <c r="F874" s="3"/>
      <c r="G874" s="3"/>
      <c r="H874" s="3"/>
      <c r="I874" s="2"/>
      <c r="J874" s="2"/>
      <c r="K874" s="2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22"/>
      <c r="B875" s="3"/>
      <c r="C875" s="3"/>
      <c r="D875" s="3"/>
      <c r="E875" s="3"/>
      <c r="F875" s="3"/>
      <c r="G875" s="3"/>
      <c r="H875" s="3"/>
      <c r="I875" s="2"/>
      <c r="J875" s="2"/>
      <c r="K875" s="2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22"/>
      <c r="B876" s="3"/>
      <c r="C876" s="3"/>
      <c r="D876" s="3"/>
      <c r="E876" s="3"/>
      <c r="F876" s="3"/>
      <c r="G876" s="3"/>
      <c r="H876" s="3"/>
      <c r="I876" s="2"/>
      <c r="J876" s="2"/>
      <c r="K876" s="2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22"/>
      <c r="B877" s="3"/>
      <c r="C877" s="3"/>
      <c r="D877" s="3"/>
      <c r="E877" s="3"/>
      <c r="F877" s="3"/>
      <c r="G877" s="3"/>
      <c r="H877" s="3"/>
      <c r="I877" s="2"/>
      <c r="J877" s="2"/>
      <c r="K877" s="2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22"/>
      <c r="B878" s="3"/>
      <c r="C878" s="3"/>
      <c r="D878" s="3"/>
      <c r="E878" s="3"/>
      <c r="F878" s="3"/>
      <c r="G878" s="3"/>
      <c r="H878" s="3"/>
      <c r="I878" s="2"/>
      <c r="J878" s="2"/>
      <c r="K878" s="2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22"/>
      <c r="B879" s="3"/>
      <c r="C879" s="3"/>
      <c r="D879" s="3"/>
      <c r="E879" s="3"/>
      <c r="F879" s="3"/>
      <c r="G879" s="3"/>
      <c r="H879" s="3"/>
      <c r="I879" s="2"/>
      <c r="J879" s="2"/>
      <c r="K879" s="2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22"/>
      <c r="B880" s="3"/>
      <c r="C880" s="3"/>
      <c r="D880" s="3"/>
      <c r="E880" s="3"/>
      <c r="F880" s="3"/>
      <c r="G880" s="3"/>
      <c r="H880" s="3"/>
      <c r="I880" s="2"/>
      <c r="J880" s="2"/>
      <c r="K880" s="2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22"/>
      <c r="B881" s="3"/>
      <c r="C881" s="3"/>
      <c r="D881" s="3"/>
      <c r="E881" s="3"/>
      <c r="F881" s="3"/>
      <c r="G881" s="3"/>
      <c r="H881" s="3"/>
      <c r="I881" s="2"/>
      <c r="J881" s="2"/>
      <c r="K881" s="2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22"/>
      <c r="B882" s="3"/>
      <c r="C882" s="3"/>
      <c r="D882" s="3"/>
      <c r="E882" s="3"/>
      <c r="F882" s="3"/>
      <c r="G882" s="3"/>
      <c r="H882" s="3"/>
      <c r="I882" s="2"/>
      <c r="J882" s="2"/>
      <c r="K882" s="2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22"/>
      <c r="B883" s="3"/>
      <c r="C883" s="3"/>
      <c r="D883" s="3"/>
      <c r="E883" s="3"/>
      <c r="F883" s="3"/>
      <c r="G883" s="3"/>
      <c r="H883" s="3"/>
      <c r="I883" s="2"/>
      <c r="J883" s="2"/>
      <c r="K883" s="2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22"/>
      <c r="B884" s="3"/>
      <c r="C884" s="3"/>
      <c r="D884" s="3"/>
      <c r="E884" s="3"/>
      <c r="F884" s="3"/>
      <c r="G884" s="3"/>
      <c r="H884" s="3"/>
      <c r="I884" s="2"/>
      <c r="J884" s="2"/>
      <c r="K884" s="2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22"/>
      <c r="B885" s="3"/>
      <c r="C885" s="3"/>
      <c r="D885" s="3"/>
      <c r="E885" s="3"/>
      <c r="F885" s="3"/>
      <c r="G885" s="3"/>
      <c r="H885" s="3"/>
      <c r="I885" s="2"/>
      <c r="J885" s="2"/>
      <c r="K885" s="2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22"/>
      <c r="B886" s="3"/>
      <c r="C886" s="3"/>
      <c r="D886" s="3"/>
      <c r="E886" s="3"/>
      <c r="F886" s="3"/>
      <c r="G886" s="3"/>
      <c r="H886" s="3"/>
      <c r="I886" s="2"/>
      <c r="J886" s="2"/>
      <c r="K886" s="2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22"/>
      <c r="B887" s="3"/>
      <c r="C887" s="3"/>
      <c r="D887" s="3"/>
      <c r="E887" s="3"/>
      <c r="F887" s="3"/>
      <c r="G887" s="3"/>
      <c r="H887" s="3"/>
      <c r="I887" s="2"/>
      <c r="J887" s="2"/>
      <c r="K887" s="2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22"/>
      <c r="B888" s="3"/>
      <c r="C888" s="3"/>
      <c r="D888" s="3"/>
      <c r="E888" s="3"/>
      <c r="F888" s="3"/>
      <c r="G888" s="3"/>
      <c r="H888" s="3"/>
      <c r="I888" s="2"/>
      <c r="J888" s="2"/>
      <c r="K888" s="2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22"/>
      <c r="B889" s="3"/>
      <c r="C889" s="3"/>
      <c r="D889" s="3"/>
      <c r="E889" s="3"/>
      <c r="F889" s="3"/>
      <c r="G889" s="3"/>
      <c r="H889" s="3"/>
      <c r="I889" s="2"/>
      <c r="J889" s="2"/>
      <c r="K889" s="2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22"/>
      <c r="B890" s="3"/>
      <c r="C890" s="3"/>
      <c r="D890" s="3"/>
      <c r="E890" s="3"/>
      <c r="F890" s="3"/>
      <c r="G890" s="3"/>
      <c r="H890" s="3"/>
      <c r="I890" s="2"/>
      <c r="J890" s="2"/>
      <c r="K890" s="2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22"/>
      <c r="B891" s="3"/>
      <c r="C891" s="3"/>
      <c r="D891" s="3"/>
      <c r="E891" s="3"/>
      <c r="F891" s="3"/>
      <c r="G891" s="3"/>
      <c r="H891" s="3"/>
      <c r="I891" s="2"/>
      <c r="J891" s="2"/>
      <c r="K891" s="2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22"/>
      <c r="B892" s="3"/>
      <c r="C892" s="3"/>
      <c r="D892" s="3"/>
      <c r="E892" s="3"/>
      <c r="F892" s="3"/>
      <c r="G892" s="3"/>
      <c r="H892" s="3"/>
      <c r="I892" s="2"/>
      <c r="J892" s="2"/>
      <c r="K892" s="2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22"/>
      <c r="B893" s="3"/>
      <c r="C893" s="3"/>
      <c r="D893" s="3"/>
      <c r="E893" s="3"/>
      <c r="F893" s="3"/>
      <c r="G893" s="3"/>
      <c r="H893" s="3"/>
      <c r="I893" s="2"/>
      <c r="J893" s="2"/>
      <c r="K893" s="2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22"/>
      <c r="B894" s="3"/>
      <c r="C894" s="3"/>
      <c r="D894" s="3"/>
      <c r="E894" s="3"/>
      <c r="F894" s="3"/>
      <c r="G894" s="3"/>
      <c r="H894" s="3"/>
      <c r="I894" s="2"/>
      <c r="J894" s="2"/>
      <c r="K894" s="2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22"/>
      <c r="B895" s="3"/>
      <c r="C895" s="3"/>
      <c r="D895" s="3"/>
      <c r="E895" s="3"/>
      <c r="F895" s="3"/>
      <c r="G895" s="3"/>
      <c r="H895" s="3"/>
      <c r="I895" s="2"/>
      <c r="J895" s="2"/>
      <c r="K895" s="2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22"/>
      <c r="B896" s="3"/>
      <c r="C896" s="3"/>
      <c r="D896" s="3"/>
      <c r="E896" s="3"/>
      <c r="F896" s="3"/>
      <c r="G896" s="3"/>
      <c r="H896" s="3"/>
      <c r="I896" s="2"/>
      <c r="J896" s="2"/>
      <c r="K896" s="2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22"/>
      <c r="B897" s="3"/>
      <c r="C897" s="3"/>
      <c r="D897" s="3"/>
      <c r="E897" s="3"/>
      <c r="F897" s="3"/>
      <c r="G897" s="3"/>
      <c r="H897" s="3"/>
      <c r="I897" s="2"/>
      <c r="J897" s="2"/>
      <c r="K897" s="2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22"/>
      <c r="B898" s="3"/>
      <c r="C898" s="3"/>
      <c r="D898" s="3"/>
      <c r="E898" s="3"/>
      <c r="F898" s="3"/>
      <c r="G898" s="3"/>
      <c r="H898" s="3"/>
      <c r="I898" s="2"/>
      <c r="J898" s="2"/>
      <c r="K898" s="2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22"/>
      <c r="B899" s="3"/>
      <c r="C899" s="3"/>
      <c r="D899" s="3"/>
      <c r="E899" s="3"/>
      <c r="F899" s="3"/>
      <c r="G899" s="3"/>
      <c r="H899" s="3"/>
      <c r="I899" s="2"/>
      <c r="J899" s="2"/>
      <c r="K899" s="2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22"/>
      <c r="B900" s="3"/>
      <c r="C900" s="3"/>
      <c r="D900" s="3"/>
      <c r="E900" s="3"/>
      <c r="F900" s="3"/>
      <c r="G900" s="3"/>
      <c r="H900" s="3"/>
      <c r="I900" s="2"/>
      <c r="J900" s="2"/>
      <c r="K900" s="2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22"/>
      <c r="B901" s="3"/>
      <c r="C901" s="3"/>
      <c r="D901" s="3"/>
      <c r="E901" s="3"/>
      <c r="F901" s="3"/>
      <c r="G901" s="3"/>
      <c r="H901" s="3"/>
      <c r="I901" s="2"/>
      <c r="J901" s="2"/>
      <c r="K901" s="2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22"/>
      <c r="B902" s="3"/>
      <c r="C902" s="3"/>
      <c r="D902" s="3"/>
      <c r="E902" s="3"/>
      <c r="F902" s="3"/>
      <c r="G902" s="3"/>
      <c r="H902" s="3"/>
      <c r="I902" s="2"/>
      <c r="J902" s="2"/>
      <c r="K902" s="2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22"/>
      <c r="B903" s="3"/>
      <c r="C903" s="3"/>
      <c r="D903" s="3"/>
      <c r="E903" s="3"/>
      <c r="F903" s="3"/>
      <c r="G903" s="3"/>
      <c r="H903" s="3"/>
      <c r="I903" s="2"/>
      <c r="J903" s="2"/>
      <c r="K903" s="2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22"/>
      <c r="B904" s="3"/>
      <c r="C904" s="3"/>
      <c r="D904" s="3"/>
      <c r="E904" s="3"/>
      <c r="F904" s="3"/>
      <c r="G904" s="3"/>
      <c r="H904" s="3"/>
      <c r="I904" s="2"/>
      <c r="J904" s="2"/>
      <c r="K904" s="2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22"/>
      <c r="B905" s="3"/>
      <c r="C905" s="3"/>
      <c r="D905" s="3"/>
      <c r="E905" s="3"/>
      <c r="F905" s="3"/>
      <c r="G905" s="3"/>
      <c r="H905" s="3"/>
      <c r="I905" s="2"/>
      <c r="J905" s="2"/>
      <c r="K905" s="2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22"/>
      <c r="B906" s="3"/>
      <c r="C906" s="3"/>
      <c r="D906" s="3"/>
      <c r="E906" s="3"/>
      <c r="F906" s="3"/>
      <c r="G906" s="3"/>
      <c r="H906" s="3"/>
      <c r="I906" s="2"/>
      <c r="J906" s="2"/>
      <c r="K906" s="2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22"/>
      <c r="B907" s="3"/>
      <c r="C907" s="3"/>
      <c r="D907" s="3"/>
      <c r="E907" s="3"/>
      <c r="F907" s="3"/>
      <c r="G907" s="3"/>
      <c r="H907" s="3"/>
      <c r="I907" s="2"/>
      <c r="J907" s="2"/>
      <c r="K907" s="2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22"/>
      <c r="B908" s="3"/>
      <c r="C908" s="3"/>
      <c r="D908" s="3"/>
      <c r="E908" s="3"/>
      <c r="F908" s="3"/>
      <c r="G908" s="3"/>
      <c r="H908" s="3"/>
      <c r="I908" s="2"/>
      <c r="J908" s="2"/>
      <c r="K908" s="2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22"/>
      <c r="B909" s="3"/>
      <c r="C909" s="3"/>
      <c r="D909" s="3"/>
      <c r="E909" s="3"/>
      <c r="F909" s="3"/>
      <c r="G909" s="3"/>
      <c r="H909" s="3"/>
      <c r="I909" s="2"/>
      <c r="J909" s="2"/>
      <c r="K909" s="2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22"/>
      <c r="B910" s="3"/>
      <c r="C910" s="3"/>
      <c r="D910" s="3"/>
      <c r="E910" s="3"/>
      <c r="F910" s="3"/>
      <c r="G910" s="3"/>
      <c r="H910" s="3"/>
      <c r="I910" s="2"/>
      <c r="J910" s="2"/>
      <c r="K910" s="2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22"/>
      <c r="B911" s="3"/>
      <c r="C911" s="3"/>
      <c r="D911" s="3"/>
      <c r="E911" s="3"/>
      <c r="F911" s="3"/>
      <c r="G911" s="3"/>
      <c r="H911" s="3"/>
      <c r="I911" s="2"/>
      <c r="J911" s="2"/>
      <c r="K911" s="2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22"/>
      <c r="B912" s="3"/>
      <c r="C912" s="3"/>
      <c r="D912" s="3"/>
      <c r="E912" s="3"/>
      <c r="F912" s="3"/>
      <c r="G912" s="3"/>
      <c r="H912" s="3"/>
      <c r="I912" s="2"/>
      <c r="J912" s="2"/>
      <c r="K912" s="2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22"/>
      <c r="B913" s="3"/>
      <c r="C913" s="3"/>
      <c r="D913" s="3"/>
      <c r="E913" s="3"/>
      <c r="F913" s="3"/>
      <c r="G913" s="3"/>
      <c r="H913" s="3"/>
      <c r="I913" s="2"/>
      <c r="J913" s="2"/>
      <c r="K913" s="2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22"/>
      <c r="B914" s="3"/>
      <c r="C914" s="3"/>
      <c r="D914" s="3"/>
      <c r="E914" s="3"/>
      <c r="F914" s="3"/>
      <c r="G914" s="3"/>
      <c r="H914" s="3"/>
      <c r="I914" s="2"/>
      <c r="J914" s="2"/>
      <c r="K914" s="2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22"/>
      <c r="B915" s="3"/>
      <c r="C915" s="3"/>
      <c r="D915" s="3"/>
      <c r="E915" s="3"/>
      <c r="F915" s="3"/>
      <c r="G915" s="3"/>
      <c r="H915" s="3"/>
      <c r="I915" s="2"/>
      <c r="J915" s="2"/>
      <c r="K915" s="2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22"/>
      <c r="B916" s="3"/>
      <c r="C916" s="3"/>
      <c r="D916" s="3"/>
      <c r="E916" s="3"/>
      <c r="F916" s="3"/>
      <c r="G916" s="3"/>
      <c r="H916" s="3"/>
      <c r="I916" s="2"/>
      <c r="J916" s="2"/>
      <c r="K916" s="2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22"/>
      <c r="B917" s="3"/>
      <c r="C917" s="3"/>
      <c r="D917" s="3"/>
      <c r="E917" s="3"/>
      <c r="F917" s="3"/>
      <c r="G917" s="3"/>
      <c r="H917" s="3"/>
      <c r="I917" s="2"/>
      <c r="J917" s="2"/>
      <c r="K917" s="2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22"/>
      <c r="B918" s="3"/>
      <c r="C918" s="3"/>
      <c r="D918" s="3"/>
      <c r="E918" s="3"/>
      <c r="F918" s="3"/>
      <c r="G918" s="3"/>
      <c r="H918" s="3"/>
      <c r="I918" s="2"/>
      <c r="J918" s="2"/>
      <c r="K918" s="2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22"/>
      <c r="B919" s="3"/>
      <c r="C919" s="3"/>
      <c r="D919" s="3"/>
      <c r="E919" s="3"/>
      <c r="F919" s="3"/>
      <c r="G919" s="3"/>
      <c r="H919" s="3"/>
      <c r="I919" s="2"/>
      <c r="J919" s="2"/>
      <c r="K919" s="2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22"/>
      <c r="B920" s="3"/>
      <c r="C920" s="3"/>
      <c r="D920" s="3"/>
      <c r="E920" s="3"/>
      <c r="F920" s="3"/>
      <c r="G920" s="3"/>
      <c r="H920" s="3"/>
      <c r="I920" s="2"/>
      <c r="J920" s="2"/>
      <c r="K920" s="2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22"/>
      <c r="B921" s="3"/>
      <c r="C921" s="3"/>
      <c r="D921" s="3"/>
      <c r="E921" s="3"/>
      <c r="F921" s="3"/>
      <c r="G921" s="3"/>
      <c r="H921" s="3"/>
      <c r="I921" s="2"/>
      <c r="J921" s="2"/>
      <c r="K921" s="2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22"/>
      <c r="B922" s="3"/>
      <c r="C922" s="3"/>
      <c r="D922" s="3"/>
      <c r="E922" s="3"/>
      <c r="F922" s="3"/>
      <c r="G922" s="3"/>
      <c r="H922" s="3"/>
      <c r="I922" s="2"/>
      <c r="J922" s="2"/>
      <c r="K922" s="2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22"/>
      <c r="B923" s="3"/>
      <c r="C923" s="3"/>
      <c r="D923" s="3"/>
      <c r="E923" s="3"/>
      <c r="F923" s="3"/>
      <c r="G923" s="3"/>
      <c r="H923" s="3"/>
      <c r="I923" s="2"/>
      <c r="J923" s="2"/>
      <c r="K923" s="2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22"/>
      <c r="B924" s="3"/>
      <c r="C924" s="3"/>
      <c r="D924" s="3"/>
      <c r="E924" s="3"/>
      <c r="F924" s="3"/>
      <c r="G924" s="3"/>
      <c r="H924" s="3"/>
      <c r="I924" s="2"/>
      <c r="J924" s="2"/>
      <c r="K924" s="2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22"/>
      <c r="B925" s="3"/>
      <c r="C925" s="3"/>
      <c r="D925" s="3"/>
      <c r="E925" s="3"/>
      <c r="F925" s="3"/>
      <c r="G925" s="3"/>
      <c r="H925" s="3"/>
      <c r="I925" s="2"/>
      <c r="J925" s="2"/>
      <c r="K925" s="2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22"/>
      <c r="B926" s="3"/>
      <c r="C926" s="3"/>
      <c r="D926" s="3"/>
      <c r="E926" s="3"/>
      <c r="F926" s="3"/>
      <c r="G926" s="3"/>
      <c r="H926" s="3"/>
      <c r="I926" s="2"/>
      <c r="J926" s="2"/>
      <c r="K926" s="2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22"/>
      <c r="B927" s="3"/>
      <c r="C927" s="3"/>
      <c r="D927" s="3"/>
      <c r="E927" s="3"/>
      <c r="F927" s="3"/>
      <c r="G927" s="3"/>
      <c r="H927" s="3"/>
      <c r="I927" s="2"/>
      <c r="J927" s="2"/>
      <c r="K927" s="2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22"/>
      <c r="B928" s="3"/>
      <c r="C928" s="3"/>
      <c r="D928" s="3"/>
      <c r="E928" s="3"/>
      <c r="F928" s="3"/>
      <c r="G928" s="3"/>
      <c r="H928" s="3"/>
      <c r="I928" s="2"/>
      <c r="J928" s="2"/>
      <c r="K928" s="2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22"/>
      <c r="B929" s="3"/>
      <c r="C929" s="3"/>
      <c r="D929" s="3"/>
      <c r="E929" s="3"/>
      <c r="F929" s="3"/>
      <c r="G929" s="3"/>
      <c r="H929" s="3"/>
      <c r="I929" s="2"/>
      <c r="J929" s="2"/>
      <c r="K929" s="2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22"/>
      <c r="B930" s="3"/>
      <c r="C930" s="3"/>
      <c r="D930" s="3"/>
      <c r="E930" s="3"/>
      <c r="F930" s="3"/>
      <c r="G930" s="3"/>
      <c r="H930" s="3"/>
      <c r="I930" s="2"/>
      <c r="J930" s="2"/>
      <c r="K930" s="2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22"/>
      <c r="B931" s="3"/>
      <c r="C931" s="3"/>
      <c r="D931" s="3"/>
      <c r="E931" s="3"/>
      <c r="F931" s="3"/>
      <c r="G931" s="3"/>
      <c r="H931" s="3"/>
      <c r="I931" s="2"/>
      <c r="J931" s="2"/>
      <c r="K931" s="2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22"/>
      <c r="B932" s="3"/>
      <c r="C932" s="3"/>
      <c r="D932" s="3"/>
      <c r="E932" s="3"/>
      <c r="F932" s="3"/>
      <c r="G932" s="3"/>
      <c r="H932" s="3"/>
      <c r="I932" s="2"/>
      <c r="J932" s="2"/>
      <c r="K932" s="2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22"/>
      <c r="B933" s="3"/>
      <c r="C933" s="3"/>
      <c r="D933" s="3"/>
      <c r="E933" s="3"/>
      <c r="F933" s="3"/>
      <c r="G933" s="3"/>
      <c r="H933" s="3"/>
      <c r="I933" s="2"/>
      <c r="J933" s="2"/>
      <c r="K933" s="2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22"/>
      <c r="B934" s="3"/>
      <c r="C934" s="3"/>
      <c r="D934" s="3"/>
      <c r="E934" s="3"/>
      <c r="F934" s="3"/>
      <c r="G934" s="3"/>
      <c r="H934" s="3"/>
      <c r="I934" s="2"/>
      <c r="J934" s="2"/>
      <c r="K934" s="2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22"/>
      <c r="B935" s="3"/>
      <c r="C935" s="3"/>
      <c r="D935" s="3"/>
      <c r="E935" s="3"/>
      <c r="F935" s="3"/>
      <c r="G935" s="3"/>
      <c r="H935" s="3"/>
      <c r="I935" s="2"/>
      <c r="J935" s="2"/>
      <c r="K935" s="2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22"/>
      <c r="B936" s="3"/>
      <c r="C936" s="3"/>
      <c r="D936" s="3"/>
      <c r="E936" s="3"/>
      <c r="F936" s="3"/>
      <c r="G936" s="3"/>
      <c r="H936" s="3"/>
      <c r="I936" s="2"/>
      <c r="J936" s="2"/>
      <c r="K936" s="2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22"/>
      <c r="B937" s="3"/>
      <c r="C937" s="3"/>
      <c r="D937" s="3"/>
      <c r="E937" s="3"/>
      <c r="F937" s="3"/>
      <c r="G937" s="3"/>
      <c r="H937" s="3"/>
      <c r="I937" s="2"/>
      <c r="J937" s="2"/>
      <c r="K937" s="2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22"/>
      <c r="B938" s="3"/>
      <c r="C938" s="3"/>
      <c r="D938" s="3"/>
      <c r="E938" s="3"/>
      <c r="F938" s="3"/>
      <c r="G938" s="3"/>
      <c r="H938" s="3"/>
      <c r="I938" s="2"/>
      <c r="J938" s="2"/>
      <c r="K938" s="2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22"/>
      <c r="B939" s="3"/>
      <c r="C939" s="3"/>
      <c r="D939" s="3"/>
      <c r="E939" s="3"/>
      <c r="F939" s="3"/>
      <c r="G939" s="3"/>
      <c r="H939" s="3"/>
      <c r="I939" s="2"/>
      <c r="J939" s="2"/>
      <c r="K939" s="2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22"/>
      <c r="B940" s="3"/>
      <c r="C940" s="3"/>
      <c r="D940" s="3"/>
      <c r="E940" s="3"/>
      <c r="F940" s="3"/>
      <c r="G940" s="3"/>
      <c r="H940" s="3"/>
      <c r="I940" s="2"/>
      <c r="J940" s="2"/>
      <c r="K940" s="2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22"/>
      <c r="B941" s="3"/>
      <c r="C941" s="3"/>
      <c r="D941" s="3"/>
      <c r="E941" s="3"/>
      <c r="F941" s="3"/>
      <c r="G941" s="3"/>
      <c r="H941" s="3"/>
      <c r="I941" s="2"/>
      <c r="J941" s="2"/>
      <c r="K941" s="2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22"/>
      <c r="B942" s="3"/>
      <c r="C942" s="3"/>
      <c r="D942" s="3"/>
      <c r="E942" s="3"/>
      <c r="F942" s="3"/>
      <c r="G942" s="3"/>
      <c r="H942" s="3"/>
      <c r="I942" s="2"/>
      <c r="J942" s="2"/>
      <c r="K942" s="2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22"/>
      <c r="B943" s="3"/>
      <c r="C943" s="3"/>
      <c r="D943" s="3"/>
      <c r="E943" s="3"/>
      <c r="F943" s="3"/>
      <c r="G943" s="3"/>
      <c r="H943" s="3"/>
      <c r="I943" s="2"/>
      <c r="J943" s="2"/>
      <c r="K943" s="2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22"/>
      <c r="B944" s="3"/>
      <c r="C944" s="3"/>
      <c r="D944" s="3"/>
      <c r="E944" s="3"/>
      <c r="F944" s="3"/>
      <c r="G944" s="3"/>
      <c r="H944" s="3"/>
      <c r="I944" s="2"/>
      <c r="J944" s="2"/>
      <c r="K944" s="2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22"/>
      <c r="B945" s="3"/>
      <c r="C945" s="3"/>
      <c r="D945" s="3"/>
      <c r="E945" s="3"/>
      <c r="F945" s="3"/>
      <c r="G945" s="3"/>
      <c r="H945" s="3"/>
      <c r="I945" s="2"/>
      <c r="J945" s="2"/>
      <c r="K945" s="2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22"/>
      <c r="B946" s="3"/>
      <c r="C946" s="3"/>
      <c r="D946" s="3"/>
      <c r="E946" s="3"/>
      <c r="F946" s="3"/>
      <c r="G946" s="3"/>
      <c r="H946" s="3"/>
      <c r="I946" s="2"/>
      <c r="J946" s="2"/>
      <c r="K946" s="2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22"/>
      <c r="B947" s="3"/>
      <c r="C947" s="3"/>
      <c r="D947" s="3"/>
      <c r="E947" s="3"/>
      <c r="F947" s="3"/>
      <c r="G947" s="3"/>
      <c r="H947" s="3"/>
      <c r="I947" s="2"/>
      <c r="J947" s="2"/>
      <c r="K947" s="2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22"/>
      <c r="B948" s="3"/>
      <c r="C948" s="3"/>
      <c r="D948" s="3"/>
      <c r="E948" s="3"/>
      <c r="F948" s="3"/>
      <c r="G948" s="3"/>
      <c r="H948" s="3"/>
      <c r="I948" s="2"/>
      <c r="J948" s="2"/>
      <c r="K948" s="2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22"/>
      <c r="B949" s="3"/>
      <c r="C949" s="3"/>
      <c r="D949" s="3"/>
      <c r="E949" s="3"/>
      <c r="F949" s="3"/>
      <c r="G949" s="3"/>
      <c r="H949" s="3"/>
      <c r="I949" s="2"/>
      <c r="J949" s="2"/>
      <c r="K949" s="2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22"/>
      <c r="B950" s="3"/>
      <c r="C950" s="3"/>
      <c r="D950" s="3"/>
      <c r="E950" s="3"/>
      <c r="F950" s="3"/>
      <c r="G950" s="3"/>
      <c r="H950" s="3"/>
      <c r="I950" s="2"/>
      <c r="J950" s="2"/>
      <c r="K950" s="2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22"/>
      <c r="B951" s="3"/>
      <c r="C951" s="3"/>
      <c r="D951" s="3"/>
      <c r="E951" s="3"/>
      <c r="F951" s="3"/>
      <c r="G951" s="3"/>
      <c r="H951" s="3"/>
      <c r="I951" s="2"/>
      <c r="J951" s="2"/>
      <c r="K951" s="2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22"/>
      <c r="B952" s="3"/>
      <c r="C952" s="3"/>
      <c r="D952" s="3"/>
      <c r="E952" s="3"/>
      <c r="F952" s="3"/>
      <c r="G952" s="3"/>
      <c r="H952" s="3"/>
      <c r="I952" s="2"/>
      <c r="J952" s="2"/>
      <c r="K952" s="2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22"/>
      <c r="B953" s="3"/>
      <c r="C953" s="3"/>
      <c r="D953" s="3"/>
      <c r="E953" s="3"/>
      <c r="F953" s="3"/>
      <c r="G953" s="3"/>
      <c r="H953" s="3"/>
      <c r="I953" s="2"/>
      <c r="J953" s="2"/>
      <c r="K953" s="2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22"/>
      <c r="B954" s="3"/>
      <c r="C954" s="3"/>
      <c r="D954" s="3"/>
      <c r="E954" s="3"/>
      <c r="F954" s="3"/>
      <c r="G954" s="3"/>
      <c r="H954" s="3"/>
      <c r="I954" s="2"/>
      <c r="J954" s="2"/>
      <c r="K954" s="2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22"/>
      <c r="B955" s="3"/>
      <c r="C955" s="3"/>
      <c r="D955" s="3"/>
      <c r="E955" s="3"/>
      <c r="F955" s="3"/>
      <c r="G955" s="3"/>
      <c r="H955" s="3"/>
      <c r="I955" s="2"/>
      <c r="J955" s="2"/>
      <c r="K955" s="2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22"/>
      <c r="B956" s="3"/>
      <c r="C956" s="3"/>
      <c r="D956" s="3"/>
      <c r="E956" s="3"/>
      <c r="F956" s="3"/>
      <c r="G956" s="3"/>
      <c r="H956" s="3"/>
      <c r="I956" s="2"/>
      <c r="J956" s="2"/>
      <c r="K956" s="2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22"/>
      <c r="B957" s="3"/>
      <c r="C957" s="3"/>
      <c r="D957" s="3"/>
      <c r="E957" s="3"/>
      <c r="F957" s="3"/>
      <c r="G957" s="3"/>
      <c r="H957" s="3"/>
      <c r="I957" s="2"/>
      <c r="J957" s="2"/>
      <c r="K957" s="2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22"/>
      <c r="B958" s="3"/>
      <c r="C958" s="3"/>
      <c r="D958" s="3"/>
      <c r="E958" s="3"/>
      <c r="F958" s="3"/>
      <c r="G958" s="3"/>
      <c r="H958" s="3"/>
      <c r="I958" s="2"/>
      <c r="J958" s="2"/>
      <c r="K958" s="2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22"/>
      <c r="B959" s="3"/>
      <c r="C959" s="3"/>
      <c r="D959" s="3"/>
      <c r="E959" s="3"/>
      <c r="F959" s="3"/>
      <c r="G959" s="3"/>
      <c r="H959" s="3"/>
      <c r="I959" s="2"/>
      <c r="J959" s="2"/>
      <c r="K959" s="2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22"/>
      <c r="B960" s="3"/>
      <c r="C960" s="3"/>
      <c r="D960" s="3"/>
      <c r="E960" s="3"/>
      <c r="F960" s="3"/>
      <c r="G960" s="3"/>
      <c r="H960" s="3"/>
      <c r="I960" s="2"/>
      <c r="J960" s="2"/>
      <c r="K960" s="2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22"/>
      <c r="B961" s="3"/>
      <c r="C961" s="3"/>
      <c r="D961" s="3"/>
      <c r="E961" s="3"/>
      <c r="F961" s="3"/>
      <c r="G961" s="3"/>
      <c r="H961" s="3"/>
      <c r="I961" s="2"/>
      <c r="J961" s="2"/>
      <c r="K961" s="2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22"/>
      <c r="B962" s="3"/>
      <c r="C962" s="3"/>
      <c r="D962" s="3"/>
      <c r="E962" s="3"/>
      <c r="F962" s="3"/>
      <c r="G962" s="3"/>
      <c r="H962" s="3"/>
      <c r="I962" s="2"/>
      <c r="J962" s="2"/>
      <c r="K962" s="2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22"/>
      <c r="B963" s="3"/>
      <c r="C963" s="3"/>
      <c r="D963" s="3"/>
      <c r="E963" s="3"/>
      <c r="F963" s="3"/>
      <c r="G963" s="3"/>
      <c r="H963" s="3"/>
      <c r="I963" s="2"/>
      <c r="J963" s="2"/>
      <c r="K963" s="2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22"/>
      <c r="B964" s="3"/>
      <c r="C964" s="3"/>
      <c r="D964" s="3"/>
      <c r="E964" s="3"/>
      <c r="F964" s="3"/>
      <c r="G964" s="3"/>
      <c r="H964" s="3"/>
      <c r="I964" s="2"/>
      <c r="J964" s="2"/>
      <c r="K964" s="2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22"/>
      <c r="B965" s="3"/>
      <c r="C965" s="3"/>
      <c r="D965" s="3"/>
      <c r="E965" s="3"/>
      <c r="F965" s="3"/>
      <c r="G965" s="3"/>
      <c r="H965" s="3"/>
      <c r="I965" s="2"/>
      <c r="J965" s="2"/>
      <c r="K965" s="2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22"/>
      <c r="B966" s="3"/>
      <c r="C966" s="3"/>
      <c r="D966" s="3"/>
      <c r="E966" s="3"/>
      <c r="F966" s="3"/>
      <c r="G966" s="3"/>
      <c r="H966" s="3"/>
      <c r="I966" s="2"/>
      <c r="J966" s="2"/>
      <c r="K966" s="2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22"/>
      <c r="B967" s="3"/>
      <c r="C967" s="3"/>
      <c r="D967" s="3"/>
      <c r="E967" s="3"/>
      <c r="F967" s="3"/>
      <c r="G967" s="3"/>
      <c r="H967" s="3"/>
      <c r="I967" s="2"/>
      <c r="J967" s="2"/>
      <c r="K967" s="2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22"/>
      <c r="B968" s="3"/>
      <c r="C968" s="3"/>
      <c r="D968" s="3"/>
      <c r="E968" s="3"/>
      <c r="F968" s="3"/>
      <c r="G968" s="3"/>
      <c r="H968" s="3"/>
      <c r="I968" s="2"/>
      <c r="J968" s="2"/>
      <c r="K968" s="2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22"/>
      <c r="B969" s="3"/>
      <c r="C969" s="3"/>
      <c r="D969" s="3"/>
      <c r="E969" s="3"/>
      <c r="F969" s="3"/>
      <c r="G969" s="3"/>
      <c r="H969" s="3"/>
      <c r="I969" s="2"/>
      <c r="J969" s="2"/>
      <c r="K969" s="2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22"/>
      <c r="B970" s="3"/>
      <c r="C970" s="3"/>
      <c r="D970" s="3"/>
      <c r="E970" s="3"/>
      <c r="F970" s="3"/>
      <c r="G970" s="3"/>
      <c r="H970" s="3"/>
      <c r="I970" s="2"/>
      <c r="J970" s="2"/>
      <c r="K970" s="2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22"/>
      <c r="B971" s="3"/>
      <c r="C971" s="3"/>
      <c r="D971" s="3"/>
      <c r="E971" s="3"/>
      <c r="F971" s="3"/>
      <c r="G971" s="3"/>
      <c r="H971" s="3"/>
      <c r="I971" s="2"/>
      <c r="J971" s="2"/>
      <c r="K971" s="2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22"/>
      <c r="B972" s="3"/>
      <c r="C972" s="3"/>
      <c r="D972" s="3"/>
      <c r="E972" s="3"/>
      <c r="F972" s="3"/>
      <c r="G972" s="3"/>
      <c r="H972" s="3"/>
      <c r="I972" s="2"/>
      <c r="J972" s="2"/>
      <c r="K972" s="2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22"/>
      <c r="B973" s="3"/>
      <c r="C973" s="3"/>
      <c r="D973" s="3"/>
      <c r="E973" s="3"/>
      <c r="F973" s="3"/>
      <c r="G973" s="3"/>
      <c r="H973" s="3"/>
      <c r="I973" s="2"/>
      <c r="J973" s="2"/>
      <c r="K973" s="2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22"/>
      <c r="B974" s="3"/>
      <c r="C974" s="3"/>
      <c r="D974" s="3"/>
      <c r="E974" s="3"/>
      <c r="F974" s="3"/>
      <c r="G974" s="3"/>
      <c r="H974" s="3"/>
      <c r="I974" s="2"/>
      <c r="J974" s="2"/>
      <c r="K974" s="2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22"/>
      <c r="B975" s="3"/>
      <c r="C975" s="3"/>
      <c r="D975" s="3"/>
      <c r="E975" s="3"/>
      <c r="F975" s="3"/>
      <c r="G975" s="3"/>
      <c r="H975" s="3"/>
      <c r="I975" s="2"/>
      <c r="J975" s="2"/>
      <c r="K975" s="2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</sheetData>
  <autoFilter ref="$A$2:$L$455"/>
  <customSheetViews>
    <customSheetView guid="{57002AEC-EAE8-4F31-B498-A9FB2FFDC169}" filter="1" showAutoFilter="1">
      <autoFilter ref="$A$1:$J$333">
        <sortState ref="A1:J333">
          <sortCondition ref="A1:A333"/>
        </sortState>
      </autoFilter>
    </customSheetView>
  </customSheetViews>
  <mergeCells count="1">
    <mergeCell ref="A1:J1"/>
  </mergeCells>
  <printOptions/>
  <pageMargins bottom="0.25" footer="0.0" header="0.0" left="0.2" right="0.2" top="0.75"/>
  <pageSetup scale="105" orientation="landscape"/>
  <drawing r:id="rId1"/>
</worksheet>
</file>